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642司法石景山五里坨\"/>
    </mc:Choice>
  </mc:AlternateContent>
  <xr:revisionPtr revIDLastSave="0" documentId="13_ncr:1_{42D34D96-742B-485E-84EC-3CDD53B8D1BE}" xr6:coauthVersionLast="45" xr6:coauthVersionMax="45" xr10:uidLastSave="{00000000-0000-0000-0000-000000000000}"/>
  <bookViews>
    <workbookView xWindow="-15720" yWindow="0" windowWidth="21600" windowHeight="11685"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收益法 (元)" sheetId="67" state="hidden" r:id="rId20"/>
    <sheet name="比较法-住宅" sheetId="21" r:id="rId21"/>
    <sheet name="成本法 (元)" sheetId="69" r:id="rId22"/>
    <sheet name="土地比较法-住宅、综合" sheetId="39" state="hidden" r:id="rId23"/>
    <sheet name="Sheet1" sheetId="80" r:id="rId24"/>
    <sheet name="结果表-车位" sheetId="82" r:id="rId25"/>
    <sheet name="假设开发法" sheetId="12" state="hidden" r:id="rId26"/>
    <sheet name="收益法" sheetId="15"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成本法 (元) -车库" sheetId="81" r:id="rId33"/>
    <sheet name="比较法-车位" sheetId="35"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土地成交案例" sheetId="83"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32">'成本法 (元) -车库'!$A$1:$G$57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24">'结果表-车位'!$A$1:$I$127</definedName>
    <definedName name="_xlnm.Print_Area" localSheetId="17">'结果表-住宅'!$A$1:$I$127</definedName>
    <definedName name="_xlnm.Print_Area" localSheetId="26">收益法!$A$1:$F$43,收益法!$H$3:$M$29,收益法!$A$46:$F$71,收益法!$I$46:$N$65</definedName>
    <definedName name="_xlnm.Print_Area" localSheetId="19">'收益法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6" i="43" l="1"/>
  <c r="I46" i="43"/>
  <c r="AL12" i="80"/>
  <c r="AL13" i="80"/>
  <c r="I37" i="21"/>
  <c r="G37" i="21"/>
  <c r="E37" i="21"/>
  <c r="N20" i="1" l="1"/>
  <c r="B15" i="74" l="1"/>
  <c r="B14" i="74"/>
  <c r="I46" i="39" l="1"/>
  <c r="G46" i="39"/>
  <c r="E46" i="39"/>
  <c r="R6" i="80" l="1"/>
  <c r="T2" i="80" l="1"/>
  <c r="K8" i="69" l="1"/>
  <c r="T4" i="80"/>
  <c r="T3" i="80"/>
  <c r="D14" i="9" l="1"/>
  <c r="I33" i="21" l="1"/>
  <c r="G33" i="21"/>
  <c r="E33" i="21"/>
  <c r="I47" i="21"/>
  <c r="G47" i="21"/>
  <c r="E47" i="21"/>
  <c r="D14" i="82"/>
  <c r="D17" i="82" s="1"/>
  <c r="G37" i="35"/>
  <c r="E37" i="35"/>
  <c r="A120" i="82"/>
  <c r="E111" i="82"/>
  <c r="A126" i="82" s="1"/>
  <c r="H109" i="82"/>
  <c r="D124" i="82" s="1"/>
  <c r="D125" i="82" s="1"/>
  <c r="E109" i="82"/>
  <c r="A124" i="82" s="1"/>
  <c r="E107" i="82"/>
  <c r="A122" i="82" s="1"/>
  <c r="H106" i="82"/>
  <c r="H105" i="82"/>
  <c r="H104" i="82"/>
  <c r="H103" i="82"/>
  <c r="D120" i="82" s="1"/>
  <c r="D101" i="82"/>
  <c r="C101" i="82"/>
  <c r="C91" i="82"/>
  <c r="E90" i="82"/>
  <c r="D89" i="82"/>
  <c r="C89" i="82" s="1"/>
  <c r="C87" i="82" s="1"/>
  <c r="H77" i="82"/>
  <c r="D77" i="82"/>
  <c r="C76" i="82"/>
  <c r="F59" i="82"/>
  <c r="E59" i="82"/>
  <c r="N55" i="82" s="1"/>
  <c r="F56" i="82"/>
  <c r="O55" i="82"/>
  <c r="K55" i="82"/>
  <c r="J55" i="82"/>
  <c r="I55" i="82"/>
  <c r="F55" i="82"/>
  <c r="O54" i="82"/>
  <c r="N54" i="82"/>
  <c r="O53" i="82"/>
  <c r="N53" i="82"/>
  <c r="M49" i="82"/>
  <c r="L67" i="82" s="1"/>
  <c r="M67" i="82" s="1"/>
  <c r="K49" i="82"/>
  <c r="E48" i="82"/>
  <c r="N52" i="82" s="1"/>
  <c r="D48" i="82"/>
  <c r="M52" i="82" s="1"/>
  <c r="F33" i="82"/>
  <c r="D27" i="82"/>
  <c r="C25" i="82"/>
  <c r="C24" i="82"/>
  <c r="C17" i="82"/>
  <c r="L4" i="82"/>
  <c r="K4" i="82"/>
  <c r="H1" i="82"/>
  <c r="F38" i="81"/>
  <c r="E37" i="81"/>
  <c r="F36" i="81"/>
  <c r="F35" i="81"/>
  <c r="F21" i="81"/>
  <c r="F40" i="81" s="1"/>
  <c r="F20" i="81"/>
  <c r="F39" i="81" s="1"/>
  <c r="C19" i="81"/>
  <c r="E10" i="81"/>
  <c r="E9" i="81"/>
  <c r="F7" i="81"/>
  <c r="H1" i="81"/>
  <c r="G20" i="6"/>
  <c r="D42" i="43" s="1"/>
  <c r="D35" i="82"/>
  <c r="E2" i="81"/>
  <c r="D34" i="82"/>
  <c r="C18" i="82" l="1"/>
  <c r="D18" i="82" s="1"/>
  <c r="C92" i="82"/>
  <c r="C94" i="82"/>
  <c r="K120" i="82"/>
  <c r="D121" i="82"/>
  <c r="L66" i="82"/>
  <c r="M66" i="82" s="1"/>
  <c r="L65" i="82"/>
  <c r="M65" i="82" s="1"/>
  <c r="L64" i="82"/>
  <c r="M64" i="82" s="1"/>
  <c r="L63" i="82"/>
  <c r="M63" i="82" s="1"/>
  <c r="M69" i="82" s="1"/>
  <c r="N69" i="82" s="1"/>
  <c r="L68" i="82"/>
  <c r="M68" i="82" s="1"/>
  <c r="H112" i="82"/>
  <c r="H110" i="82"/>
  <c r="H111" i="82"/>
  <c r="D126" i="82" s="1"/>
  <c r="D127" i="82" s="1"/>
  <c r="C40" i="81"/>
  <c r="C21" i="81"/>
  <c r="N6" i="1"/>
  <c r="Y6" i="1" s="1"/>
  <c r="F19" i="6"/>
  <c r="C33" i="21" s="1"/>
  <c r="D33" i="43" l="1"/>
  <c r="C37" i="21"/>
  <c r="N7" i="1"/>
  <c r="C29" i="35"/>
  <c r="B3" i="4"/>
  <c r="E29" i="35" l="1"/>
  <c r="G29" i="35"/>
  <c r="I29" i="35"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s="1"/>
  <c r="Z38" i="71" s="1"/>
  <c r="N38" i="71"/>
  <c r="Q37" i="71"/>
  <c r="F38" i="71" s="1"/>
  <c r="P37" i="71"/>
  <c r="AA37" i="71" s="1"/>
  <c r="O37" i="71"/>
  <c r="N37" i="71"/>
  <c r="B38" i="71" s="1"/>
  <c r="B39" i="71" s="1"/>
  <c r="B40" i="71" s="1"/>
  <c r="S40" i="71" s="1"/>
  <c r="D37" i="71"/>
  <c r="Q36" i="71"/>
  <c r="AB36" i="71" s="1"/>
  <c r="P36" i="71"/>
  <c r="O36" i="71"/>
  <c r="Y36" i="71" s="1"/>
  <c r="Z36" i="71" s="1"/>
  <c r="N36" i="71"/>
  <c r="Q35" i="71"/>
  <c r="AB35" i="71"/>
  <c r="P35" i="71"/>
  <c r="O35" i="71"/>
  <c r="Y35" i="71" s="1"/>
  <c r="Z35" i="71" s="1"/>
  <c r="N35" i="71"/>
  <c r="Q34" i="71"/>
  <c r="AB34" i="71" s="1"/>
  <c r="P34" i="71"/>
  <c r="O34" i="71"/>
  <c r="Y34" i="71" s="1"/>
  <c r="Z34" i="71" s="1"/>
  <c r="N34" i="71"/>
  <c r="X34" i="71" s="1"/>
  <c r="Q33" i="71"/>
  <c r="F34" i="71" s="1"/>
  <c r="P33" i="71"/>
  <c r="E34" i="71" s="1"/>
  <c r="E35" i="71" s="1"/>
  <c r="E36" i="71" s="1"/>
  <c r="U36"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5" i="71" s="1"/>
  <c r="D29" i="71"/>
  <c r="O28" i="71"/>
  <c r="C28" i="71" s="1"/>
  <c r="N28" i="71"/>
  <c r="B30" i="71"/>
  <c r="B31" i="71" s="1"/>
  <c r="B32" i="71" s="1"/>
  <c r="S32" i="71" s="1"/>
  <c r="B34" i="71"/>
  <c r="B35" i="71" s="1"/>
  <c r="B36" i="71" s="1"/>
  <c r="S36" i="71" s="1"/>
  <c r="E38" i="71"/>
  <c r="E39" i="71" s="1"/>
  <c r="E40" i="71" s="1"/>
  <c r="U40" i="71" s="1"/>
  <c r="N68" i="71"/>
  <c r="AA33" i="71"/>
  <c r="C30" i="71"/>
  <c r="Y29" i="71"/>
  <c r="Z29" i="71" s="1"/>
  <c r="AA30" i="71"/>
  <c r="AA32" i="71"/>
  <c r="C34" i="71"/>
  <c r="C35" i="71"/>
  <c r="D35" i="71" s="1"/>
  <c r="X35" i="71"/>
  <c r="X36" i="71"/>
  <c r="AA36" i="71"/>
  <c r="C38" i="71"/>
  <c r="D38" i="71" s="1"/>
  <c r="Y37" i="71"/>
  <c r="Z37" i="71" s="1"/>
  <c r="AB37" i="71"/>
  <c r="X38" i="71"/>
  <c r="AA38" i="71"/>
  <c r="Y25" i="71"/>
  <c r="Z25" i="71" s="1"/>
  <c r="Y27" i="71"/>
  <c r="Z27" i="71" s="1"/>
  <c r="B28" i="71"/>
  <c r="B27" i="71" s="1"/>
  <c r="B26" i="71" s="1"/>
  <c r="X28" i="71"/>
  <c r="D30" i="71"/>
  <c r="D34" i="71"/>
  <c r="C39" i="71"/>
  <c r="C40" i="71" s="1"/>
  <c r="C43" i="71"/>
  <c r="C44" i="71" s="1"/>
  <c r="D42" i="71"/>
  <c r="C51" i="71"/>
  <c r="D50" i="71"/>
  <c r="P28" i="71"/>
  <c r="E55" i="71"/>
  <c r="E56" i="71" s="1"/>
  <c r="U56" i="71" s="1"/>
  <c r="E59" i="71"/>
  <c r="E60" i="71"/>
  <c r="U60" i="71" s="1"/>
  <c r="U68" i="71"/>
  <c r="E67" i="71"/>
  <c r="Q28" i="71"/>
  <c r="AB25" i="71" s="1"/>
  <c r="C59" i="71"/>
  <c r="D58" i="71"/>
  <c r="N67" i="71"/>
  <c r="B66" i="71"/>
  <c r="N66" i="71" s="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AB26" i="71"/>
  <c r="E28" i="71"/>
  <c r="E27" i="71" s="1"/>
  <c r="E26" i="71" s="1"/>
  <c r="AA3" i="71"/>
  <c r="AA25" i="71"/>
  <c r="AA26" i="71"/>
  <c r="AA27" i="71"/>
  <c r="AA28" i="71"/>
  <c r="O67" i="71"/>
  <c r="D83" i="71"/>
  <c r="C82" i="71"/>
  <c r="D82" i="71"/>
  <c r="D75" i="71"/>
  <c r="C74" i="71"/>
  <c r="D74" i="71" s="1"/>
  <c r="D87" i="71"/>
  <c r="C78" i="71"/>
  <c r="D78" i="71" s="1"/>
  <c r="C70" i="71"/>
  <c r="D70" i="71" s="1"/>
  <c r="C60" i="71"/>
  <c r="T60" i="71" s="1"/>
  <c r="D59" i="71"/>
  <c r="P67" i="71"/>
  <c r="E66" i="71"/>
  <c r="P65" i="71" s="1"/>
  <c r="C52" i="71"/>
  <c r="T52" i="71" s="1"/>
  <c r="D51" i="71"/>
  <c r="D43" i="71"/>
  <c r="C36" i="71"/>
  <c r="T36" i="71" s="1"/>
  <c r="V28" i="71"/>
  <c r="P66" i="71"/>
  <c r="D36"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C40" i="69"/>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s="1"/>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J32" i="36" s="1"/>
  <c r="W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s="1"/>
  <c r="AC24" i="36" s="1"/>
  <c r="B71" i="36"/>
  <c r="D70" i="36"/>
  <c r="H22" i="36"/>
  <c r="AB22" i="36" s="1"/>
  <c r="D68" i="36"/>
  <c r="E68" i="36" s="1"/>
  <c r="F68" i="36" s="1"/>
  <c r="G68" i="36" s="1"/>
  <c r="D64" i="36"/>
  <c r="E64" i="36" s="1"/>
  <c r="F64" i="36" s="1"/>
  <c r="G64" i="36" s="1"/>
  <c r="J16" i="36"/>
  <c r="D62" i="36"/>
  <c r="E62" i="36" s="1"/>
  <c r="F62" i="36"/>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H11" i="35" s="1"/>
  <c r="AB11" i="35" s="1"/>
  <c r="B61" i="35"/>
  <c r="B59" i="35"/>
  <c r="H12" i="35" s="1"/>
  <c r="U12" i="35" s="1"/>
  <c r="B131" i="34"/>
  <c r="B129" i="34"/>
  <c r="J46" i="34" s="1"/>
  <c r="AC46" i="34" s="1"/>
  <c r="B127" i="34"/>
  <c r="B99" i="34"/>
  <c r="F32" i="34" s="1"/>
  <c r="AA32" i="34" s="1"/>
  <c r="B97" i="34"/>
  <c r="B95" i="34"/>
  <c r="H30" i="34" s="1"/>
  <c r="AB30" i="34" s="1"/>
  <c r="B93" i="34"/>
  <c r="B75" i="34"/>
  <c r="F14" i="34" s="1"/>
  <c r="B73" i="34"/>
  <c r="B71" i="34"/>
  <c r="H12" i="34" s="1"/>
  <c r="B130" i="33"/>
  <c r="B128" i="33"/>
  <c r="H45" i="33" s="1"/>
  <c r="B126" i="33"/>
  <c r="B98" i="33"/>
  <c r="F31" i="33" s="1"/>
  <c r="S31" i="33" s="1"/>
  <c r="B96" i="33"/>
  <c r="B94" i="33"/>
  <c r="H29" i="33" s="1"/>
  <c r="B74" i="33"/>
  <c r="B72" i="33"/>
  <c r="H13" i="33" s="1"/>
  <c r="U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65" i="43" s="1"/>
  <c r="C21" i="20"/>
  <c r="B56" i="43" s="1"/>
  <c r="C20" i="20"/>
  <c r="C18" i="20"/>
  <c r="C21" i="39" s="1"/>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H44" i="21" s="1"/>
  <c r="B98" i="21"/>
  <c r="H31" i="21" s="1"/>
  <c r="B96" i="21"/>
  <c r="B94" i="21"/>
  <c r="J29" i="21" s="1"/>
  <c r="AC29" i="21" s="1"/>
  <c r="B92" i="21"/>
  <c r="B90" i="21"/>
  <c r="J27" i="21" s="1"/>
  <c r="W27" i="21" s="1"/>
  <c r="B74" i="21"/>
  <c r="B72" i="21"/>
  <c r="H13" i="21" s="1"/>
  <c r="U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AA28" i="34" s="1"/>
  <c r="F27" i="34"/>
  <c r="AA27" i="34" s="1"/>
  <c r="F25" i="34"/>
  <c r="S25" i="34" s="1"/>
  <c r="H23" i="34"/>
  <c r="J23" i="34"/>
  <c r="AC23" i="34" s="1"/>
  <c r="F19" i="34"/>
  <c r="H17" i="34"/>
  <c r="U17" i="34" s="1"/>
  <c r="F15" i="34"/>
  <c r="AA15" i="34" s="1"/>
  <c r="J15" i="34"/>
  <c r="H15" i="34"/>
  <c r="AB15" i="34" s="1"/>
  <c r="W8" i="34"/>
  <c r="F41" i="33"/>
  <c r="AA41" i="33" s="1"/>
  <c r="S38" i="33"/>
  <c r="E113" i="33"/>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31" i="21"/>
  <c r="S31" i="21" s="1"/>
  <c r="F45" i="21"/>
  <c r="AA45" i="21" s="1"/>
  <c r="F27" i="33"/>
  <c r="AA27" i="33" s="1"/>
  <c r="J13" i="33"/>
  <c r="W13" i="33" s="1"/>
  <c r="J29" i="33"/>
  <c r="AC29" i="33" s="1"/>
  <c r="F29" i="33"/>
  <c r="S29" i="33" s="1"/>
  <c r="H31" i="33"/>
  <c r="U31" i="33" s="1"/>
  <c r="J45" i="33"/>
  <c r="W45" i="33" s="1"/>
  <c r="J14" i="34"/>
  <c r="W14" i="34" s="1"/>
  <c r="H14" i="34"/>
  <c r="AB14" i="34" s="1"/>
  <c r="J30" i="34"/>
  <c r="W30" i="34" s="1"/>
  <c r="J32" i="34"/>
  <c r="W32" i="34" s="1"/>
  <c r="F46" i="34"/>
  <c r="AA46" i="34" s="1"/>
  <c r="J26" i="36"/>
  <c r="W26" i="36" s="1"/>
  <c r="H28" i="36"/>
  <c r="U28" i="36" s="1"/>
  <c r="J11" i="36"/>
  <c r="AC11" i="36" s="1"/>
  <c r="H11" i="36"/>
  <c r="U11" i="36" s="1"/>
  <c r="F11" i="36"/>
  <c r="AA11" i="36" s="1"/>
  <c r="H13" i="36"/>
  <c r="AB13" i="36" s="1"/>
  <c r="J13" i="36"/>
  <c r="W13" i="36" s="1"/>
  <c r="S13" i="36"/>
  <c r="F89" i="37"/>
  <c r="G89" i="37" s="1"/>
  <c r="H89" i="37" s="1"/>
  <c r="I89" i="37" s="1"/>
  <c r="J89" i="37" s="1"/>
  <c r="K89" i="37" s="1"/>
  <c r="L89" i="37" s="1"/>
  <c r="M89" i="37" s="1"/>
  <c r="J29" i="37"/>
  <c r="W29" i="37" s="1"/>
  <c r="F29" i="37"/>
  <c r="S29" i="37" s="1"/>
  <c r="F105" i="37"/>
  <c r="H36" i="37"/>
  <c r="AB36" i="37" s="1"/>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U31" i="34"/>
  <c r="J36" i="37"/>
  <c r="AC36" i="37" s="1"/>
  <c r="G105" i="37"/>
  <c r="J10" i="36"/>
  <c r="AC10" i="36" s="1"/>
  <c r="AB26" i="33"/>
  <c r="AB30" i="21"/>
  <c r="AC13" i="36"/>
  <c r="S11" i="36"/>
  <c r="AC30" i="34"/>
  <c r="AB31" i="33"/>
  <c r="W29" i="33"/>
  <c r="S44" i="34"/>
  <c r="BA586" i="3"/>
  <c r="BA585" i="3"/>
  <c r="F17" i="21"/>
  <c r="AA17" i="21" s="1"/>
  <c r="H17" i="21"/>
  <c r="AB17" i="21" s="1"/>
  <c r="F15" i="21"/>
  <c r="S15" i="21" s="1"/>
  <c r="J41" i="39"/>
  <c r="W41" i="39" s="1"/>
  <c r="AC45" i="39"/>
  <c r="W44" i="39"/>
  <c r="W36"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BA520" i="3"/>
  <c r="BA512" i="3"/>
  <c r="BA510" i="3"/>
  <c r="BA508" i="3"/>
  <c r="AZ508" i="3" s="1"/>
  <c r="BA504" i="3"/>
  <c r="BA502" i="3"/>
  <c r="BA498" i="3"/>
  <c r="AZ498" i="3" s="1"/>
  <c r="BA496" i="3"/>
  <c r="BA587" i="3"/>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U35" i="35"/>
  <c r="AA12" i="35"/>
  <c r="W14" i="37"/>
  <c r="AB28" i="37"/>
  <c r="U33" i="37"/>
  <c r="U39" i="37"/>
  <c r="W26" i="37"/>
  <c r="W47" i="34"/>
  <c r="AC36" i="34"/>
  <c r="W44" i="33"/>
  <c r="U19" i="21"/>
  <c r="U26" i="21"/>
  <c r="U12" i="21"/>
  <c r="F43" i="33"/>
  <c r="AA43" i="33" s="1"/>
  <c r="W15" i="34"/>
  <c r="AC15" i="34"/>
  <c r="W16" i="35"/>
  <c r="G107" i="37"/>
  <c r="H107" i="37" s="1"/>
  <c r="I107" i="37" s="1"/>
  <c r="J107" i="37" s="1"/>
  <c r="K107" i="37" s="1"/>
  <c r="L107" i="37" s="1"/>
  <c r="M107" i="37" s="1"/>
  <c r="H19" i="34"/>
  <c r="AB19" i="34"/>
  <c r="F36" i="35"/>
  <c r="S36" i="35"/>
  <c r="H9" i="37"/>
  <c r="U9" i="37" s="1"/>
  <c r="J12" i="37"/>
  <c r="W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AA25" i="21"/>
  <c r="H19" i="40"/>
  <c r="U19" i="40"/>
  <c r="F19" i="40"/>
  <c r="S19" i="40"/>
  <c r="S14" i="40"/>
  <c r="AC13" i="40"/>
  <c r="W23" i="39"/>
  <c r="W43"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S42" i="39"/>
  <c r="AA41" i="39"/>
  <c r="W9" i="39"/>
  <c r="J19" i="40"/>
  <c r="AC19" i="40"/>
  <c r="J50" i="40"/>
  <c r="H103" i="9"/>
  <c r="D8" i="53" s="1"/>
  <c r="B16" i="53"/>
  <c r="B33" i="72" s="1"/>
  <c r="C7" i="37"/>
  <c r="C52" i="37" s="1"/>
  <c r="D52" i="37" s="1"/>
  <c r="C7" i="36"/>
  <c r="C46" i="36" s="1"/>
  <c r="D46" i="36" s="1"/>
  <c r="E46" i="36" s="1"/>
  <c r="F46" i="36" s="1"/>
  <c r="G46" i="36" s="1"/>
  <c r="H46" i="36" s="1"/>
  <c r="I46" i="36" s="1"/>
  <c r="A118" i="9"/>
  <c r="A4" i="52"/>
  <c r="B41" i="72" s="1"/>
  <c r="J11" i="39"/>
  <c r="W11" i="39" s="1"/>
  <c r="F11" i="39"/>
  <c r="AA11" i="39" s="1"/>
  <c r="G4" i="4"/>
  <c r="I4" i="4"/>
  <c r="A2" i="9"/>
  <c r="F61" i="43"/>
  <c r="H64" i="43" s="1"/>
  <c r="AZ20" i="3"/>
  <c r="AZ32" i="3"/>
  <c r="BL549" i="3"/>
  <c r="AZ549" i="3" s="1"/>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75" i="3"/>
  <c r="AZ79" i="3"/>
  <c r="AZ83" i="3"/>
  <c r="AZ152" i="3"/>
  <c r="AZ168" i="3"/>
  <c r="AZ184" i="3"/>
  <c r="AZ192" i="3"/>
  <c r="AZ200" i="3"/>
  <c r="AZ85" i="3"/>
  <c r="AZ93" i="3"/>
  <c r="AZ101" i="3"/>
  <c r="AZ128" i="3"/>
  <c r="G530" i="3"/>
  <c r="G516" i="3"/>
  <c r="G506"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38" i="3"/>
  <c r="AZ146" i="3"/>
  <c r="AZ162" i="3"/>
  <c r="AZ170" i="3"/>
  <c r="AZ174" i="3"/>
  <c r="AZ182" i="3"/>
  <c r="AZ186" i="3"/>
  <c r="AZ190" i="3"/>
  <c r="AZ198" i="3"/>
  <c r="AZ202" i="3"/>
  <c r="BA16" i="3"/>
  <c r="AZ16" i="3" s="1"/>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G328" i="3"/>
  <c r="BA330" i="3"/>
  <c r="BL331" i="3"/>
  <c r="AZ331" i="3" s="1"/>
  <c r="G332" i="3"/>
  <c r="BA334" i="3"/>
  <c r="AZ334" i="3" s="1"/>
  <c r="BL335" i="3"/>
  <c r="G336" i="3"/>
  <c r="BA338" i="3"/>
  <c r="AZ338" i="3" s="1"/>
  <c r="BL339" i="3"/>
  <c r="G340" i="3"/>
  <c r="BL343" i="3"/>
  <c r="G344" i="3"/>
  <c r="G348" i="3"/>
  <c r="G355" i="3"/>
  <c r="AZ214" i="3"/>
  <c r="AZ222" i="3"/>
  <c r="G342" i="3"/>
  <c r="BL345" i="3"/>
  <c r="AZ345" i="3"/>
  <c r="G346" i="3"/>
  <c r="BL349" i="3"/>
  <c r="AZ349" i="3"/>
  <c r="BL352" i="3"/>
  <c r="G353" i="3"/>
  <c r="BA357" i="3"/>
  <c r="AZ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87" i="3"/>
  <c r="AZ291" i="3"/>
  <c r="AZ295" i="3"/>
  <c r="AZ299" i="3"/>
  <c r="BM5" i="3"/>
  <c r="BH5" i="3"/>
  <c r="BD5" i="3"/>
  <c r="AZ333" i="3"/>
  <c r="BQ5" i="3"/>
  <c r="AZ496" i="3"/>
  <c r="G548" i="3"/>
  <c r="G538" i="3"/>
  <c r="G502" i="3"/>
  <c r="BP5" i="3"/>
  <c r="BI5" i="3"/>
  <c r="BE5" i="3"/>
  <c r="G17" i="3"/>
  <c r="BA17" i="3"/>
  <c r="BT5" i="3"/>
  <c r="AZ350" i="3"/>
  <c r="AZ368" i="3"/>
  <c r="BA15" i="3"/>
  <c r="BR5" i="3"/>
  <c r="AZ384" i="3"/>
  <c r="AZ388" i="3"/>
  <c r="AZ392" i="3"/>
  <c r="AZ394" i="3"/>
  <c r="G509" i="3"/>
  <c r="BL493" i="3"/>
  <c r="AZ376" i="3"/>
  <c r="U36" i="40"/>
  <c r="F83" i="43"/>
  <c r="H85" i="43" s="1"/>
  <c r="F50" i="43"/>
  <c r="H54" i="43" s="1"/>
  <c r="F72" i="43"/>
  <c r="H75" i="43" s="1"/>
  <c r="U17" i="39"/>
  <c r="U43" i="21"/>
  <c r="U35" i="21"/>
  <c r="AC35" i="21"/>
  <c r="G8" i="1"/>
  <c r="G10" i="1"/>
  <c r="W37" i="37"/>
  <c r="W44" i="34"/>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s="1"/>
  <c r="AB23" i="35"/>
  <c r="AB29" i="36"/>
  <c r="U29" i="36"/>
  <c r="H32" i="37"/>
  <c r="AB32" i="37" s="1"/>
  <c r="F96" i="37"/>
  <c r="G96" i="37" s="1"/>
  <c r="H96" i="37" s="1"/>
  <c r="I96" i="37" s="1"/>
  <c r="J96" i="37" s="1"/>
  <c r="K96" i="37" s="1"/>
  <c r="L96" i="37" s="1"/>
  <c r="M96" i="37"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C40" i="11"/>
  <c r="AZ215" i="3"/>
  <c r="AZ227" i="3"/>
  <c r="AZ240" i="3"/>
  <c r="AZ243" i="3"/>
  <c r="AZ256" i="3"/>
  <c r="AZ259" i="3"/>
  <c r="AZ268" i="3"/>
  <c r="AZ288" i="3"/>
  <c r="AZ117" i="3"/>
  <c r="AZ133" i="3"/>
  <c r="AZ29" i="3"/>
  <c r="AZ31" i="3"/>
  <c r="AZ33" i="3"/>
  <c r="AZ50" i="3"/>
  <c r="AZ53" i="3"/>
  <c r="AZ66" i="3"/>
  <c r="AZ69" i="3"/>
  <c r="AZ77" i="3"/>
  <c r="AZ82" i="3"/>
  <c r="AZ86" i="3"/>
  <c r="AZ94"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7" i="34"/>
  <c r="AB34" i="36"/>
  <c r="U34" i="36"/>
  <c r="AC12" i="39"/>
  <c r="W12" i="39"/>
  <c r="AC39" i="40"/>
  <c r="W39" i="40"/>
  <c r="AZ412" i="3"/>
  <c r="AZ428" i="3"/>
  <c r="AZ433" i="3"/>
  <c r="AZ465" i="3"/>
  <c r="AC12" i="33"/>
  <c r="AZ457" i="3"/>
  <c r="AZ473" i="3"/>
  <c r="BL14" i="3"/>
  <c r="AZ266" i="3"/>
  <c r="U30" i="33"/>
  <c r="AC13" i="34"/>
  <c r="AA47" i="34"/>
  <c r="W28" i="37"/>
  <c r="F12" i="33"/>
  <c r="AA12" i="33" s="1"/>
  <c r="H12" i="39"/>
  <c r="AB12" i="39" s="1"/>
  <c r="F39" i="40"/>
  <c r="BA14" i="3"/>
  <c r="AZ14" i="3" s="1"/>
  <c r="AZ213" i="3"/>
  <c r="AZ224" i="3"/>
  <c r="AZ238" i="3"/>
  <c r="AZ254" i="3"/>
  <c r="AZ281" i="3"/>
  <c r="AZ286" i="3"/>
  <c r="AZ297" i="3"/>
  <c r="AZ157" i="3"/>
  <c r="AZ181" i="3"/>
  <c r="AZ197" i="3"/>
  <c r="AZ35" i="3"/>
  <c r="B12" i="1"/>
  <c r="E12" i="1" s="1"/>
  <c r="B10" i="1"/>
  <c r="E10" i="1" s="1"/>
  <c r="AZ80" i="3"/>
  <c r="AZ84" i="3"/>
  <c r="AZ88" i="3"/>
  <c r="K12" i="1"/>
  <c r="M12" i="1" s="1"/>
  <c r="S13" i="1"/>
  <c r="AR13" i="1" s="1"/>
  <c r="R13" i="1"/>
  <c r="J51" i="67"/>
  <c r="C42" i="1"/>
  <c r="AA34" i="33"/>
  <c r="B41" i="1"/>
  <c r="AB37" i="40"/>
  <c r="S35" i="40"/>
  <c r="U35" i="40"/>
  <c r="W38" i="40"/>
  <c r="S17" i="40"/>
  <c r="S23" i="40"/>
  <c r="AC17" i="40"/>
  <c r="S30" i="40"/>
  <c r="AA19" i="40"/>
  <c r="S28"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S24" i="36"/>
  <c r="U24" i="36"/>
  <c r="U16" i="36"/>
  <c r="S14" i="36"/>
  <c r="AA25" i="35"/>
  <c r="S23" i="35"/>
  <c r="W24" i="35"/>
  <c r="AB13" i="35"/>
  <c r="U28" i="35"/>
  <c r="AB27" i="35"/>
  <c r="U32" i="35"/>
  <c r="AA33" i="35"/>
  <c r="AC30" i="35"/>
  <c r="AA36" i="35"/>
  <c r="AB16" i="35"/>
  <c r="S20" i="35"/>
  <c r="AC20" i="35"/>
  <c r="S22" i="35"/>
  <c r="U14" i="35"/>
  <c r="AC9" i="35"/>
  <c r="W9" i="35"/>
  <c r="W13" i="35"/>
  <c r="F9" i="35"/>
  <c r="S9" i="35" s="1"/>
  <c r="H9" i="35"/>
  <c r="U9" i="35" s="1"/>
  <c r="S25" i="37"/>
  <c r="S26" i="37"/>
  <c r="U29" i="37"/>
  <c r="S32" i="37"/>
  <c r="AB31" i="37"/>
  <c r="W30" i="37"/>
  <c r="S36" i="37"/>
  <c r="AA38" i="37"/>
  <c r="U32" i="37"/>
  <c r="W38" i="37"/>
  <c r="AC35" i="37"/>
  <c r="W39" i="37"/>
  <c r="S30" i="37"/>
  <c r="AC15" i="37"/>
  <c r="J17" i="37"/>
  <c r="W17" i="37" s="1"/>
  <c r="F17" i="37"/>
  <c r="AA17" i="37" s="1"/>
  <c r="AB17" i="37"/>
  <c r="F19" i="37"/>
  <c r="AA19" i="37" s="1"/>
  <c r="F79" i="37"/>
  <c r="F23" i="37"/>
  <c r="S23" i="37" s="1"/>
  <c r="U23" i="37"/>
  <c r="AC13" i="37"/>
  <c r="H10" i="37"/>
  <c r="AB10" i="37" s="1"/>
  <c r="F11" i="37"/>
  <c r="S11" i="37" s="1"/>
  <c r="S27" i="34"/>
  <c r="W25" i="34"/>
  <c r="AB8" i="34"/>
  <c r="AA33" i="34"/>
  <c r="U43" i="34"/>
  <c r="W41" i="34"/>
  <c r="AC42" i="34"/>
  <c r="AB35" i="34"/>
  <c r="U39" i="34"/>
  <c r="S43" i="34"/>
  <c r="AB41" i="34"/>
  <c r="AA45" i="34"/>
  <c r="S17" i="34"/>
  <c r="AA29" i="34"/>
  <c r="U27" i="34"/>
  <c r="S23" i="34"/>
  <c r="U15" i="34"/>
  <c r="S13" i="34"/>
  <c r="H10" i="34"/>
  <c r="AB10" i="34" s="1"/>
  <c r="F11" i="34"/>
  <c r="S11" i="34" s="1"/>
  <c r="W42"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6" i="33"/>
  <c r="S43" i="33"/>
  <c r="H27" i="33"/>
  <c r="AB27" i="33" s="1"/>
  <c r="F87" i="33"/>
  <c r="H25" i="33"/>
  <c r="AB25" i="33" s="1"/>
  <c r="F25" i="33"/>
  <c r="J23" i="33"/>
  <c r="W23" i="33" s="1"/>
  <c r="H23" i="33"/>
  <c r="U23" i="33" s="1"/>
  <c r="F81" i="33"/>
  <c r="F19" i="33"/>
  <c r="S19" i="33" s="1"/>
  <c r="W19" i="33"/>
  <c r="J17" i="33"/>
  <c r="F79" i="33"/>
  <c r="G79" i="33" s="1"/>
  <c r="W15" i="33"/>
  <c r="J10" i="33"/>
  <c r="W10" i="33" s="1"/>
  <c r="H10" i="33"/>
  <c r="U10" i="33" s="1"/>
  <c r="AC11" i="33"/>
  <c r="AB14" i="33"/>
  <c r="W43" i="21"/>
  <c r="W41" i="21"/>
  <c r="AB39" i="21"/>
  <c r="AA43" i="21"/>
  <c r="S39" i="21"/>
  <c r="J15" i="21"/>
  <c r="W15" i="21" s="1"/>
  <c r="F23" i="21"/>
  <c r="S23" i="21" s="1"/>
  <c r="E85" i="21"/>
  <c r="AA14" i="21"/>
  <c r="C18" i="9"/>
  <c r="D18" i="9" s="1"/>
  <c r="F34" i="67"/>
  <c r="F62" i="67" s="1"/>
  <c r="M20" i="67"/>
  <c r="F34" i="15"/>
  <c r="F62" i="15" s="1"/>
  <c r="BA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AB31" i="40"/>
  <c r="S37" i="40"/>
  <c r="AB28" i="40"/>
  <c r="W34" i="40"/>
  <c r="W19" i="40"/>
  <c r="S36" i="40"/>
  <c r="W37" i="40"/>
  <c r="AC14" i="40"/>
  <c r="S13" i="40"/>
  <c r="AA15" i="40"/>
  <c r="U11" i="40"/>
  <c r="S31" i="40"/>
  <c r="U15" i="40"/>
  <c r="AB17" i="40"/>
  <c r="U8" i="40"/>
  <c r="AA39" i="39"/>
  <c r="AC41" i="39"/>
  <c r="U42" i="39"/>
  <c r="U41" i="39"/>
  <c r="W25" i="39"/>
  <c r="U13" i="39"/>
  <c r="AA13" i="39"/>
  <c r="S14" i="39"/>
  <c r="AA14" i="39"/>
  <c r="AB11" i="39"/>
  <c r="U11" i="39"/>
  <c r="AA27" i="39"/>
  <c r="S27" i="39"/>
  <c r="W17" i="39"/>
  <c r="AC17" i="39"/>
  <c r="W31" i="39"/>
  <c r="S23" i="39"/>
  <c r="AB39" i="39"/>
  <c r="U38" i="39"/>
  <c r="S20" i="36"/>
  <c r="AC20" i="36"/>
  <c r="AB28" i="36"/>
  <c r="AA13" i="36"/>
  <c r="W9" i="36"/>
  <c r="W22" i="36"/>
  <c r="S9" i="36"/>
  <c r="AB20" i="35"/>
  <c r="U25" i="35"/>
  <c r="U24" i="35"/>
  <c r="W35" i="35"/>
  <c r="AA16" i="35"/>
  <c r="AA35" i="37"/>
  <c r="S27" i="37"/>
  <c r="S28" i="37"/>
  <c r="W32" i="37"/>
  <c r="U36" i="37"/>
  <c r="U38" i="37"/>
  <c r="AB37" i="37"/>
  <c r="AC34" i="37"/>
  <c r="AB35" i="37"/>
  <c r="AA31" i="37"/>
  <c r="U19" i="37"/>
  <c r="AA29" i="37"/>
  <c r="U8" i="37"/>
  <c r="AB40" i="34"/>
  <c r="U19" i="34"/>
  <c r="W19" i="34"/>
  <c r="AB33" i="34"/>
  <c r="AC45" i="34"/>
  <c r="AB45" i="34"/>
  <c r="AB47" i="34"/>
  <c r="U25" i="34"/>
  <c r="AB36" i="34"/>
  <c r="AC14" i="34"/>
  <c r="AC29" i="34"/>
  <c r="W29" i="34"/>
  <c r="W46" i="34"/>
  <c r="S32" i="34"/>
  <c r="U30" i="34"/>
  <c r="S37" i="34"/>
  <c r="AC40" i="34"/>
  <c r="W40" i="34"/>
  <c r="AA19" i="34"/>
  <c r="S19" i="34"/>
  <c r="AA36" i="34"/>
  <c r="S36" i="34"/>
  <c r="AA8" i="34"/>
  <c r="S46" i="34"/>
  <c r="U14" i="34"/>
  <c r="AC43" i="34"/>
  <c r="W43" i="34"/>
  <c r="W23" i="34"/>
  <c r="AC35" i="34"/>
  <c r="W35" i="34"/>
  <c r="AC37" i="33"/>
  <c r="W46" i="33"/>
  <c r="U39" i="33"/>
  <c r="U38" i="33"/>
  <c r="S33" i="33"/>
  <c r="AB34" i="33"/>
  <c r="U44" i="33"/>
  <c r="AB44" i="33"/>
  <c r="S30" i="33"/>
  <c r="AA30" i="33"/>
  <c r="AC14" i="33"/>
  <c r="W14" i="33"/>
  <c r="AC30" i="33"/>
  <c r="W30" i="33"/>
  <c r="AA31" i="33"/>
  <c r="AC13" i="33"/>
  <c r="U15" i="33"/>
  <c r="S11" i="33"/>
  <c r="W9" i="33"/>
  <c r="S44" i="21"/>
  <c r="AB42" i="21"/>
  <c r="U28" i="21"/>
  <c r="F33" i="21"/>
  <c r="AA33" i="21" s="1"/>
  <c r="J33" i="21"/>
  <c r="AC33" i="21" s="1"/>
  <c r="H33" i="21"/>
  <c r="AB33" i="21" s="1"/>
  <c r="F37" i="21"/>
  <c r="AA37" i="21" s="1"/>
  <c r="AA26" i="21"/>
  <c r="AB14" i="21"/>
  <c r="AB46" i="21"/>
  <c r="U40" i="21"/>
  <c r="AB13" i="21"/>
  <c r="S35" i="21"/>
  <c r="J37" i="21"/>
  <c r="W37" i="21" s="1"/>
  <c r="H15" i="21"/>
  <c r="U15" i="21" s="1"/>
  <c r="J17" i="21"/>
  <c r="AC17" i="21" s="1"/>
  <c r="AC19" i="21"/>
  <c r="W39" i="21"/>
  <c r="AC14" i="21"/>
  <c r="W30" i="21"/>
  <c r="S46" i="21"/>
  <c r="H45" i="21"/>
  <c r="U45" i="21" s="1"/>
  <c r="F29" i="21"/>
  <c r="S29" i="21" s="1"/>
  <c r="F13" i="21"/>
  <c r="AA13" i="21" s="1"/>
  <c r="H32" i="21"/>
  <c r="U32" i="21" s="1"/>
  <c r="H9" i="21"/>
  <c r="U9" i="21" s="1"/>
  <c r="J32" i="21"/>
  <c r="W32" i="21" s="1"/>
  <c r="F32" i="21"/>
  <c r="S32" i="21" s="1"/>
  <c r="AA31" i="21"/>
  <c r="W29" i="21"/>
  <c r="S19" i="21"/>
  <c r="S9" i="21"/>
  <c r="K141" i="21"/>
  <c r="K144" i="21"/>
  <c r="K143" i="21"/>
  <c r="AB25" i="21"/>
  <c r="AA30" i="21"/>
  <c r="AC45" i="21"/>
  <c r="F10" i="21"/>
  <c r="AA10" i="21" s="1"/>
  <c r="K145" i="21"/>
  <c r="W25" i="21"/>
  <c r="AA29" i="21"/>
  <c r="S17" i="21"/>
  <c r="AA15" i="21"/>
  <c r="AC26" i="21"/>
  <c r="S28" i="21"/>
  <c r="AB36" i="21"/>
  <c r="W30" i="40"/>
  <c r="C19" i="39"/>
  <c r="C15" i="40"/>
  <c r="C17" i="40"/>
  <c r="C23" i="40"/>
  <c r="C21" i="40"/>
  <c r="U30" i="40"/>
  <c r="B67" i="43"/>
  <c r="B54" i="43"/>
  <c r="B58" i="43"/>
  <c r="B62"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S19" i="37"/>
  <c r="AA23" i="37"/>
  <c r="J23" i="37"/>
  <c r="G79" i="37"/>
  <c r="J10" i="37"/>
  <c r="W10" i="37" s="1"/>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J27" i="33"/>
  <c r="AC27" i="33" s="1"/>
  <c r="U25" i="33"/>
  <c r="S25" i="33"/>
  <c r="AA25" i="33"/>
  <c r="G87" i="33"/>
  <c r="H87" i="33" s="1"/>
  <c r="I87" i="33" s="1"/>
  <c r="J87" i="33" s="1"/>
  <c r="K87" i="33" s="1"/>
  <c r="L87" i="33" s="1"/>
  <c r="M87" i="33" s="1"/>
  <c r="J25" i="33"/>
  <c r="AB23" i="33"/>
  <c r="F23" i="33"/>
  <c r="AA23" i="33" s="1"/>
  <c r="AC23" i="33"/>
  <c r="AA19" i="33"/>
  <c r="H19" i="33"/>
  <c r="AB19" i="33" s="1"/>
  <c r="G81" i="33"/>
  <c r="H17" i="33"/>
  <c r="U17" i="33" s="1"/>
  <c r="F17" i="33"/>
  <c r="W17" i="33"/>
  <c r="AC17" i="33"/>
  <c r="J23" i="21"/>
  <c r="AC23" i="21" s="1"/>
  <c r="F85" i="21"/>
  <c r="G85" i="21" s="1"/>
  <c r="H23" i="21"/>
  <c r="U23" i="21" s="1"/>
  <c r="AP7" i="1"/>
  <c r="AB9" i="21"/>
  <c r="AA32" i="21"/>
  <c r="AB32" i="21"/>
  <c r="A18" i="62"/>
  <c r="B64" i="72" s="1"/>
  <c r="U32" i="39"/>
  <c r="AC32" i="39"/>
  <c r="W19" i="37"/>
  <c r="W23" i="37"/>
  <c r="AC23" i="37"/>
  <c r="J11" i="37"/>
  <c r="AC11" i="37" s="1"/>
  <c r="J11" i="34"/>
  <c r="W11" i="34" s="1"/>
  <c r="W27" i="33"/>
  <c r="W25" i="33"/>
  <c r="AC25" i="33"/>
  <c r="S23" i="33"/>
  <c r="U19" i="33"/>
  <c r="AA17" i="33"/>
  <c r="S17" i="33"/>
  <c r="AB23" i="21"/>
  <c r="H109" i="9"/>
  <c r="M49" i="9" s="1"/>
  <c r="D16" i="53"/>
  <c r="B34" i="72" s="1"/>
  <c r="H112" i="9"/>
  <c r="D21" i="53"/>
  <c r="B39" i="72" s="1"/>
  <c r="H111" i="9"/>
  <c r="D126" i="9" s="1"/>
  <c r="D19" i="53"/>
  <c r="B38" i="72" s="1"/>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3" i="43" s="1"/>
  <c r="F42" i="15"/>
  <c r="F7" i="67"/>
  <c r="M29" i="15"/>
  <c r="F8" i="15"/>
  <c r="M29" i="67"/>
  <c r="F40" i="15"/>
  <c r="C76" i="15"/>
  <c r="M9" i="67"/>
  <c r="M26" i="15"/>
  <c r="E8" i="76"/>
  <c r="M26" i="67"/>
  <c r="F7" i="15"/>
  <c r="F4" i="73"/>
  <c r="F16" i="15"/>
  <c r="M23" i="15"/>
  <c r="F6" i="67"/>
  <c r="C76" i="67"/>
  <c r="F16" i="67"/>
  <c r="F37" i="67"/>
  <c r="L48" i="15"/>
  <c r="F40" i="67"/>
  <c r="AO13" i="1"/>
  <c r="E2" i="68"/>
  <c r="M28" i="67"/>
  <c r="M24" i="67"/>
  <c r="B8" i="76"/>
  <c r="B7" i="76"/>
  <c r="F26" i="67"/>
  <c r="F9" i="67"/>
  <c r="F42" i="67"/>
  <c r="F13" i="67"/>
  <c r="F36" i="15"/>
  <c r="B12" i="76"/>
  <c r="D5" i="73"/>
  <c r="L47" i="67"/>
  <c r="F20" i="31"/>
  <c r="D35" i="9"/>
  <c r="E2" i="69"/>
  <c r="M28" i="15"/>
  <c r="F38" i="67"/>
  <c r="F3" i="73"/>
  <c r="M8" i="67"/>
  <c r="E13" i="76"/>
  <c r="F43" i="67"/>
  <c r="F6" i="73"/>
  <c r="L47" i="15"/>
  <c r="F26" i="15"/>
  <c r="M22" i="67"/>
  <c r="F8" i="67"/>
  <c r="B9" i="76"/>
  <c r="M6" i="15"/>
  <c r="F9" i="15"/>
  <c r="J15" i="15"/>
  <c r="M9" i="15"/>
  <c r="F36" i="67"/>
  <c r="M8" i="15"/>
  <c r="F37" i="15"/>
  <c r="B10" i="76"/>
  <c r="F43" i="15"/>
  <c r="M24" i="15"/>
  <c r="M22" i="15"/>
  <c r="E12" i="76"/>
  <c r="B11" i="76"/>
  <c r="E7" i="76"/>
  <c r="F13" i="15"/>
  <c r="E10" i="76"/>
  <c r="M23" i="67"/>
  <c r="F7" i="73"/>
  <c r="J15" i="67"/>
  <c r="B13" i="76"/>
  <c r="F6" i="15"/>
  <c r="D7" i="73"/>
  <c r="M6" i="67"/>
  <c r="E11" i="76"/>
  <c r="F5" i="73"/>
  <c r="F38" i="15"/>
  <c r="D34" i="9"/>
  <c r="E9" i="76"/>
  <c r="S32" i="35" l="1"/>
  <c r="AA23" i="21"/>
  <c r="W23" i="21"/>
  <c r="AC21" i="21"/>
  <c r="W17" i="21"/>
  <c r="U17" i="21"/>
  <c r="AB15" i="21"/>
  <c r="AC40" i="21"/>
  <c r="W42" i="21"/>
  <c r="AC38" i="21"/>
  <c r="W36" i="21"/>
  <c r="S27" i="21"/>
  <c r="U27" i="21"/>
  <c r="AC27" i="21"/>
  <c r="S42" i="21"/>
  <c r="AA38" i="21"/>
  <c r="AB38" i="21"/>
  <c r="AC34" i="21"/>
  <c r="U34" i="21"/>
  <c r="U31" i="21"/>
  <c r="AB31" i="21"/>
  <c r="C21" i="71"/>
  <c r="AB17" i="33"/>
  <c r="AB36" i="33"/>
  <c r="AC15" i="21"/>
  <c r="AZ515" i="3"/>
  <c r="AZ565" i="3"/>
  <c r="AZ569" i="3"/>
  <c r="AZ573" i="3"/>
  <c r="AZ583" i="3"/>
  <c r="F48" i="9"/>
  <c r="O52" i="9" s="1"/>
  <c r="D68" i="82"/>
  <c r="F54" i="82"/>
  <c r="F52" i="82"/>
  <c r="F30" i="81"/>
  <c r="F53" i="82"/>
  <c r="F48" i="82"/>
  <c r="O52" i="82" s="1"/>
  <c r="C24" i="12"/>
  <c r="C77" i="82"/>
  <c r="C74" i="82" s="1"/>
  <c r="AZ377" i="3"/>
  <c r="AZ326" i="3"/>
  <c r="AZ390" i="3"/>
  <c r="AZ356" i="3"/>
  <c r="AZ347" i="3"/>
  <c r="AZ344" i="3"/>
  <c r="AZ313" i="3"/>
  <c r="AZ378" i="3"/>
  <c r="AZ341" i="3"/>
  <c r="AZ327" i="3"/>
  <c r="AZ325" i="3"/>
  <c r="AZ309" i="3"/>
  <c r="U43" i="33"/>
  <c r="AZ545" i="3"/>
  <c r="AZ493" i="3"/>
  <c r="AZ511" i="3"/>
  <c r="AZ519" i="3"/>
  <c r="AZ577" i="3"/>
  <c r="AZ504" i="3"/>
  <c r="AZ520" i="3"/>
  <c r="AZ532" i="3"/>
  <c r="AZ544" i="3"/>
  <c r="AZ554" i="3"/>
  <c r="AZ558" i="3"/>
  <c r="AZ585" i="3"/>
  <c r="AA14" i="37"/>
  <c r="U46" i="33"/>
  <c r="AA13" i="35"/>
  <c r="BL586" i="3"/>
  <c r="AZ586" i="3" s="1"/>
  <c r="BL541" i="3"/>
  <c r="AZ541" i="3" s="1"/>
  <c r="BL540" i="3"/>
  <c r="AZ540" i="3" s="1"/>
  <c r="BA539" i="3"/>
  <c r="AZ539" i="3" s="1"/>
  <c r="BL538" i="3"/>
  <c r="BL537" i="3"/>
  <c r="AZ537" i="3" s="1"/>
  <c r="BA535" i="3"/>
  <c r="AZ535" i="3" s="1"/>
  <c r="BL533" i="3"/>
  <c r="AZ533" i="3" s="1"/>
  <c r="BA531" i="3"/>
  <c r="AZ531" i="3" s="1"/>
  <c r="BL530" i="3"/>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AZ513" i="3" s="1"/>
  <c r="BL512" i="3"/>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BL495" i="3"/>
  <c r="BA495" i="3"/>
  <c r="BO5" i="3"/>
  <c r="BL494" i="3"/>
  <c r="BJ5" i="3"/>
  <c r="BF5" i="3"/>
  <c r="BA494" i="3"/>
  <c r="BS5" i="3"/>
  <c r="BN5" i="3"/>
  <c r="BK5" i="3"/>
  <c r="BG5" i="3"/>
  <c r="BC5" i="3"/>
  <c r="D78" i="9"/>
  <c r="D93" i="82"/>
  <c r="D78" i="82"/>
  <c r="AZ429" i="3"/>
  <c r="AZ435" i="3"/>
  <c r="AZ439" i="3"/>
  <c r="AZ450" i="3"/>
  <c r="AZ454" i="3"/>
  <c r="AZ459" i="3"/>
  <c r="AZ477" i="3"/>
  <c r="AZ488" i="3"/>
  <c r="AZ221" i="3"/>
  <c r="AZ230" i="3"/>
  <c r="G582" i="3"/>
  <c r="BL581" i="3"/>
  <c r="BA581" i="3"/>
  <c r="G581" i="3"/>
  <c r="BA580" i="3"/>
  <c r="AZ580" i="3" s="1"/>
  <c r="G580" i="3"/>
  <c r="BL579" i="3"/>
  <c r="BA579" i="3"/>
  <c r="AZ579" i="3" s="1"/>
  <c r="BL578" i="3"/>
  <c r="BA578" i="3"/>
  <c r="G577" i="3"/>
  <c r="BL576" i="3"/>
  <c r="AZ576" i="3" s="1"/>
  <c r="BA576" i="3"/>
  <c r="BL575" i="3"/>
  <c r="BA575" i="3"/>
  <c r="BA574" i="3"/>
  <c r="AZ574" i="3" s="1"/>
  <c r="G566" i="3"/>
  <c r="G565" i="3"/>
  <c r="BA564" i="3"/>
  <c r="AZ564" i="3" s="1"/>
  <c r="G564" i="3"/>
  <c r="BL563" i="3"/>
  <c r="BA563" i="3"/>
  <c r="AZ563" i="3" s="1"/>
  <c r="BL562" i="3"/>
  <c r="BA562" i="3"/>
  <c r="BL561" i="3"/>
  <c r="AZ561" i="3" s="1"/>
  <c r="G561" i="3"/>
  <c r="BL560" i="3"/>
  <c r="BA560" i="3"/>
  <c r="AZ560" i="3" s="1"/>
  <c r="BA559" i="3"/>
  <c r="AZ559" i="3" s="1"/>
  <c r="G552" i="3"/>
  <c r="BL551" i="3"/>
  <c r="BA551" i="3"/>
  <c r="BL550" i="3"/>
  <c r="BA550" i="3"/>
  <c r="G549" i="3"/>
  <c r="G13" i="3"/>
  <c r="BL15" i="3"/>
  <c r="AZ15" i="3" s="1"/>
  <c r="G41" i="69"/>
  <c r="G22" i="81"/>
  <c r="G41" i="81"/>
  <c r="F6" i="1"/>
  <c r="C10" i="39"/>
  <c r="F11" i="1"/>
  <c r="G11" i="1" s="1"/>
  <c r="G44" i="4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BL424" i="3"/>
  <c r="G426" i="3"/>
  <c r="BL426" i="3"/>
  <c r="G428" i="3"/>
  <c r="G429" i="3"/>
  <c r="BL429" i="3"/>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AZ474" i="3" s="1"/>
  <c r="BA475" i="3"/>
  <c r="AZ475" i="3" s="1"/>
  <c r="G480" i="3"/>
  <c r="BL480" i="3"/>
  <c r="AZ480" i="3" s="1"/>
  <c r="G482" i="3"/>
  <c r="BL482" i="3"/>
  <c r="AZ482" i="3" s="1"/>
  <c r="BA483" i="3"/>
  <c r="AZ483" i="3" s="1"/>
  <c r="G486" i="3"/>
  <c r="BL486" i="3"/>
  <c r="AZ486" i="3" s="1"/>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AZ262" i="3"/>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G286" i="3"/>
  <c r="G287" i="3"/>
  <c r="G288" i="3"/>
  <c r="G289" i="3"/>
  <c r="BL289" i="3"/>
  <c r="G291" i="3"/>
  <c r="G292" i="3"/>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AZ169" i="3"/>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AZ56" i="3"/>
  <c r="BA72" i="3"/>
  <c r="AZ72" i="3" s="1"/>
  <c r="BL74" i="3"/>
  <c r="AZ74" i="3" s="1"/>
  <c r="G77" i="3"/>
  <c r="G78" i="3"/>
  <c r="BL78" i="3"/>
  <c r="O66" i="71"/>
  <c r="O65" i="71"/>
  <c r="D66" i="71"/>
  <c r="D62" i="71"/>
  <c r="C63" i="71"/>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AZ68" i="3" s="1"/>
  <c r="G71" i="3"/>
  <c r="G72" i="3"/>
  <c r="D46" i="71"/>
  <c r="C47" i="71"/>
  <c r="D47" i="71" s="1"/>
  <c r="D54" i="71"/>
  <c r="C55" i="71"/>
  <c r="F3" i="35"/>
  <c r="G1" i="81"/>
  <c r="D78" i="43"/>
  <c r="S21" i="34"/>
  <c r="D39" i="71"/>
  <c r="N65" i="71"/>
  <c r="D67" i="71"/>
  <c r="AB28" i="71"/>
  <c r="F28" i="71"/>
  <c r="F27" i="71" s="1"/>
  <c r="F26" i="71" s="1"/>
  <c r="C31" i="71"/>
  <c r="X26" i="71"/>
  <c r="Y28" i="71"/>
  <c r="Z28" i="71" s="1"/>
  <c r="Y26" i="71"/>
  <c r="Z26" i="71" s="1"/>
  <c r="AA31" i="71"/>
  <c r="AB29" i="71"/>
  <c r="X29" i="71"/>
  <c r="F31" i="71"/>
  <c r="F32" i="71" s="1"/>
  <c r="V32" i="71" s="1"/>
  <c r="F35" i="71"/>
  <c r="F36" i="71" s="1"/>
  <c r="V36" i="71" s="1"/>
  <c r="AA34" i="71"/>
  <c r="AA35" i="71"/>
  <c r="F39" i="71"/>
  <c r="F40" i="71" s="1"/>
  <c r="V40" i="71" s="1"/>
  <c r="B59" i="71"/>
  <c r="B60" i="71" s="1"/>
  <c r="S60" i="71" s="1"/>
  <c r="M56" i="9"/>
  <c r="N56" i="82"/>
  <c r="K56" i="82"/>
  <c r="M56" i="82"/>
  <c r="J56" i="82"/>
  <c r="J57" i="82" s="1"/>
  <c r="J59" i="82" s="1"/>
  <c r="J61" i="82"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7" i="34"/>
  <c r="M47" i="82"/>
  <c r="C51" i="10"/>
  <c r="A2" i="82"/>
  <c r="A118" i="82"/>
  <c r="U21" i="34"/>
  <c r="C40" i="68"/>
  <c r="C21" i="68"/>
  <c r="W8" i="39"/>
  <c r="S11" i="39"/>
  <c r="A24" i="51"/>
  <c r="B18" i="72" s="1"/>
  <c r="S37" i="21"/>
  <c r="U31" i="35"/>
  <c r="U29" i="35"/>
  <c r="F32" i="15"/>
  <c r="F60" i="15" s="1"/>
  <c r="F52" i="9"/>
  <c r="D68" i="9"/>
  <c r="F28" i="15"/>
  <c r="F32" i="67"/>
  <c r="F60" i="67" s="1"/>
  <c r="F28" i="67"/>
  <c r="C28" i="67" s="1"/>
  <c r="F54" i="9"/>
  <c r="M18" i="15"/>
  <c r="F30" i="69"/>
  <c r="F48" i="69" s="1"/>
  <c r="M18" i="67"/>
  <c r="F31" i="12"/>
  <c r="F30" i="11"/>
  <c r="C48" i="11" s="1"/>
  <c r="G6" i="1"/>
  <c r="G16" i="1" s="1"/>
  <c r="F10" i="39" s="1"/>
  <c r="I24" i="43"/>
  <c r="F28" i="6"/>
  <c r="G29" i="6"/>
  <c r="H5" i="3"/>
  <c r="M47" i="9"/>
  <c r="C7" i="21"/>
  <c r="C7" i="35"/>
  <c r="C48" i="35" s="1"/>
  <c r="D48" i="35" s="1"/>
  <c r="U44" i="21"/>
  <c r="AB44" i="21"/>
  <c r="U27" i="40"/>
  <c r="AB27" i="40"/>
  <c r="AZ518" i="3"/>
  <c r="AZ517" i="3"/>
  <c r="AZ497" i="3"/>
  <c r="AZ512" i="3"/>
  <c r="AZ530" i="3"/>
  <c r="AZ538" i="3"/>
  <c r="U9" i="34"/>
  <c r="AB9" i="34"/>
  <c r="AC25" i="36"/>
  <c r="W25" i="36"/>
  <c r="U40" i="37"/>
  <c r="AB40" i="37"/>
  <c r="AZ581" i="3"/>
  <c r="AZ578" i="3"/>
  <c r="AZ575" i="3"/>
  <c r="AZ562" i="3"/>
  <c r="AZ551" i="3"/>
  <c r="U29" i="33"/>
  <c r="AB29" i="33"/>
  <c r="U45" i="33"/>
  <c r="AB45" i="33"/>
  <c r="U12" i="34"/>
  <c r="AB12" i="34"/>
  <c r="S14" i="34"/>
  <c r="AA14" i="34"/>
  <c r="AZ522" i="3"/>
  <c r="AZ500" i="3"/>
  <c r="AZ499" i="3"/>
  <c r="AZ495" i="3"/>
  <c r="AZ494" i="3"/>
  <c r="BA5" i="3"/>
  <c r="F29" i="6"/>
  <c r="S29" i="35"/>
  <c r="AA29" i="35"/>
  <c r="AB33" i="35"/>
  <c r="U33" i="35"/>
  <c r="U12" i="33"/>
  <c r="AB12" i="33"/>
  <c r="AB33" i="33"/>
  <c r="U33" i="33"/>
  <c r="W16" i="36"/>
  <c r="AC16" i="36"/>
  <c r="V20" i="71"/>
  <c r="H69" i="43"/>
  <c r="AB45" i="21"/>
  <c r="S13" i="21"/>
  <c r="S36" i="33"/>
  <c r="S17" i="37"/>
  <c r="B51" i="43"/>
  <c r="W31" i="21"/>
  <c r="W13" i="21"/>
  <c r="J9" i="21"/>
  <c r="S45" i="21"/>
  <c r="W8" i="33"/>
  <c r="U37" i="33"/>
  <c r="U38" i="34"/>
  <c r="AC32" i="34"/>
  <c r="W33" i="34"/>
  <c r="AA31" i="34"/>
  <c r="AA40" i="34"/>
  <c r="W36" i="37"/>
  <c r="S35" i="35"/>
  <c r="S24" i="35"/>
  <c r="AC25" i="35"/>
  <c r="W29" i="36"/>
  <c r="S8" i="39"/>
  <c r="W34" i="39"/>
  <c r="S8" i="40"/>
  <c r="AB13" i="40"/>
  <c r="S33" i="40"/>
  <c r="W28" i="40"/>
  <c r="U32" i="40"/>
  <c r="H67" i="43"/>
  <c r="D120" i="9"/>
  <c r="AA36" i="21"/>
  <c r="U9" i="33"/>
  <c r="S15" i="33"/>
  <c r="W43" i="33"/>
  <c r="AA35" i="33"/>
  <c r="AA25" i="34"/>
  <c r="AC39" i="34"/>
  <c r="U44" i="34"/>
  <c r="AA13" i="37"/>
  <c r="U15" i="37"/>
  <c r="S37" i="37"/>
  <c r="AC29" i="37"/>
  <c r="U22" i="35"/>
  <c r="S28" i="35"/>
  <c r="AB20" i="36"/>
  <c r="S15" i="39"/>
  <c r="U31" i="39"/>
  <c r="U25" i="39"/>
  <c r="U37" i="39"/>
  <c r="AC15" i="40"/>
  <c r="AA32" i="40"/>
  <c r="AC36" i="40"/>
  <c r="AC34" i="33"/>
  <c r="S19" i="39"/>
  <c r="AA39" i="34"/>
  <c r="F27" i="40"/>
  <c r="J27" i="40"/>
  <c r="AC17" i="34"/>
  <c r="U12" i="40"/>
  <c r="S15" i="37"/>
  <c r="AC11" i="39"/>
  <c r="S14" i="35"/>
  <c r="BB5" i="3"/>
  <c r="E5" i="6" s="1"/>
  <c r="AC5" i="3"/>
  <c r="W35" i="40"/>
  <c r="AB34" i="39"/>
  <c r="AB33" i="40"/>
  <c r="AC12" i="37"/>
  <c r="F9" i="37"/>
  <c r="S9" i="37" s="1"/>
  <c r="W40" i="37"/>
  <c r="AC46" i="21"/>
  <c r="W44" i="21"/>
  <c r="U11" i="33"/>
  <c r="AC45" i="33"/>
  <c r="AB13" i="34"/>
  <c r="U26" i="37"/>
  <c r="W23" i="35"/>
  <c r="H28" i="34"/>
  <c r="AA36" i="39"/>
  <c r="AB27" i="37"/>
  <c r="W35" i="39"/>
  <c r="AC28" i="21"/>
  <c r="W31" i="34"/>
  <c r="AA14" i="33"/>
  <c r="AA44" i="33"/>
  <c r="J27" i="37"/>
  <c r="H43" i="39"/>
  <c r="F43" i="39"/>
  <c r="H25" i="36"/>
  <c r="F25" i="36"/>
  <c r="F40" i="37"/>
  <c r="H46" i="34"/>
  <c r="H32" i="34"/>
  <c r="F30" i="34"/>
  <c r="F45" i="33"/>
  <c r="J31" i="33"/>
  <c r="F13" i="33"/>
  <c r="H29" i="21"/>
  <c r="S28" i="34"/>
  <c r="AC38" i="34"/>
  <c r="AB17" i="34"/>
  <c r="U23" i="34"/>
  <c r="AB23" i="34"/>
  <c r="W11" i="40"/>
  <c r="AC11" i="40"/>
  <c r="U9" i="40"/>
  <c r="U9" i="39"/>
  <c r="F45" i="39"/>
  <c r="BL587" i="3"/>
  <c r="AZ587" i="3" s="1"/>
  <c r="F12" i="21"/>
  <c r="J12" i="21"/>
  <c r="B72" i="43"/>
  <c r="C15" i="39"/>
  <c r="B101" i="43"/>
  <c r="B79" i="43"/>
  <c r="B97" i="43"/>
  <c r="B75" i="43"/>
  <c r="AB40" i="33"/>
  <c r="U40" i="33"/>
  <c r="H28" i="33"/>
  <c r="F28" i="33"/>
  <c r="J28" i="33"/>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AZ548" i="3" s="1"/>
  <c r="AZ399" i="3"/>
  <c r="AZ404" i="3"/>
  <c r="AZ411" i="3"/>
  <c r="AZ414" i="3"/>
  <c r="AZ421" i="3"/>
  <c r="AZ423" i="3"/>
  <c r="E15" i="71"/>
  <c r="E14" i="71" s="1"/>
  <c r="E13" i="71" s="1"/>
  <c r="E12" i="71" s="1"/>
  <c r="V16" i="71"/>
  <c r="G28" i="6"/>
  <c r="E28" i="6" s="1"/>
  <c r="K14" i="1" s="1"/>
  <c r="AB23" i="40"/>
  <c r="U23" i="40"/>
  <c r="S39" i="37"/>
  <c r="AA39" i="37"/>
  <c r="AA34" i="21"/>
  <c r="S34" i="21"/>
  <c r="B94" i="43"/>
  <c r="B73" i="43"/>
  <c r="B99" i="43"/>
  <c r="B76" i="43"/>
  <c r="C27" i="39"/>
  <c r="J9" i="34"/>
  <c r="F9" i="34"/>
  <c r="AA9" i="34" s="1"/>
  <c r="AC28" i="35"/>
  <c r="W28" i="35"/>
  <c r="J12" i="34"/>
  <c r="F12" i="34"/>
  <c r="J11" i="35"/>
  <c r="F11" i="35"/>
  <c r="J34" i="35"/>
  <c r="H34" i="35"/>
  <c r="F34" i="35"/>
  <c r="AC28" i="36"/>
  <c r="W28" i="36"/>
  <c r="F32" i="36"/>
  <c r="H32" i="36"/>
  <c r="AB30" i="37"/>
  <c r="U30" i="37"/>
  <c r="AC8" i="40"/>
  <c r="W8" i="40"/>
  <c r="AB34" i="40"/>
  <c r="U34" i="40"/>
  <c r="AB40" i="40"/>
  <c r="U40" i="40"/>
  <c r="AZ426" i="3"/>
  <c r="AZ267" i="3"/>
  <c r="AZ278" i="3"/>
  <c r="AZ431" i="3"/>
  <c r="AZ449" i="3"/>
  <c r="AZ453" i="3"/>
  <c r="AZ455" i="3"/>
  <c r="AZ460" i="3"/>
  <c r="AZ471" i="3"/>
  <c r="AZ476" i="3"/>
  <c r="AZ478" i="3"/>
  <c r="AZ484" i="3"/>
  <c r="AZ492" i="3"/>
  <c r="AZ395" i="3"/>
  <c r="AZ208" i="3"/>
  <c r="AZ211" i="3"/>
  <c r="AZ219" i="3"/>
  <c r="AZ236" i="3"/>
  <c r="AZ252" i="3"/>
  <c r="AZ276"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C27" i="71"/>
  <c r="T28" i="71"/>
  <c r="D28" i="71"/>
  <c r="U28" i="71" s="1"/>
  <c r="AB21" i="33"/>
  <c r="T44" i="71"/>
  <c r="D44" i="71"/>
  <c r="S21" i="21"/>
  <c r="U18" i="36"/>
  <c r="AB27" i="71"/>
  <c r="S28" i="71"/>
  <c r="AA24" i="71"/>
  <c r="X27" i="71"/>
  <c r="AB33" i="71"/>
  <c r="Y33" i="71"/>
  <c r="Z33" i="71" s="1"/>
  <c r="X32" i="71"/>
  <c r="X37" i="71"/>
  <c r="AA29" i="71"/>
  <c r="X21" i="71"/>
  <c r="X22" i="71"/>
  <c r="Y9" i="71"/>
  <c r="Z9" i="71" s="1"/>
  <c r="Y10" i="71"/>
  <c r="Z10" i="71" s="1"/>
  <c r="AA9" i="71"/>
  <c r="AA10" i="71"/>
  <c r="X24" i="71"/>
  <c r="AA22" i="71"/>
  <c r="AA18" i="71"/>
  <c r="Y18" i="71"/>
  <c r="Z18" i="71" s="1"/>
  <c r="AB18" i="71"/>
  <c r="X10" i="71"/>
  <c r="AA13" i="71"/>
  <c r="X17" i="71"/>
  <c r="AA17" i="71"/>
  <c r="X9" i="71"/>
  <c r="AB9" i="71"/>
  <c r="AB10" i="71"/>
  <c r="V68" i="71"/>
  <c r="F67" i="71"/>
  <c r="AB24" i="71"/>
  <c r="Y21" i="71"/>
  <c r="Z21" i="71" s="1"/>
  <c r="AB21" i="71"/>
  <c r="X18" i="71"/>
  <c r="Y13" i="71"/>
  <c r="Z13" i="71" s="1"/>
  <c r="Y14" i="71"/>
  <c r="Z14" i="71" s="1"/>
  <c r="AB13" i="71"/>
  <c r="Y24" i="71"/>
  <c r="Z24" i="71" s="1"/>
  <c r="AA21" i="71"/>
  <c r="AB15" i="71"/>
  <c r="Y17" i="71"/>
  <c r="Z17" i="71" s="1"/>
  <c r="AB17" i="71"/>
  <c r="X12" i="71"/>
  <c r="X13" i="71"/>
  <c r="AB12" i="71"/>
  <c r="AB14" i="71"/>
  <c r="Y23" i="71"/>
  <c r="Z23" i="71" s="1"/>
  <c r="Y22" i="71"/>
  <c r="Z22" i="71" s="1"/>
  <c r="AA23" i="71"/>
  <c r="AB23" i="71"/>
  <c r="X15" i="71"/>
  <c r="AA15" i="71"/>
  <c r="AA12" i="71"/>
  <c r="AA11" i="71"/>
  <c r="AA14" i="71"/>
  <c r="X11" i="71"/>
  <c r="X14" i="71"/>
  <c r="AB11" i="71"/>
  <c r="Y11" i="71"/>
  <c r="Z11" i="71" s="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L48" i="67"/>
  <c r="D3" i="73"/>
  <c r="D6" i="73"/>
  <c r="F27" i="69"/>
  <c r="D9" i="69"/>
  <c r="D4" i="73"/>
  <c r="C16" i="15"/>
  <c r="F27" i="81"/>
  <c r="C36" i="69"/>
  <c r="C16" i="67"/>
  <c r="J53" i="67" l="1"/>
  <c r="F1" i="67" s="1"/>
  <c r="L56" i="67"/>
  <c r="J57" i="67"/>
  <c r="J55" i="67" s="1"/>
  <c r="J58" i="67" s="1"/>
  <c r="Q50" i="67" s="1"/>
  <c r="L58" i="67"/>
  <c r="Q60" i="67" s="1"/>
  <c r="C32" i="71"/>
  <c r="D31" i="71"/>
  <c r="F48" i="81"/>
  <c r="C48" i="81"/>
  <c r="C30" i="81"/>
  <c r="D21" i="71"/>
  <c r="C20" i="71"/>
  <c r="L19" i="6"/>
  <c r="L27" i="6" s="1"/>
  <c r="AA9" i="37"/>
  <c r="C56" i="71"/>
  <c r="D55" i="71"/>
  <c r="C64" i="71"/>
  <c r="D63" i="71"/>
  <c r="AZ451" i="3"/>
  <c r="AZ446" i="3"/>
  <c r="AZ424" i="3"/>
  <c r="AZ402" i="3"/>
  <c r="AZ550" i="3"/>
  <c r="F45" i="81"/>
  <c r="C47" i="81"/>
  <c r="D45" i="81" s="1"/>
  <c r="C29" i="81"/>
  <c r="D27" i="81" s="1"/>
  <c r="G26" i="43"/>
  <c r="N370" i="46"/>
  <c r="F26" i="43"/>
  <c r="N94" i="46"/>
  <c r="E26" i="43"/>
  <c r="D26" i="43" s="1"/>
  <c r="C25" i="43" s="1"/>
  <c r="J26" i="43"/>
  <c r="C30" i="11"/>
  <c r="K16" i="1"/>
  <c r="P6" i="1"/>
  <c r="C13" i="12" s="1"/>
  <c r="K1" i="73"/>
  <c r="E510" i="3"/>
  <c r="E375" i="3"/>
  <c r="E462" i="3"/>
  <c r="E446" i="3"/>
  <c r="E47" i="3"/>
  <c r="E98" i="3"/>
  <c r="E65" i="3"/>
  <c r="E138" i="3"/>
  <c r="E195" i="3"/>
  <c r="E200" i="3"/>
  <c r="E267" i="3"/>
  <c r="E249" i="3"/>
  <c r="E300" i="3"/>
  <c r="E371" i="3"/>
  <c r="E310" i="3"/>
  <c r="E492" i="3"/>
  <c r="E23" i="3"/>
  <c r="E24" i="3"/>
  <c r="E48" i="3"/>
  <c r="E87" i="3"/>
  <c r="E127" i="3"/>
  <c r="E250" i="3"/>
  <c r="E284" i="3"/>
  <c r="E341" i="3"/>
  <c r="Y6" i="3"/>
  <c r="E51" i="3"/>
  <c r="E19" i="3"/>
  <c r="E154" i="3"/>
  <c r="E179" i="3"/>
  <c r="E222" i="3"/>
  <c r="E323" i="3"/>
  <c r="E373" i="3"/>
  <c r="E82"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89" i="3"/>
  <c r="E544" i="3"/>
  <c r="E58" i="3"/>
  <c r="E76" i="3"/>
  <c r="E110" i="3"/>
  <c r="E59" i="3"/>
  <c r="E488" i="3"/>
  <c r="E409" i="3"/>
  <c r="E484" i="3"/>
  <c r="E425" i="3"/>
  <c r="E467" i="3"/>
  <c r="E64" i="3"/>
  <c r="E46" i="3"/>
  <c r="E103" i="3"/>
  <c r="E160" i="3"/>
  <c r="E142" i="3"/>
  <c r="E163" i="3"/>
  <c r="E248" i="3"/>
  <c r="E209" i="3"/>
  <c r="E266" i="3"/>
  <c r="E307" i="3"/>
  <c r="E386" i="3"/>
  <c r="E354" i="3"/>
  <c r="E584" i="3"/>
  <c r="E66" i="3"/>
  <c r="E84" i="3"/>
  <c r="E67" i="3"/>
  <c r="E33" i="3"/>
  <c r="E144" i="3"/>
  <c r="E184" i="3"/>
  <c r="E233" i="3"/>
  <c r="E355" i="3"/>
  <c r="E381" i="3"/>
  <c r="E68" i="3"/>
  <c r="E63" i="3"/>
  <c r="E81" i="3"/>
  <c r="E118" i="3"/>
  <c r="E264" i="3"/>
  <c r="E283" i="3"/>
  <c r="E309" i="3"/>
  <c r="E21" i="3"/>
  <c r="E541" i="3"/>
  <c r="E522" i="3"/>
  <c r="E512" i="3"/>
  <c r="E383" i="3"/>
  <c r="E15" i="3"/>
  <c r="E197" i="3"/>
  <c r="E356" i="3"/>
  <c r="E507" i="3"/>
  <c r="E393" i="3"/>
  <c r="E340" i="3"/>
  <c r="E540" i="3"/>
  <c r="E517" i="3"/>
  <c r="E504" i="3"/>
  <c r="E4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25" i="3"/>
  <c r="E521" i="3"/>
  <c r="E308" i="3"/>
  <c r="E360" i="3"/>
  <c r="E494" i="3"/>
  <c r="E137" i="3"/>
  <c r="E524" i="3"/>
  <c r="E543" i="3"/>
  <c r="E564" i="3"/>
  <c r="E342" i="3"/>
  <c r="E365" i="3"/>
  <c r="E534" i="3"/>
  <c r="E520" i="3"/>
  <c r="E513" i="3"/>
  <c r="E498" i="3"/>
  <c r="E49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C26" i="71"/>
  <c r="D26" i="71" s="1"/>
  <c r="D27" i="71"/>
  <c r="S32" i="36"/>
  <c r="AA32" i="36"/>
  <c r="AB34" i="35"/>
  <c r="U34" i="35"/>
  <c r="S11" i="35"/>
  <c r="AA11" i="35"/>
  <c r="S12" i="34"/>
  <c r="AA12" i="34"/>
  <c r="AA23" i="36"/>
  <c r="S23" i="36"/>
  <c r="W23" i="36"/>
  <c r="AC23" i="36"/>
  <c r="AB36" i="35"/>
  <c r="U36" i="35"/>
  <c r="W28" i="33"/>
  <c r="AC28" i="33"/>
  <c r="U28" i="33"/>
  <c r="AB28" i="33"/>
  <c r="S12" i="21"/>
  <c r="AA12" i="21"/>
  <c r="S45" i="39"/>
  <c r="AA45" i="39"/>
  <c r="U29" i="21"/>
  <c r="AB29" i="21"/>
  <c r="W31" i="33"/>
  <c r="AC31" i="33"/>
  <c r="S30" i="34"/>
  <c r="AA30" i="34"/>
  <c r="U46" i="34"/>
  <c r="AB46" i="34"/>
  <c r="AA25" i="36"/>
  <c r="S25" i="36"/>
  <c r="AA43" i="39"/>
  <c r="S43" i="39"/>
  <c r="AC27" i="37"/>
  <c r="W27" i="37"/>
  <c r="U28" i="34"/>
  <c r="AB28" i="34"/>
  <c r="S27" i="40"/>
  <c r="AA27" i="40"/>
  <c r="D121" i="9"/>
  <c r="D7" i="52" s="1"/>
  <c r="D6" i="52"/>
  <c r="BL5" i="3"/>
  <c r="W9" i="21"/>
  <c r="AC9" i="21"/>
  <c r="B15" i="71"/>
  <c r="B14" i="71" s="1"/>
  <c r="B13" i="71" s="1"/>
  <c r="B12" i="71" s="1"/>
  <c r="S16" i="71"/>
  <c r="F7" i="36"/>
  <c r="J7" i="37"/>
  <c r="H7" i="36"/>
  <c r="AZ5" i="3"/>
  <c r="AY6" i="3" s="1"/>
  <c r="AB32" i="36"/>
  <c r="U32" i="36"/>
  <c r="S34" i="35"/>
  <c r="AA34" i="35"/>
  <c r="AC34" i="35"/>
  <c r="W34" i="35"/>
  <c r="W11" i="35"/>
  <c r="AC11" i="35"/>
  <c r="W12" i="34"/>
  <c r="AC12" i="34"/>
  <c r="AC9" i="34"/>
  <c r="W9" i="34"/>
  <c r="E11" i="71"/>
  <c r="E10" i="71" s="1"/>
  <c r="E9" i="71" s="1"/>
  <c r="E8" i="71" s="1"/>
  <c r="E7" i="71" s="1"/>
  <c r="E6" i="71" s="1"/>
  <c r="E5" i="71" s="1"/>
  <c r="V12" i="71"/>
  <c r="AB33" i="36"/>
  <c r="U33" i="36"/>
  <c r="AB23" i="36"/>
  <c r="U23" i="36"/>
  <c r="W36" i="35"/>
  <c r="AC36" i="35"/>
  <c r="W12" i="35"/>
  <c r="AC12" i="35"/>
  <c r="S28" i="33"/>
  <c r="AA28" i="33"/>
  <c r="AC12" i="21"/>
  <c r="W12" i="21"/>
  <c r="S13" i="33"/>
  <c r="AA13" i="33"/>
  <c r="AA45" i="33"/>
  <c r="S45" i="33"/>
  <c r="U32" i="34"/>
  <c r="AB32" i="34"/>
  <c r="AA40" i="37"/>
  <c r="S40" i="37"/>
  <c r="U25" i="36"/>
  <c r="AB25" i="36"/>
  <c r="U43" i="39"/>
  <c r="AB43" i="39"/>
  <c r="W27" i="40"/>
  <c r="AC27" i="40"/>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52" i="67"/>
  <c r="Q60" i="15"/>
  <c r="Q73" i="15"/>
  <c r="Q61" i="67"/>
  <c r="Q74" i="67"/>
  <c r="Q74" i="15"/>
  <c r="Q61" i="15"/>
  <c r="AE11" i="1"/>
  <c r="AE9" i="1"/>
  <c r="F27" i="68"/>
  <c r="AE7" i="1"/>
  <c r="AE8" i="1"/>
  <c r="AE12" i="1"/>
  <c r="AE10" i="1"/>
  <c r="AE6" i="1"/>
  <c r="C36" i="81"/>
  <c r="D9" i="81"/>
  <c r="G1" i="73"/>
  <c r="Q73" i="67" l="1"/>
  <c r="C9" i="81"/>
  <c r="L18" i="82"/>
  <c r="M18" i="82"/>
  <c r="B118" i="82" s="1"/>
  <c r="D64" i="71"/>
  <c r="T64" i="71"/>
  <c r="D56" i="71"/>
  <c r="T56" i="71"/>
  <c r="C19" i="71"/>
  <c r="T20" i="71"/>
  <c r="D20" i="71"/>
  <c r="U20" i="71" s="1"/>
  <c r="D32" i="71"/>
  <c r="T32" i="71"/>
  <c r="C28" i="43"/>
  <c r="T13" i="43" s="1"/>
  <c r="V13" i="43" s="1"/>
  <c r="B40" i="1"/>
  <c r="E65" i="39"/>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L19" i="82" l="1"/>
  <c r="M19" i="82"/>
  <c r="C118" i="82" s="1"/>
  <c r="C18" i="71"/>
  <c r="D19" i="71"/>
  <c r="F69" i="67"/>
  <c r="L36" i="43"/>
  <c r="P36" i="43" s="1"/>
  <c r="F22" i="81"/>
  <c r="C38" i="43"/>
  <c r="E38" i="43" s="1"/>
  <c r="C39" i="43"/>
  <c r="E39" i="43" s="1"/>
  <c r="T15" i="43"/>
  <c r="V15" i="43" s="1"/>
  <c r="C42" i="43"/>
  <c r="C40" i="43"/>
  <c r="G40" i="43" s="1"/>
  <c r="I40" i="43" s="1"/>
  <c r="T10" i="43"/>
  <c r="V10" i="43" s="1"/>
  <c r="T2" i="43"/>
  <c r="V2" i="43" s="1"/>
  <c r="T7" i="43"/>
  <c r="V7" i="43" s="1"/>
  <c r="C41" i="43"/>
  <c r="G41" i="43" s="1"/>
  <c r="I41" i="43" s="1"/>
  <c r="T5" i="43"/>
  <c r="V5" i="43" s="1"/>
  <c r="T4" i="43"/>
  <c r="V4" i="43" s="1"/>
  <c r="T14" i="43"/>
  <c r="V14" i="43" s="1"/>
  <c r="T11" i="43"/>
  <c r="V11" i="43" s="1"/>
  <c r="C37" i="43"/>
  <c r="G37" i="43" s="1"/>
  <c r="I37" i="43" s="1"/>
  <c r="C33" i="43"/>
  <c r="C6" i="69" s="1"/>
  <c r="T6" i="43"/>
  <c r="V6" i="43" s="1"/>
  <c r="T3" i="43"/>
  <c r="V3" i="43" s="1"/>
  <c r="T8" i="43"/>
  <c r="V8" i="43" s="1"/>
  <c r="T12" i="43"/>
  <c r="V12" i="43" s="1"/>
  <c r="T16" i="43"/>
  <c r="V16" i="43" s="1"/>
  <c r="T9" i="43"/>
  <c r="V9" i="43" s="1"/>
  <c r="D116" i="43"/>
  <c r="F22" i="68"/>
  <c r="C23" i="68" s="1"/>
  <c r="F25" i="12"/>
  <c r="C26" i="12" s="1"/>
  <c r="D25" i="12" s="1"/>
  <c r="L37" i="43"/>
  <c r="P37" i="43" s="1"/>
  <c r="F24" i="67"/>
  <c r="C24" i="67" s="1"/>
  <c r="O36" i="43"/>
  <c r="F24" i="15"/>
  <c r="C24" i="15" s="1"/>
  <c r="F22" i="11"/>
  <c r="C44" i="11" s="1"/>
  <c r="D41" i="11" s="1"/>
  <c r="F22" i="69"/>
  <c r="J10" i="69" s="1"/>
  <c r="N36"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50" i="81" s="1"/>
  <c r="L16" i="1"/>
  <c r="H67" i="39"/>
  <c r="G69" i="39"/>
  <c r="E41" i="43"/>
  <c r="G38" i="43"/>
  <c r="I38" i="43" s="1"/>
  <c r="E40"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81"/>
  <c r="D10" i="69"/>
  <c r="C17" i="15"/>
  <c r="C34" i="69"/>
  <c r="D10" i="81"/>
  <c r="C14" i="67"/>
  <c r="C17" i="67"/>
  <c r="C10" i="81" l="1"/>
  <c r="C8" i="81" s="1"/>
  <c r="D19" i="81"/>
  <c r="D37" i="81" s="1"/>
  <c r="C37" i="81" s="1"/>
  <c r="C38" i="81"/>
  <c r="C35" i="81"/>
  <c r="C17" i="71"/>
  <c r="D18" i="71"/>
  <c r="E7" i="70"/>
  <c r="I20" i="69"/>
  <c r="F41" i="69"/>
  <c r="E42" i="43"/>
  <c r="C6" i="81"/>
  <c r="C7" i="81" s="1"/>
  <c r="Q36" i="43"/>
  <c r="M36" i="43"/>
  <c r="F41" i="81"/>
  <c r="C24" i="81"/>
  <c r="C26" i="81"/>
  <c r="D22" i="81" s="1"/>
  <c r="C44" i="81"/>
  <c r="D41" i="81" s="1"/>
  <c r="E37" i="43"/>
  <c r="C34" i="43"/>
  <c r="E34" i="43" s="1"/>
  <c r="C31" i="43" s="1"/>
  <c r="G42" i="43"/>
  <c r="I42" i="43" s="1"/>
  <c r="E33" i="43"/>
  <c r="C26" i="68"/>
  <c r="D22" i="68" s="1"/>
  <c r="C44" i="68"/>
  <c r="D41" i="68" s="1"/>
  <c r="F41" i="68"/>
  <c r="O37" i="43"/>
  <c r="M37" i="43"/>
  <c r="C26" i="69"/>
  <c r="D22" i="69" s="1"/>
  <c r="N37" i="43"/>
  <c r="Q37" i="43"/>
  <c r="C44" i="69"/>
  <c r="D41" i="69" s="1"/>
  <c r="C25" i="11"/>
  <c r="C23" i="11"/>
  <c r="C26" i="11"/>
  <c r="D22" i="11" s="1"/>
  <c r="C24" i="1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5" i="81"/>
  <c r="C20" i="81" s="1"/>
  <c r="C25" i="81" s="1"/>
  <c r="C33" i="81"/>
  <c r="C42" i="81" s="1"/>
  <c r="C16" i="71"/>
  <c r="D17" i="71"/>
  <c r="C23" i="8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39" i="81"/>
  <c r="C43" i="81" s="1"/>
  <c r="C41" i="81" s="1"/>
  <c r="F7" i="21"/>
  <c r="D16" i="71"/>
  <c r="U16" i="71" s="1"/>
  <c r="T16" i="71"/>
  <c r="C15" i="71"/>
  <c r="C28" i="81"/>
  <c r="C27" i="81" s="1"/>
  <c r="C22" i="8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S7" i="21"/>
  <c r="AA7" i="21"/>
  <c r="R48" i="21" s="1"/>
  <c r="J63" i="40"/>
  <c r="I65" i="40"/>
  <c r="K48" i="35"/>
  <c r="L48" i="35" s="1"/>
  <c r="M48" i="35" s="1"/>
  <c r="N48" i="35" s="1"/>
  <c r="O48" i="35" s="1"/>
  <c r="H7" i="35" s="1"/>
  <c r="B6" i="76"/>
  <c r="B2" i="76" l="1"/>
  <c r="B3" i="76" s="1"/>
  <c r="B3" i="43"/>
  <c r="C46" i="81"/>
  <c r="C45" i="81" s="1"/>
  <c r="C49" i="81" s="1"/>
  <c r="C51" i="81" s="1"/>
  <c r="C14" i="71"/>
  <c r="D15" i="71"/>
  <c r="W7" i="21"/>
  <c r="C31" i="8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8"/>
  <c r="C22" i="68" s="1"/>
  <c r="C31" i="68" s="1"/>
  <c r="C46" i="68"/>
  <c r="C45" i="68" s="1"/>
  <c r="C43" i="68"/>
  <c r="L67" i="39"/>
  <c r="K69" i="39"/>
  <c r="AC7" i="35"/>
  <c r="V38" i="35" s="1"/>
  <c r="I38" i="35" s="1"/>
  <c r="J65" i="40"/>
  <c r="K63" i="40"/>
  <c r="I52" i="21"/>
  <c r="J52" i="21" s="1"/>
  <c r="U7" i="35"/>
  <c r="AB7" i="35"/>
  <c r="T38" i="35" s="1"/>
  <c r="G38" i="35" s="1"/>
  <c r="E48" i="21"/>
  <c r="F7" i="35"/>
  <c r="M21" i="67"/>
  <c r="M21" i="15"/>
  <c r="F35" i="67"/>
  <c r="F35" i="15"/>
  <c r="U37" i="21" l="1"/>
  <c r="AB37" i="21"/>
  <c r="T48" i="21" s="1"/>
  <c r="C52" i="81"/>
  <c r="B2" i="81"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E52" i="21"/>
  <c r="F52" i="21" s="1"/>
  <c r="G42" i="35"/>
  <c r="H42" i="35" s="1"/>
  <c r="G43" i="35"/>
  <c r="H43" i="35" s="1"/>
  <c r="I53" i="21"/>
  <c r="J53" i="21" s="1"/>
  <c r="K65" i="40"/>
  <c r="L63" i="40"/>
  <c r="I42" i="35"/>
  <c r="J42" i="35" s="1"/>
  <c r="B3" i="81"/>
  <c r="C19" i="82"/>
  <c r="G48" i="21" l="1"/>
  <c r="E53" i="21" s="1"/>
  <c r="F53" i="21" s="1"/>
  <c r="R49" i="21"/>
  <c r="G53" i="21"/>
  <c r="H53" i="21" s="1"/>
  <c r="C57" i="81"/>
  <c r="C56" i="81" s="1"/>
  <c r="D13" i="71"/>
  <c r="C12" i="71"/>
  <c r="C102" i="82"/>
  <c r="C21"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20" i="82"/>
  <c r="G52" i="21" l="1"/>
  <c r="H52" i="21" s="1"/>
  <c r="C49" i="21"/>
  <c r="B2" i="21" s="1"/>
  <c r="B3" i="21" s="1"/>
  <c r="C48" i="21"/>
  <c r="C11" i="71"/>
  <c r="D12" i="71"/>
  <c r="U12" i="71" s="1"/>
  <c r="T12" i="71"/>
  <c r="C103" i="82"/>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D19" i="9"/>
  <c r="C9" i="71" l="1"/>
  <c r="D10" i="71"/>
  <c r="D102" i="9"/>
  <c r="D21"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D19" i="82"/>
  <c r="AO7" i="1"/>
  <c r="AO6" i="1"/>
  <c r="AO9" i="1"/>
  <c r="AO8" i="1"/>
  <c r="AO10" i="1"/>
  <c r="AO12" i="1"/>
  <c r="AO11" i="1"/>
  <c r="D20" i="9"/>
  <c r="D9" i="71" l="1"/>
  <c r="C8" i="71"/>
  <c r="R48" i="39"/>
  <c r="C48" i="39" s="1"/>
  <c r="D102" i="82"/>
  <c r="G19" i="82"/>
  <c r="G21" i="82" s="1"/>
  <c r="D21" i="82"/>
  <c r="D22" i="82"/>
  <c r="B3" i="35"/>
  <c r="D103" i="9"/>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2"/>
  <c r="C7" i="71" l="1"/>
  <c r="D8" i="71"/>
  <c r="C47" i="39"/>
  <c r="D103" i="82"/>
  <c r="G20" i="82"/>
  <c r="E15" i="74" s="1"/>
  <c r="D15" i="74" s="1"/>
  <c r="F15" i="74"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32" i="82"/>
  <c r="C35" i="82" s="1"/>
  <c r="C34" i="82" s="1"/>
  <c r="G22" i="82"/>
  <c r="C7" i="69"/>
  <c r="C5" i="69" s="1"/>
  <c r="F65" i="39"/>
  <c r="B2" i="39" s="1"/>
  <c r="B3" i="39" s="1"/>
  <c r="C42" i="40"/>
  <c r="C43" i="40"/>
  <c r="E47" i="40"/>
  <c r="F47" i="40" s="1"/>
  <c r="E46" i="40"/>
  <c r="F46" i="40" s="1"/>
  <c r="I47" i="40"/>
  <c r="J47" i="40" s="1"/>
  <c r="D6" i="71" l="1"/>
  <c r="C5" i="71"/>
  <c r="D5" i="71" s="1"/>
  <c r="M24" i="43" s="1"/>
  <c r="C23" i="69"/>
  <c r="C20" i="69"/>
  <c r="B58" i="40"/>
  <c r="F58" i="40" s="1"/>
  <c r="B54" i="40"/>
  <c r="F54" i="40" s="1"/>
  <c r="B53" i="40"/>
  <c r="F53" i="40" s="1"/>
  <c r="B59" i="40"/>
  <c r="F59" i="40" s="1"/>
  <c r="B52" i="40"/>
  <c r="F52" i="40" s="1"/>
  <c r="B56" i="40"/>
  <c r="F56" i="40" s="1"/>
  <c r="B60" i="40"/>
  <c r="F60" i="40" s="1"/>
  <c r="B57" i="40"/>
  <c r="F57" i="40" s="1"/>
  <c r="B51" i="40"/>
  <c r="F51" i="40" s="1"/>
  <c r="F61" i="40"/>
  <c r="B2" i="40" s="1"/>
  <c r="B3" i="40" s="1"/>
  <c r="C28" i="69" l="1"/>
  <c r="C27" i="69" s="1"/>
  <c r="C25" i="69"/>
  <c r="C22" i="69" s="1"/>
  <c r="C31" i="69" l="1"/>
  <c r="C52" i="69" s="1"/>
  <c r="B2" i="69" s="1"/>
  <c r="B6" i="74"/>
  <c r="D6" i="74" s="1"/>
  <c r="C19" i="9"/>
  <c r="B3" i="69"/>
  <c r="C57" i="69" l="1"/>
  <c r="C56" i="69" s="1"/>
  <c r="C102" i="9"/>
  <c r="C21" i="9"/>
  <c r="D22" i="9"/>
  <c r="G19" i="9"/>
  <c r="G21" i="9" s="1"/>
  <c r="C20" i="9"/>
  <c r="C103" i="9" l="1"/>
  <c r="G20" i="9"/>
  <c r="E14" i="74" s="1"/>
  <c r="D14" i="74" s="1"/>
  <c r="G23" i="9" s="1"/>
  <c r="B5" i="74" l="1"/>
  <c r="D5" i="74" s="1"/>
  <c r="F14" i="74"/>
  <c r="C32" i="9"/>
  <c r="C35" i="9" s="1"/>
  <c r="C34" i="9" s="1"/>
  <c r="G35" i="1"/>
  <c r="C5" i="74" l="1"/>
  <c r="H102" i="9"/>
  <c r="D7" i="53"/>
  <c r="B21" i="72"/>
  <c r="C73" i="9"/>
  <c r="C78" i="9"/>
  <c r="D54" i="82"/>
  <c r="C68" i="82"/>
  <c r="M55" i="82"/>
  <c r="C64" i="82"/>
  <c r="C63" i="82"/>
  <c r="C67" i="82"/>
  <c r="D59" i="82"/>
  <c r="B52" i="72"/>
  <c r="G4" i="52"/>
  <c r="B20" i="72"/>
  <c r="E97" i="9"/>
  <c r="E96" i="9"/>
  <c r="C96" i="9"/>
  <c r="E81" i="9"/>
  <c r="E80" i="9"/>
  <c r="C80" i="9"/>
  <c r="D9" i="52"/>
  <c r="D123" i="9"/>
  <c r="H108" i="82"/>
  <c r="B49" i="72"/>
  <c r="D119" i="9"/>
  <c r="D5" i="52"/>
  <c r="B31" i="72"/>
  <c r="D15" i="53"/>
  <c r="C73" i="82"/>
  <c r="C78" i="82"/>
  <c r="E97" i="82"/>
  <c r="E96" i="82"/>
  <c r="C96" i="82"/>
  <c r="B48" i="72"/>
  <c r="E4" i="52"/>
  <c r="M54" i="82"/>
  <c r="C85" i="82"/>
  <c r="C95" i="82"/>
  <c r="C97" i="82"/>
  <c r="D58" i="82"/>
  <c r="D56" i="82"/>
  <c r="C105" i="9"/>
  <c r="I4" i="52"/>
  <c r="B30" i="72"/>
  <c r="M48" i="82"/>
  <c r="C86" i="9"/>
  <c r="C93" i="9"/>
  <c r="D5" i="53"/>
  <c r="D6" i="53"/>
  <c r="B22" i="72"/>
  <c r="M48" i="9"/>
  <c r="F119" i="9"/>
  <c r="F5" i="52"/>
  <c r="B53" i="72"/>
  <c r="C104" i="9"/>
  <c r="H4" i="52"/>
  <c r="G118" i="9"/>
  <c r="F118" i="9"/>
  <c r="F4" i="52"/>
  <c r="B51" i="72"/>
  <c r="P57" i="9"/>
  <c r="N58" i="9"/>
  <c r="N60" i="82"/>
  <c r="N59" i="82"/>
  <c r="N61" i="82"/>
  <c r="H119" i="82"/>
  <c r="C104" i="82"/>
  <c r="C80" i="82"/>
  <c r="E80" i="82"/>
  <c r="E81" i="82"/>
  <c r="C72" i="82"/>
  <c r="C79" i="82"/>
  <c r="C81" i="82"/>
  <c r="C86" i="82"/>
  <c r="C93" i="82"/>
  <c r="H119" i="9"/>
  <c r="H5" i="52"/>
  <c r="N61" i="9"/>
  <c r="D55" i="9"/>
  <c r="M53" i="9"/>
  <c r="N57" i="9"/>
  <c r="N59" i="9"/>
  <c r="N60" i="9"/>
  <c r="C72" i="9"/>
  <c r="C79" i="9"/>
  <c r="C81" i="9"/>
  <c r="D52" i="9"/>
  <c r="D53" i="9"/>
  <c r="D122" i="9"/>
  <c r="D8" i="52"/>
  <c r="C68" i="9"/>
  <c r="D54" i="9"/>
  <c r="H107" i="82"/>
  <c r="D122" i="82"/>
  <c r="D123" i="82"/>
  <c r="E118" i="9"/>
  <c r="D118" i="9"/>
  <c r="D4" i="52"/>
  <c r="B47" i="72"/>
  <c r="D13" i="53"/>
  <c r="D14" i="53"/>
  <c r="B32" i="72"/>
  <c r="H107" i="9"/>
  <c r="H108" i="9"/>
  <c r="C6" i="74"/>
  <c r="D53" i="82"/>
  <c r="D52" i="82"/>
  <c r="C105" i="82"/>
  <c r="H102" i="82"/>
  <c r="E118" i="82"/>
  <c r="D118" i="82"/>
  <c r="D119" i="82"/>
  <c r="G118" i="82"/>
  <c r="F118" i="82"/>
  <c r="F119" i="82"/>
  <c r="C85" i="9"/>
  <c r="C95" i="9"/>
  <c r="C97" i="9"/>
  <c r="D58" i="9"/>
  <c r="D56" i="9"/>
  <c r="M54" i="9"/>
  <c r="P57" i="82"/>
  <c r="I118" i="82"/>
  <c r="H118" i="82"/>
  <c r="H101" i="82"/>
  <c r="D45" i="82"/>
  <c r="D55" i="82"/>
  <c r="M53" i="82"/>
  <c r="N57" i="82"/>
  <c r="N58" i="8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6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<sst xmlns="http://schemas.openxmlformats.org/spreadsheetml/2006/main" count="9077" uniqueCount="3859">
  <si>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</si>
  <si>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</si>
  <si>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</si>
  <si>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</si>
  <si>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</si>
  <si>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</si>
  <si>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</si>
  <si>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</si>
  <si>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</si>
  <si>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</si>
  <si>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</si>
  <si>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</si>
  <si>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</si>
  <si>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</si>
  <si>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</si>
  <si>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</si>
  <si>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</si>
  <si>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</si>
  <si>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</si>
  <si>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</si>
  <si>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</si>
  <si>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</si>
  <si>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</si>
  <si>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</si>
  <si>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</si>
  <si>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</si>
  <si>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</si>
  <si>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</si>
  <si>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</si>
  <si>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</si>
  <si>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</si>
  <si>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</si>
  <si>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</si>
  <si>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</si>
  <si>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</si>
  <si>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</si>
  <si>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</si>
  <si>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</si>
  <si>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</si>
  <si>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</si>
  <si>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</si>
  <si>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</si>
  <si>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</si>
  <si>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</si>
  <si>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</si>
  <si>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</si>
  <si>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</si>
  <si>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</si>
  <si>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</si>
  <si>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</si>
  <si>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</si>
  <si>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</si>
  <si>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</si>
  <si>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</si>
  <si>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</si>
  <si>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</si>
  <si>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</si>
  <si>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</si>
  <si>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</si>
  <si>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</si>
  <si>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</si>
  <si>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</si>
  <si>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</si>
  <si>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</si>
  <si>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</si>
  <si>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</si>
  <si>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</si>
  <si>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</si>
  <si>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</si>
  <si>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</si>
  <si>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</si>
  <si>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</si>
  <si>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</si>
  <si>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</si>
  <si>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</si>
  <si>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</si>
  <si>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</si>
  <si>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</si>
  <si>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</si>
  <si>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</si>
  <si>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</si>
  <si>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</si>
  <si>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</si>
  <si>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</si>
  <si>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</si>
  <si>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</si>
  <si>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</si>
  <si>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</si>
  <si>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</si>
  <si>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</si>
  <si>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</si>
  <si>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</si>
  <si>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</si>
  <si>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</si>
  <si>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</si>
  <si>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</si>
  <si>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</si>
  <si>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</si>
  <si>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</si>
  <si>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</si>
  <si>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</si>
  <si>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</si>
  <si>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</si>
  <si>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</si>
  <si>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</si>
  <si>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</si>
  <si>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</si>
  <si>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</si>
  <si>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</si>
  <si>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</si>
  <si>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</si>
  <si>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</si>
  <si>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</si>
  <si>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</si>
  <si>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</si>
  <si>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</si>
  <si>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</si>
  <si>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</si>
  <si>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</si>
  <si>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</si>
  <si>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</si>
  <si>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</si>
  <si>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</si>
  <si>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</si>
  <si>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</si>
  <si>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</si>
  <si>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</si>
  <si>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</si>
  <si>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</si>
  <si>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</si>
  <si>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</si>
  <si>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</si>
  <si>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</si>
  <si>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</si>
  <si>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</si>
  <si>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</si>
  <si>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</si>
  <si>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</si>
  <si>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</si>
  <si>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</si>
  <si>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</si>
  <si>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</si>
  <si>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</si>
  <si>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</si>
  <si>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</si>
  <si>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</si>
  <si>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</si>
  <si>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</si>
  <si>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</si>
  <si>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</si>
  <si>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</si>
  <si>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</si>
  <si>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</si>
  <si>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</si>
  <si>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</si>
  <si>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</si>
  <si>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</si>
  <si>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</si>
  <si>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</si>
  <si>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</si>
  <si>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</si>
  <si>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</si>
  <si>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</si>
  <si>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</si>
  <si>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</si>
  <si>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</si>
  <si>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</si>
  <si>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</si>
  <si>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</si>
  <si>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</si>
  <si>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</si>
  <si>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</si>
  <si>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</si>
  <si>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</si>
  <si>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</si>
  <si>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</si>
  <si>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</si>
  <si>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</si>
  <si>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</si>
  <si>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</si>
  <si>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</si>
  <si>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</si>
  <si>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</si>
  <si>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</si>
  <si>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</si>
  <si>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</si>
  <si>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</si>
  <si>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</si>
  <si>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</si>
  <si>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</si>
  <si>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</si>
  <si>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</si>
  <si>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</si>
  <si>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</si>
  <si>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</si>
  <si>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</si>
  <si>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</si>
  <si>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</si>
  <si>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</si>
  <si>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</si>
  <si>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</si>
  <si>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</si>
  <si>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</si>
  <si>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</si>
  <si>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</si>
  <si>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</si>
  <si>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</si>
  <si>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</si>
  <si>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</si>
  <si>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</si>
  <si>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</si>
  <si>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</si>
  <si>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</si>
  <si>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</si>
  <si>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</si>
  <si>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</si>
  <si>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</si>
  <si>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</si>
  <si>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</si>
  <si>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</si>
  <si>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</si>
  <si>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</si>
  <si>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</si>
  <si>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</si>
  <si>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</si>
  <si>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</si>
  <si>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</si>
  <si>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</si>
  <si>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</si>
  <si>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</si>
  <si>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</si>
  <si>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</si>
  <si>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</si>
  <si>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</si>
  <si>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</si>
  <si>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</si>
  <si>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</si>
  <si>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</si>
  <si>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</si>
  <si>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</si>
  <si>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</si>
  <si>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</si>
  <si>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</si>
  <si>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</si>
  <si>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</si>
  <si>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</si>
  <si>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</si>
  <si>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</si>
  <si>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</si>
  <si>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</si>
  <si>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</si>
  <si>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</si>
  <si>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</si>
  <si>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</si>
  <si>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</si>
  <si>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</si>
  <si>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</si>
  <si>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</si>
  <si>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</si>
  <si>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</si>
  <si>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</si>
  <si>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</si>
  <si>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</si>
  <si>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</si>
  <si>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</si>
  <si>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</si>
  <si>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</si>
  <si>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</si>
  <si>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</si>
  <si>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</si>
  <si>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</si>
  <si>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</si>
  <si>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</si>
  <si>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</si>
  <si>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</si>
  <si>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</si>
  <si>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</si>
  <si>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</si>
  <si>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</si>
  <si>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</si>
  <si>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</si>
  <si>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</si>
  <si>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</si>
  <si>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</si>
  <si>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</si>
  <si>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</si>
  <si>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</si>
  <si>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</si>
  <si>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</si>
  <si>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</si>
  <si>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</si>
  <si>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</si>
  <si>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</si>
  <si>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</si>
  <si>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</si>
  <si>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</si>
  <si>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</si>
  <si>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</si>
  <si>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</si>
  <si>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</si>
  <si>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</si>
  <si>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</si>
  <si>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</si>
  <si>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</si>
  <si>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</si>
  <si>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</si>
  <si>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</si>
  <si>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</si>
  <si>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</si>
  <si>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</si>
  <si>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</si>
  <si>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</si>
  <si>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</si>
  <si>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</si>
  <si>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</si>
  <si>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</si>
  <si>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</si>
  <si>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</si>
  <si>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</si>
  <si>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</si>
  <si>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</si>
  <si>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</si>
  <si>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</si>
  <si>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</si>
  <si>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</si>
  <si>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</si>
  <si>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</si>
  <si>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</si>
  <si>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</si>
  <si>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</si>
  <si>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</si>
  <si>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</si>
  <si>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</si>
  <si>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</si>
  <si>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</si>
  <si>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</si>
  <si>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</si>
  <si>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</si>
  <si>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</si>
  <si>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</si>
  <si>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</si>
  <si>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</si>
  <si>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</si>
  <si>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</si>
  <si>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</si>
  <si>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</si>
  <si>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</si>
  <si>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</si>
  <si>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</si>
  <si>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</si>
  <si>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</si>
  <si>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</si>
  <si>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</si>
  <si>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</si>
  <si>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</si>
  <si>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</si>
  <si>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</si>
  <si>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</si>
  <si>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</si>
  <si>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</si>
  <si>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</si>
  <si>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</si>
  <si>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</si>
  <si>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</si>
  <si>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</si>
  <si>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</si>
  <si>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</si>
  <si>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</si>
  <si>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</si>
  <si>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</si>
  <si>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</si>
  <si>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</si>
  <si>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</si>
  <si>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</si>
  <si>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</si>
  <si>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</si>
  <si>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</si>
  <si>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</si>
  <si>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</si>
  <si>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</si>
  <si>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</si>
  <si>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</si>
  <si>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</si>
  <si>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</si>
  <si>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</si>
  <si>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</si>
  <si>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</si>
  <si>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</si>
  <si>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</si>
  <si>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</si>
  <si>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</si>
  <si>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</si>
  <si>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</si>
  <si>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</si>
  <si>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</si>
  <si>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</si>
  <si>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</si>
  <si>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</si>
  <si>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</si>
  <si>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</si>
  <si>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</si>
  <si>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</si>
  <si>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</si>
  <si>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</si>
  <si>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</si>
  <si>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</si>
  <si>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</si>
  <si>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</si>
  <si>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</si>
  <si>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</si>
  <si>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</si>
  <si>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</si>
  <si>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</si>
  <si>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</si>
  <si>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</si>
  <si>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</si>
  <si>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</si>
  <si>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</si>
  <si>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</si>
  <si>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</si>
  <si>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</si>
  <si>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</si>
  <si>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</si>
  <si>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</si>
  <si>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</si>
  <si>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</si>
  <si>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</si>
  <si>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</si>
  <si>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</si>
  <si>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</si>
  <si>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</si>
  <si>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</si>
  <si>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</si>
  <si>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</si>
  <si>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</si>
  <si>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</si>
  <si>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</si>
  <si>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</si>
  <si>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</si>
  <si>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</si>
  <si>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</si>
  <si>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</si>
  <si>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</si>
  <si>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</si>
  <si>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</si>
  <si>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</si>
  <si>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</si>
  <si>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</si>
  <si>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</si>
  <si>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</si>
  <si>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</si>
  <si>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</si>
  <si>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</si>
  <si>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</si>
  <si>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</si>
  <si>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</si>
  <si>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</si>
  <si>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</si>
  <si>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</si>
  <si>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</si>
  <si>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</si>
  <si>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</si>
  <si>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</si>
  <si>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</si>
  <si>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</si>
  <si>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</si>
  <si>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</si>
  <si>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</si>
  <si>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</si>
  <si>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</si>
  <si>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</si>
  <si>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</si>
  <si>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</si>
  <si>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</si>
  <si>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</si>
  <si>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</si>
  <si>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</si>
  <si>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</si>
  <si>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</si>
  <si>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</si>
  <si>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</si>
  <si>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</si>
  <si>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</si>
  <si>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</si>
  <si>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</si>
  <si>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</si>
  <si>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</si>
  <si>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</si>
  <si>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</si>
  <si>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</si>
  <si>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</si>
  <si>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</si>
  <si>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</si>
  <si>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</si>
  <si>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</si>
  <si>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</si>
  <si>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</si>
  <si>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</si>
  <si>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</si>
  <si>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</si>
  <si>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</si>
  <si>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</si>
  <si>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</si>
  <si>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</si>
  <si>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</si>
  <si>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</si>
  <si>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</si>
  <si>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</si>
  <si>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</si>
  <si>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</si>
  <si>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</si>
  <si>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</si>
  <si>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</si>
  <si>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</si>
  <si>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</si>
  <si>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</si>
  <si>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</si>
  <si>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</si>
  <si>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</si>
  <si>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</si>
  <si>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</si>
  <si>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</si>
  <si>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</si>
  <si>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</si>
  <si>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</si>
  <si>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</si>
  <si>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</si>
  <si>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</si>
  <si>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</si>
  <si>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</si>
  <si>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</si>
  <si>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</si>
  <si>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</si>
  <si>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</si>
  <si>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</si>
  <si>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</si>
  <si>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</si>
  <si>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</si>
  <si>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</si>
  <si>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</si>
  <si>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</si>
  <si>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</si>
  <si>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</si>
  <si>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</si>
  <si>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</si>
  <si>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</si>
  <si>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</si>
  <si>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</si>
  <si>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</si>
  <si>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</si>
  <si>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</si>
  <si>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</si>
  <si>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</si>
  <si>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</si>
  <si>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</si>
  <si>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</si>
  <si>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</si>
  <si>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</si>
  <si>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</si>
  <si>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</si>
  <si>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</si>
  <si>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</si>
  <si>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</si>
  <si>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</si>
  <si>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</si>
  <si>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</si>
  <si>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</si>
  <si>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</si>
  <si>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</si>
  <si>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</si>
  <si>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</si>
  <si>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</si>
  <si>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</si>
  <si>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</si>
  <si>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</si>
  <si>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</si>
  <si>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</si>
  <si>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</si>
  <si>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</si>
  <si>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</si>
  <si>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</si>
  <si>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</si>
  <si>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</si>
  <si>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</si>
  <si>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</si>
  <si>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</si>
  <si>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</si>
  <si>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</si>
  <si>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</si>
  <si>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</si>
  <si>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</si>
  <si>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</si>
  <si>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</si>
  <si>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</si>
  <si>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</si>
  <si>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</si>
  <si>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</si>
  <si>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</si>
  <si>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</si>
  <si>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</si>
  <si>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</si>
  <si>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</si>
  <si>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</si>
  <si>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</si>
  <si>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</si>
  <si>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</si>
  <si>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</si>
  <si>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</si>
  <si>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</si>
  <si>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</si>
  <si>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</si>
  <si>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</si>
  <si>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</si>
  <si>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</si>
  <si>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</si>
  <si>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</si>
  <si>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</si>
  <si>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</si>
  <si>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</si>
  <si>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</si>
  <si>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</si>
  <si>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</si>
  <si>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</si>
  <si>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</si>
  <si>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</si>
  <si>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</si>
  <si>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</si>
  <si>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</si>
  <si>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</si>
  <si>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</si>
  <si>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</si>
  <si>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</si>
  <si>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</si>
  <si>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</si>
  <si>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</si>
  <si>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</si>
  <si>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</si>
  <si>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</si>
  <si>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</si>
  <si>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</si>
  <si>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</si>
  <si>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</si>
  <si>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</si>
  <si>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</si>
  <si>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</si>
  <si>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</si>
  <si>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</si>
  <si>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</si>
  <si>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</si>
  <si>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</si>
  <si>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</si>
  <si>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</si>
  <si>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</si>
  <si>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</si>
  <si>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</si>
  <si>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</si>
  <si>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</si>
  <si>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</si>
  <si>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</si>
  <si>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</si>
  <si>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</si>
  <si>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</si>
  <si>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</si>
  <si>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</si>
  <si>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</si>
  <si>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</si>
  <si>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</si>
  <si>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</si>
  <si>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</si>
  <si>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</si>
  <si>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</si>
  <si>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</si>
  <si>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</si>
  <si>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</si>
  <si>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</si>
  <si>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</si>
  <si>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</si>
  <si>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</si>
  <si>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</si>
  <si>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</si>
  <si>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</si>
  <si>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</si>
  <si>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</si>
  <si>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</si>
  <si>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</si>
  <si>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</si>
  <si>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</si>
  <si>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</si>
  <si>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</si>
  <si>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</si>
  <si>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</si>
  <si>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</si>
  <si>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</si>
  <si>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</si>
  <si>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</si>
  <si>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</si>
  <si>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</si>
  <si>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</si>
  <si>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</si>
  <si>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</si>
  <si>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</si>
  <si>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</si>
  <si>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</si>
  <si>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</si>
  <si>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</si>
  <si>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</si>
  <si>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</si>
  <si>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</si>
  <si>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</si>
  <si>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</si>
  <si>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</si>
  <si>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</si>
  <si>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</si>
  <si>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</si>
  <si>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</si>
  <si>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</si>
  <si>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</si>
  <si>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</si>
  <si>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</si>
  <si>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</si>
  <si>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</si>
  <si>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</si>
  <si>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</si>
  <si>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</si>
  <si>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</si>
  <si>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</si>
  <si>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</si>
  <si>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</si>
  <si>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</si>
  <si>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</si>
  <si>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</si>
  <si>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</si>
  <si>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</si>
  <si>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</si>
  <si>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</si>
  <si>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</si>
  <si>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</si>
  <si>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</si>
  <si>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</si>
  <si>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</si>
  <si>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</si>
  <si>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</si>
  <si>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</si>
  <si>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</si>
  <si>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</si>
  <si>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</si>
  <si>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</si>
  <si>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</si>
  <si>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</si>
  <si>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</si>
  <si>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</si>
  <si>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</si>
  <si>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</si>
  <si>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</si>
  <si>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</si>
  <si>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</si>
  <si>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</si>
  <si>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</si>
  <si>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</si>
  <si>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</si>
  <si>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</si>
  <si>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</si>
  <si>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</si>
  <si>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</si>
  <si>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</si>
  <si>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</si>
  <si>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</si>
  <si>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</si>
  <si>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</si>
  <si>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</si>
  <si>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</si>
  <si>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</si>
  <si>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</si>
  <si>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</si>
  <si>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</si>
  <si>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</si>
  <si>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</si>
  <si>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</si>
  <si>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</si>
  <si>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</si>
  <si>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</si>
  <si>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</si>
  <si>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</si>
  <si>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</si>
  <si>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</si>
  <si>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</si>
  <si>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</si>
  <si>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</si>
  <si>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</si>
  <si>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</si>
  <si>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</si>
  <si>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</si>
  <si>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</si>
  <si>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</si>
  <si>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</si>
  <si>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</si>
  <si>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</si>
  <si>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</si>
  <si>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</si>
  <si>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</si>
  <si>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</si>
  <si>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</si>
  <si>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</si>
  <si>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</si>
  <si>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</si>
  <si>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</si>
  <si>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</si>
  <si>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</si>
  <si>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</si>
  <si>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</si>
  <si>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</si>
  <si>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</si>
  <si>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</si>
  <si>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</si>
  <si>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</si>
  <si>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</si>
  <si>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</si>
  <si>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</si>
  <si>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</si>
  <si>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</si>
  <si>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</si>
  <si>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</si>
  <si>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</si>
  <si>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</si>
  <si>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</si>
  <si>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</si>
  <si>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</si>
  <si>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</si>
  <si>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</si>
  <si>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</si>
  <si>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</si>
  <si>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</si>
  <si>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</si>
  <si>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</si>
  <si>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</si>
  <si>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</si>
  <si>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</si>
  <si>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</si>
  <si>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</si>
  <si>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</si>
  <si>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</si>
  <si>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</si>
  <si>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</si>
  <si>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</si>
  <si>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</si>
  <si>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</si>
  <si>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</si>
  <si>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</si>
  <si>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</si>
  <si>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</si>
  <si>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</si>
  <si>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</si>
  <si>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</si>
  <si>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</si>
  <si>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</si>
  <si>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</si>
  <si>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</si>
  <si>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</si>
  <si>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</si>
  <si>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</si>
  <si>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</si>
  <si>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</si>
  <si>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</si>
  <si>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</si>
  <si>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</si>
  <si>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</si>
  <si>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</si>
  <si>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</si>
  <si>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</si>
  <si>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</si>
  <si>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</si>
  <si>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</si>
  <si>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</si>
  <si>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</si>
  <si>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</si>
  <si>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</si>
  <si>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</si>
  <si>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</si>
  <si>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</si>
  <si>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</si>
  <si>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</si>
  <si>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</si>
  <si>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</si>
  <si>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</si>
  <si>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</si>
  <si>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</si>
  <si>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</si>
  <si>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</si>
  <si>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</si>
  <si>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</si>
  <si>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</si>
  <si>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</si>
  <si>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</si>
  <si>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</si>
  <si>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</si>
  <si>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</si>
  <si>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</si>
  <si>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</si>
  <si>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</si>
  <si>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</si>
  <si>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</si>
  <si>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</si>
  <si>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</si>
  <si>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</si>
  <si>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</si>
  <si>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</si>
  <si>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</si>
  <si>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</si>
  <si>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</si>
  <si>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</si>
  <si>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</si>
  <si>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</si>
  <si>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</si>
  <si>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</si>
  <si>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</si>
  <si>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</si>
  <si>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</si>
  <si>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</si>
  <si>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</si>
  <si>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</si>
  <si>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</si>
  <si>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</si>
  <si>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</si>
  <si>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</si>
  <si>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</si>
  <si>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</si>
  <si>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</si>
  <si>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</si>
  <si>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</si>
  <si>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</si>
  <si>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</si>
  <si>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</si>
  <si>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</si>
  <si>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</si>
  <si>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</si>
  <si>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</si>
  <si>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</si>
  <si>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</si>
  <si>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</si>
  <si>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</si>
  <si>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</si>
  <si>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</si>
  <si>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</si>
  <si>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</si>
  <si>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</si>
  <si>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</si>
  <si>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</si>
  <si>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</si>
  <si>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</si>
  <si>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</si>
  <si>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</si>
  <si>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</si>
  <si>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</si>
  <si>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</si>
  <si>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</si>
  <si>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</si>
  <si>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</si>
  <si>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</si>
  <si>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</si>
  <si>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</si>
  <si>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</si>
  <si>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</si>
  <si>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</si>
  <si>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</si>
  <si>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</si>
  <si>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</si>
  <si>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</si>
  <si>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</si>
  <si>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</si>
  <si>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</si>
  <si>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</si>
  <si>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</si>
  <si>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</si>
  <si>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</si>
  <si>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</si>
  <si>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</si>
  <si>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</si>
  <si>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</si>
  <si>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</si>
  <si>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</si>
  <si>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</si>
  <si>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</si>
  <si>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</si>
  <si>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</si>
  <si>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</si>
  <si>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</si>
  <si>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</si>
  <si>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</si>
  <si>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</si>
  <si>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</si>
  <si>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</si>
  <si>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</si>
  <si>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</si>
  <si>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</si>
  <si>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</si>
  <si>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</si>
  <si>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</si>
  <si>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</si>
  <si>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</si>
  <si>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</si>
  <si>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</si>
  <si>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</si>
  <si>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</si>
  <si>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</si>
  <si>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</si>
  <si>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</si>
  <si>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</si>
  <si>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</si>
  <si>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</si>
  <si>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</si>
  <si>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</si>
  <si>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</si>
  <si>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</si>
  <si>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</si>
  <si>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</si>
  <si>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</si>
  <si>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</si>
  <si>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</si>
  <si>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</si>
  <si>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</si>
  <si>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</si>
  <si>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</si>
  <si>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</si>
  <si>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</si>
  <si>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</si>
  <si>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</si>
  <si>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</si>
  <si>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</si>
  <si>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</si>
  <si>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</si>
  <si>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</si>
  <si>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</si>
  <si>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</si>
  <si>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</si>
  <si>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</si>
  <si>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</si>
  <si>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</si>
  <si>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</si>
  <si>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</si>
  <si>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</si>
  <si>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</si>
  <si>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</si>
  <si>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</si>
  <si>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</si>
  <si>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</si>
  <si>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</si>
  <si>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</si>
  <si>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</si>
  <si>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</si>
  <si>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</si>
  <si>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</si>
  <si>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</si>
  <si>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</si>
  <si>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</si>
  <si>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</si>
  <si>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</si>
  <si>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</si>
  <si>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</si>
  <si>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</si>
  <si>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</si>
  <si>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</si>
  <si>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</si>
  <si>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</si>
  <si>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</si>
  <si>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</si>
  <si>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</si>
  <si>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</si>
  <si>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</si>
  <si>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</si>
  <si>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</si>
  <si>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</si>
  <si>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</si>
  <si>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</si>
  <si>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</si>
  <si>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</si>
  <si>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</si>
  <si>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</si>
  <si>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</si>
  <si>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</si>
  <si>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</si>
  <si>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</si>
  <si>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</si>
  <si>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</si>
  <si>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</si>
  <si>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</si>
  <si>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</si>
  <si>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</si>
  <si>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</si>
  <si>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</si>
  <si>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</si>
  <si>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</si>
  <si>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</si>
  <si>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</si>
  <si>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</si>
  <si>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</si>
  <si>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</si>
  <si>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</si>
  <si>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</si>
  <si>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</si>
  <si>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</si>
  <si>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</si>
  <si>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</si>
  <si>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</si>
  <si>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</si>
  <si>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</si>
  <si>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</si>
  <si>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</si>
  <si>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</si>
  <si>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</si>
  <si>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</si>
  <si>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</si>
  <si>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</si>
  <si>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</si>
  <si>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</si>
  <si>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</si>
  <si>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</si>
  <si>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</si>
  <si>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</si>
  <si>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</si>
  <si>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</si>
  <si>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</si>
  <si>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</si>
  <si>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</si>
  <si>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</si>
  <si>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</si>
  <si>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</si>
  <si>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</si>
  <si>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</si>
  <si>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</si>
  <si>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</si>
  <si>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</si>
  <si>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</si>
  <si>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</si>
  <si>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</si>
  <si>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</si>
  <si>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</si>
  <si>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</si>
  <si>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</si>
  <si>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</si>
  <si>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</si>
  <si>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</si>
  <si>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</si>
  <si>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</si>
  <si>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</si>
  <si>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</si>
  <si>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</si>
  <si>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</si>
  <si>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</si>
  <si>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</si>
  <si>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</si>
  <si>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</si>
  <si>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</si>
  <si>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</si>
  <si>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</si>
  <si>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</si>
  <si>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</si>
  <si>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</si>
  <si>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</si>
  <si>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</si>
  <si>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</si>
  <si>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</si>
  <si>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</si>
  <si>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</si>
  <si>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</si>
  <si>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</si>
  <si>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</si>
  <si>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</si>
  <si>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</si>
  <si>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</si>
  <si>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</si>
  <si>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</si>
  <si>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</si>
  <si>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</si>
  <si>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</si>
  <si>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</si>
  <si>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</si>
  <si>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</si>
  <si>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</si>
  <si>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</si>
  <si>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</si>
  <si>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</si>
  <si>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</si>
  <si>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</si>
  <si>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</si>
  <si>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</si>
  <si>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</si>
  <si>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</si>
  <si>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</si>
  <si>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</si>
  <si>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</si>
  <si>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</si>
  <si>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</si>
  <si>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</si>
  <si>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</si>
  <si>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</si>
  <si>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</si>
  <si>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</si>
  <si>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</si>
  <si>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</si>
  <si>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</si>
  <si>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</si>
  <si>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</si>
  <si>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</si>
  <si>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</si>
  <si>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</si>
  <si>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</si>
  <si>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</si>
  <si>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</si>
  <si>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</si>
  <si>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</si>
  <si>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</si>
  <si>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</si>
  <si>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</si>
  <si>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</si>
  <si>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</si>
  <si>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</si>
  <si>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</si>
  <si>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</si>
  <si>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</si>
  <si>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</si>
  <si>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</si>
  <si>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</si>
  <si>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</si>
  <si>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</si>
  <si>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</si>
  <si>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</si>
  <si>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</si>
  <si>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</si>
  <si>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</si>
  <si>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</si>
  <si>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</si>
  <si>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</si>
  <si>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</si>
  <si>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</si>
  <si>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</si>
  <si>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</si>
  <si>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</si>
  <si>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</si>
  <si>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</si>
  <si>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</si>
  <si>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</si>
  <si>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</si>
  <si>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</si>
  <si>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</si>
  <si>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</si>
  <si>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</si>
  <si>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</si>
  <si>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</si>
  <si>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</si>
  <si>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</si>
  <si>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</si>
  <si>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</si>
  <si>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</si>
  <si>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</si>
  <si>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</si>
  <si>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</si>
  <si>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</si>
  <si>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</si>
  <si>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</si>
  <si>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</si>
  <si>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</si>
  <si>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</si>
  <si>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</si>
  <si>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</si>
  <si>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</si>
  <si>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</si>
  <si>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</si>
  <si>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</si>
  <si>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</si>
  <si>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</si>
  <si>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</si>
  <si>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</si>
  <si>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</si>
  <si>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</si>
  <si>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</si>
  <si>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</si>
  <si>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</si>
  <si>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</si>
  <si>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</si>
  <si>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</si>
  <si>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</si>
  <si>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</si>
  <si>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</si>
  <si>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</si>
  <si>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</si>
  <si>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</si>
  <si>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</si>
  <si>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</si>
  <si>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</si>
  <si>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</si>
  <si>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</si>
  <si>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</si>
  <si>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</si>
  <si>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</si>
  <si>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</si>
  <si>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</si>
  <si>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</si>
  <si>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</si>
  <si>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</si>
  <si>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</si>
  <si>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</si>
  <si>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</si>
  <si>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</si>
  <si>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</si>
  <si>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</si>
  <si>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</si>
  <si>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</si>
  <si>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</si>
  <si>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</si>
  <si>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</si>
  <si>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</si>
  <si>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</si>
  <si>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</si>
  <si>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</si>
  <si>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</si>
  <si>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</si>
  <si>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</si>
  <si>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</si>
  <si>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</si>
  <si>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</si>
  <si>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</si>
  <si>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</si>
  <si>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</si>
  <si>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</si>
  <si>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</si>
  <si>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</si>
  <si>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</si>
  <si>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</si>
  <si>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</si>
  <si>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</si>
  <si>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</si>
  <si>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</si>
  <si>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</si>
  <si>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</si>
  <si>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</si>
  <si>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</si>
  <si>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</si>
  <si>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</si>
  <si>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</si>
  <si>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</si>
  <si>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</si>
  <si>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</si>
  <si>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</si>
  <si>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</si>
  <si>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</si>
  <si>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</si>
  <si>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</si>
  <si>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</si>
  <si>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</si>
  <si>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</si>
  <si>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</si>
  <si>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</si>
  <si>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</si>
  <si>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</si>
  <si>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</si>
  <si>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</si>
  <si>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</si>
  <si>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</si>
  <si>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</si>
  <si>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</si>
  <si>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</si>
  <si>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</si>
  <si>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</si>
  <si>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</si>
  <si>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</si>
  <si>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</si>
  <si>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</si>
  <si>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</si>
  <si>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</si>
  <si>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</si>
  <si>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</si>
  <si>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</si>
  <si>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</si>
  <si>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</si>
  <si>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</si>
  <si>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</si>
  <si>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</si>
  <si>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</si>
  <si>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</si>
  <si>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</si>
  <si>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</si>
  <si>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</si>
  <si>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</si>
  <si>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</si>
  <si>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</si>
  <si>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</si>
  <si>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</si>
  <si>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</si>
  <si>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</si>
  <si>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</si>
  <si>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</si>
  <si>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</si>
  <si>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</si>
  <si>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</si>
  <si>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</si>
  <si>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</si>
  <si>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</si>
  <si>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</si>
  <si>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</si>
  <si>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</si>
  <si>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</si>
  <si>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</si>
  <si>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</si>
  <si>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</si>
  <si>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</si>
  <si>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</si>
  <si>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</si>
  <si>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</si>
  <si>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</si>
  <si>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</si>
  <si>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</si>
  <si>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</si>
  <si>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</si>
  <si>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</si>
  <si>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</si>
  <si>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</si>
  <si>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</si>
  <si>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</si>
  <si>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</si>
  <si>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</si>
  <si>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</si>
  <si>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</si>
  <si>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</si>
  <si>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</si>
  <si>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</si>
  <si>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</si>
  <si>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</si>
  <si>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</si>
  <si>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</si>
  <si>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</si>
  <si>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</si>
  <si>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</si>
  <si>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</si>
  <si>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</si>
  <si>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</si>
  <si>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</si>
  <si>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</si>
  <si>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</si>
  <si>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</si>
  <si>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</si>
  <si>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</si>
  <si>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</si>
  <si>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</si>
  <si>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</si>
  <si>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</si>
  <si>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</si>
  <si>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</si>
  <si>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</si>
  <si>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</si>
  <si>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</si>
  <si>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</si>
  <si>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</si>
  <si>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</si>
  <si>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</si>
  <si>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</si>
  <si>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</si>
  <si>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</si>
  <si>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</si>
  <si>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</si>
  <si>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</si>
  <si>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</si>
  <si>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</si>
  <si>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</si>
  <si>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</si>
  <si>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</si>
  <si>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</si>
  <si>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</si>
  <si>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</si>
  <si>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</si>
  <si>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</si>
  <si>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</si>
  <si>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</si>
  <si>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</si>
  <si>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</si>
  <si>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</si>
  <si>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</si>
  <si>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</si>
  <si>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</si>
  <si>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</si>
  <si>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</si>
  <si>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</si>
  <si>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</si>
  <si>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</si>
  <si>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</si>
  <si>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</si>
  <si>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</si>
  <si>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</si>
  <si>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</si>
  <si>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</si>
  <si>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</si>
  <si>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</si>
  <si>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</si>
  <si>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</si>
  <si>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</si>
  <si>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</si>
  <si>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</si>
  <si>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</si>
  <si>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</si>
  <si>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</si>
  <si>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</si>
  <si>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</si>
  <si>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</si>
  <si>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</si>
  <si>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</si>
  <si>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</si>
  <si>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</si>
  <si>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</si>
  <si>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</si>
  <si>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</si>
  <si>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</si>
  <si>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</si>
  <si>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</si>
  <si>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</si>
  <si>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</si>
  <si>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</si>
  <si>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</si>
  <si>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</si>
  <si>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</si>
  <si>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</si>
  <si>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</si>
  <si>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</si>
  <si>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</si>
  <si>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</si>
  <si>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</si>
  <si>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</si>
  <si>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</si>
  <si>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</si>
  <si>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</si>
  <si>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</si>
  <si>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</si>
  <si>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</si>
  <si>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</si>
  <si>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</si>
  <si>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</si>
  <si>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</si>
  <si>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</si>
  <si>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</si>
  <si>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</si>
  <si>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</si>
  <si>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</si>
  <si>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</si>
  <si>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</si>
  <si>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</si>
  <si>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</si>
  <si>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</si>
  <si>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</si>
  <si>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</si>
  <si>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</si>
  <si>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</si>
  <si>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</si>
  <si>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</si>
  <si>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</si>
  <si>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</si>
  <si>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</si>
  <si>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</si>
  <si>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</si>
  <si>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</si>
  <si>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</si>
  <si>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</si>
  <si>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</si>
  <si>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</si>
  <si>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</si>
  <si>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</si>
  <si>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</si>
  <si>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</si>
  <si>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</si>
  <si>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</si>
  <si>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</si>
  <si>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</si>
  <si>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</si>
  <si>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</si>
  <si>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</si>
  <si>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</si>
  <si>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</si>
  <si>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</si>
  <si>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</si>
  <si>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</si>
  <si>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</si>
  <si>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</si>
  <si>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</si>
  <si>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</si>
  <si>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</si>
  <si>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</si>
  <si>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</si>
  <si>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</si>
  <si>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</si>
  <si>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</si>
  <si>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</si>
  <si>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</si>
  <si>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</si>
  <si>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</si>
  <si>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</si>
  <si>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</si>
  <si>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</si>
  <si>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</si>
  <si>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</si>
  <si>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</si>
  <si>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</si>
  <si>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</si>
  <si>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</si>
  <si>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</si>
  <si>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</si>
  <si>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</si>
  <si>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</si>
  <si>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</si>
  <si>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</si>
  <si>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</si>
  <si>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</si>
  <si>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</si>
  <si>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</si>
  <si>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</si>
  <si>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</si>
  <si>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</si>
  <si>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</si>
  <si>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</si>
  <si>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</si>
  <si>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</si>
  <si>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</si>
  <si>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</si>
  <si>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</si>
  <si>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</si>
  <si>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</si>
  <si>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</si>
  <si>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</si>
  <si>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</si>
  <si>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</si>
  <si>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</si>
  <si>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</si>
  <si>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</si>
  <si>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</si>
  <si>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</si>
  <si>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</si>
  <si>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</si>
  <si>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</si>
  <si>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</si>
  <si>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</si>
  <si>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</si>
  <si>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</si>
  <si>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</si>
  <si>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</si>
  <si>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</si>
  <si>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</si>
  <si>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</si>
  <si>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</si>
  <si>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</si>
  <si>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</si>
  <si>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</si>
  <si>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</si>
  <si>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</si>
  <si>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</si>
  <si>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</si>
  <si>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</si>
  <si>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</si>
  <si>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</si>
  <si>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</si>
  <si>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</si>
  <si>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</si>
  <si>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</si>
  <si>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</si>
  <si>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</si>
  <si>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</si>
  <si>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</si>
  <si>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</si>
  <si>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</si>
  <si>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</si>
  <si>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</si>
  <si>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</si>
  <si>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</si>
  <si>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</si>
  <si>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</si>
  <si>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</si>
  <si>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</si>
  <si>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</si>
  <si>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</si>
  <si>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</si>
  <si>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</si>
  <si>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</si>
  <si>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</si>
  <si>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</si>
  <si>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</si>
  <si>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</si>
  <si>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</si>
  <si>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</si>
  <si>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</si>
  <si>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</si>
  <si>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</si>
  <si>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</si>
  <si>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</si>
  <si>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</si>
  <si>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</si>
  <si>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</si>
  <si>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</si>
  <si>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</si>
  <si>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</si>
  <si>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</si>
  <si>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</si>
  <si>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</si>
  <si>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</si>
  <si>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</si>
  <si>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</si>
  <si>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</si>
  <si>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</si>
  <si>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</si>
  <si>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</si>
  <si>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</si>
  <si>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</si>
  <si>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</si>
  <si>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</si>
  <si>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</si>
  <si>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</si>
  <si>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</si>
  <si>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</si>
  <si>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</si>
  <si>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</si>
  <si>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</si>
  <si>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</si>
  <si>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</si>
  <si>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</si>
  <si>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</si>
  <si>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</si>
  <si>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</si>
  <si>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</si>
  <si>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</si>
  <si>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</si>
  <si>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</si>
  <si>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</si>
  <si>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</si>
  <si>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</si>
  <si>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</si>
  <si>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</si>
  <si>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</si>
  <si>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</si>
  <si>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</si>
  <si>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</si>
  <si>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</si>
  <si>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</si>
  <si>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</si>
  <si>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</si>
  <si>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</si>
  <si>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</si>
  <si>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</si>
  <si>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</si>
  <si>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</si>
  <si>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</si>
  <si>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</si>
  <si>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</si>
  <si>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</si>
  <si>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</si>
  <si>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</si>
  <si>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</si>
  <si>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</si>
  <si>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</si>
  <si>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</si>
  <si>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</si>
  <si>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</si>
  <si>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</si>
  <si>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</si>
  <si>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</si>
  <si>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</si>
  <si>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</si>
  <si>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</si>
  <si>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</si>
  <si>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</si>
  <si>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</si>
  <si>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</si>
  <si>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</si>
  <si>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</si>
  <si>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</si>
  <si>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</si>
  <si>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</si>
  <si>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</si>
  <si>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</si>
  <si>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</si>
  <si>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</si>
  <si>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</si>
  <si>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</si>
  <si>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</si>
  <si>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</si>
  <si>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</si>
  <si>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</si>
  <si>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</si>
  <si>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</si>
  <si>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</si>
  <si>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</si>
  <si>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</si>
  <si>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</si>
  <si>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</si>
  <si>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</si>
  <si>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</si>
  <si>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</si>
  <si>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</si>
  <si>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</si>
  <si>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</si>
  <si>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</si>
  <si>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</si>
  <si>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</si>
  <si>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</si>
  <si>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</si>
  <si>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</si>
  <si>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</si>
  <si>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</si>
  <si>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</si>
  <si>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</si>
  <si>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</si>
  <si>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</si>
  <si>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</si>
  <si>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</si>
  <si>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</si>
  <si>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</si>
  <si>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</si>
  <si>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</si>
  <si>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</si>
  <si>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</si>
  <si>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</si>
  <si>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</si>
  <si>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</si>
  <si>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</si>
  <si>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</si>
  <si>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</si>
  <si>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</si>
  <si>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</si>
  <si>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</si>
  <si>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</si>
  <si>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</si>
  <si>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</si>
  <si>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</si>
  <si>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</si>
  <si>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</si>
  <si>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</si>
  <si>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</si>
  <si>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</si>
  <si>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</si>
  <si>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</si>
  <si>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</si>
  <si>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</si>
  <si>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</si>
  <si>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</si>
  <si>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</si>
  <si>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</si>
  <si>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</si>
  <si>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</si>
  <si>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</si>
  <si>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</si>
  <si>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</si>
  <si>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</si>
  <si>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</si>
  <si>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</si>
  <si>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</si>
  <si>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</si>
  <si>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</si>
  <si>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</si>
  <si>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</si>
  <si>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</si>
  <si>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</si>
  <si>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</si>
  <si>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</si>
  <si>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</si>
  <si>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</si>
  <si>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</si>
  <si>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</si>
  <si>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</si>
  <si>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</si>
  <si>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</si>
  <si>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</si>
  <si>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</si>
  <si>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</si>
  <si>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</si>
  <si>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</si>
  <si>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</si>
  <si>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</si>
  <si>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</si>
  <si>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</si>
  <si>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</si>
  <si>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</si>
  <si>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</si>
  <si>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</si>
  <si>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</si>
  <si>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</si>
  <si>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</si>
  <si>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</si>
  <si>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</si>
  <si>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</si>
  <si>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</si>
  <si>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</si>
  <si>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</si>
  <si>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</si>
  <si>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</si>
  <si>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</si>
  <si>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</si>
  <si>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</si>
  <si>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</si>
  <si>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</si>
  <si>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</si>
  <si>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</si>
  <si>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</si>
  <si>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</si>
  <si>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</si>
  <si>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</si>
  <si>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</si>
  <si>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</si>
  <si>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</si>
  <si>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</si>
  <si>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</si>
  <si>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</si>
  <si>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</si>
  <si>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</si>
  <si>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</si>
  <si>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</si>
  <si>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</si>
  <si>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</si>
  <si>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</si>
  <si>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</si>
  <si>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</si>
  <si>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</si>
  <si>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</si>
  <si>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</si>
  <si>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</si>
  <si>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</si>
  <si>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</si>
  <si>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</si>
  <si>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</si>
  <si>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</si>
  <si>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</si>
  <si>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</si>
  <si>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</si>
  <si>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</si>
  <si>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</si>
  <si>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</si>
  <si>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</si>
  <si>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</si>
  <si>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</si>
  <si>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</si>
  <si>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</si>
  <si>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</si>
  <si>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</si>
  <si>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</si>
  <si>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</si>
  <si>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</si>
  <si>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</si>
  <si>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</si>
  <si>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</si>
  <si>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</si>
  <si>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</si>
  <si>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</si>
  <si>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</si>
  <si>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</si>
  <si>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</si>
  <si>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</si>
  <si>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</si>
  <si>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</si>
  <si>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</si>
  <si>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</si>
  <si>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</si>
  <si>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</si>
  <si>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</si>
  <si>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</si>
  <si>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</si>
  <si>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</si>
  <si>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</si>
  <si>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</si>
  <si>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</si>
  <si>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</si>
  <si>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</si>
  <si>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</si>
  <si>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</si>
  <si>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</si>
  <si>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</si>
  <si>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</si>
  <si>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</si>
  <si>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</si>
  <si>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</si>
  <si>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</si>
  <si>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</si>
  <si>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</si>
  <si>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</si>
  <si>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</si>
  <si>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</si>
  <si>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</si>
  <si>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</si>
  <si>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</si>
  <si>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</si>
  <si>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</si>
  <si>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</si>
  <si>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</si>
  <si>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</si>
  <si>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</si>
  <si>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</si>
  <si>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</si>
  <si>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</si>
  <si>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</si>
  <si>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</si>
  <si>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</si>
  <si>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</si>
  <si>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</si>
  <si>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</si>
  <si>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</si>
  <si>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</si>
  <si>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</si>
  <si>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</si>
  <si>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</si>
  <si>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</si>
  <si>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</si>
  <si>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</si>
  <si>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</si>
  <si>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</si>
  <si>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</si>
  <si>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</si>
  <si>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</si>
  <si>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</si>
  <si>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</si>
  <si>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</si>
  <si>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</si>
  <si>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</si>
  <si>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</si>
  <si>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</si>
  <si>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</si>
  <si>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</si>
  <si>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</si>
  <si>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</si>
  <si>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</si>
  <si>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</si>
  <si>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</si>
  <si>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</si>
  <si>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</si>
  <si>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</si>
  <si>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</si>
  <si>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</si>
  <si>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</si>
  <si>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</si>
  <si>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</si>
  <si>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</si>
  <si>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</si>
  <si>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</si>
  <si>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</si>
  <si>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</si>
  <si>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</si>
  <si>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</si>
  <si>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</si>
  <si>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</si>
  <si>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</si>
  <si>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</si>
  <si>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</si>
  <si>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</si>
  <si>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</si>
  <si>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</si>
  <si>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</si>
  <si>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</si>
  <si>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</si>
  <si>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</si>
  <si>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</si>
  <si>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</si>
  <si>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</si>
  <si>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</si>
  <si>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</si>
  <si>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</si>
  <si>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</si>
  <si>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</si>
  <si>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</si>
  <si>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</si>
  <si>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</si>
  <si>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</si>
  <si>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</si>
  <si>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</si>
  <si>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</si>
  <si>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</si>
  <si>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</si>
  <si>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</si>
  <si>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</si>
  <si>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</si>
  <si>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</si>
  <si>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</si>
  <si>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</si>
  <si>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</si>
  <si>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</si>
  <si>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</si>
  <si>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</si>
  <si>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</si>
  <si>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</si>
  <si>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</si>
  <si>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</si>
  <si>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</si>
  <si>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</si>
  <si>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</si>
  <si>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</si>
  <si>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</si>
  <si>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</si>
  <si>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</si>
  <si>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</si>
  <si>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</si>
  <si>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</si>
  <si>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</si>
  <si>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</si>
  <si>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</si>
  <si>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</si>
  <si>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</si>
  <si>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</si>
  <si>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</si>
  <si>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</si>
  <si>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</si>
  <si>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</si>
  <si>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</si>
  <si>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</si>
  <si>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</si>
  <si>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</si>
  <si>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</si>
  <si>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</si>
  <si>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</si>
  <si>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</si>
  <si>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</si>
  <si>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</si>
  <si>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</si>
  <si>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</si>
  <si>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</si>
  <si>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</si>
  <si>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</si>
  <si>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</si>
  <si>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</si>
  <si>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</si>
  <si>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</si>
  <si>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</si>
  <si>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</si>
  <si>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</si>
  <si>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</si>
  <si>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</si>
  <si>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</si>
  <si>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</si>
  <si>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</si>
  <si>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</si>
  <si>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</si>
  <si>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</si>
  <si>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</si>
  <si>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</si>
  <si>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</si>
  <si>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</si>
  <si>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</si>
  <si>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</si>
  <si>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</si>
  <si>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</si>
  <si>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</si>
  <si>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</si>
  <si>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</si>
  <si>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</si>
  <si>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</si>
  <si>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</si>
  <si>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</si>
  <si>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</si>
  <si>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</si>
  <si>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</si>
  <si>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</si>
  <si>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</si>
  <si>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</si>
  <si>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</si>
  <si>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</si>
  <si>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</si>
  <si>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</si>
  <si>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</si>
  <si>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</si>
  <si>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</si>
  <si>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</si>
  <si>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</si>
  <si>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</si>
  <si>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</si>
  <si>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</si>
  <si>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</si>
  <si>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</si>
  <si>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</si>
  <si>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</si>
  <si>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</si>
  <si>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</si>
  <si>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</si>
  <si>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</si>
  <si>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</si>
  <si>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</si>
  <si>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</si>
  <si>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</si>
  <si>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</si>
  <si>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</si>
  <si>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</si>
  <si>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</si>
  <si>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</si>
  <si>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</si>
  <si>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</si>
  <si>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</si>
  <si>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</si>
  <si>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</si>
  <si>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</si>
  <si>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</si>
  <si>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</si>
  <si>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</si>
  <si>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</si>
  <si>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</si>
  <si>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</si>
  <si>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</si>
  <si>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</si>
  <si>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</si>
  <si>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</si>
  <si>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</si>
  <si>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</si>
  <si>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</si>
  <si>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</si>
  <si>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</si>
  <si>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</si>
  <si>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</si>
  <si>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</si>
  <si>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</si>
  <si>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</si>
  <si>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</si>
  <si>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</si>
  <si>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</si>
  <si>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</si>
  <si>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</si>
  <si>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</si>
  <si>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</si>
  <si>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</si>
  <si>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</si>
  <si>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</si>
  <si>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</si>
  <si>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</si>
  <si>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</si>
  <si>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</si>
  <si>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</si>
  <si>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</si>
  <si>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</si>
  <si>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</si>
  <si>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</si>
  <si>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</si>
  <si>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</si>
  <si>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</si>
  <si>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</si>
  <si>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</si>
  <si>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</si>
  <si>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</si>
  <si>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</si>
  <si>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</si>
  <si>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</si>
  <si>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</si>
  <si>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</si>
  <si>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</si>
  <si>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</si>
  <si>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</si>
  <si>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</si>
  <si>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</si>
  <si>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</si>
  <si>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</si>
  <si>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</si>
  <si>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</si>
  <si>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</si>
  <si>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</si>
  <si>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</si>
  <si>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</si>
  <si>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</si>
  <si>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</si>
  <si>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</si>
  <si>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</si>
  <si>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</si>
  <si>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</si>
  <si>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</si>
  <si>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</si>
  <si>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</si>
  <si>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</si>
  <si>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</si>
  <si>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</si>
  <si>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</si>
  <si>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</si>
  <si>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</si>
  <si>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</si>
  <si>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</si>
  <si>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</si>
  <si>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</si>
  <si>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</si>
  <si>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</si>
  <si>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</si>
  <si>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</si>
  <si>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</si>
  <si>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</si>
  <si>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</si>
  <si>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</si>
  <si>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</si>
  <si>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</si>
  <si>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</si>
  <si>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</si>
  <si>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</si>
  <si>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</si>
  <si>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</si>
  <si>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</si>
  <si>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</si>
  <si>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</si>
  <si>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</si>
  <si>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</si>
  <si>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</si>
  <si>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</si>
  <si>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</si>
  <si>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</si>
  <si>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</si>
  <si>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</si>
  <si>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</si>
  <si>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</si>
  <si>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</si>
  <si>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</si>
  <si>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</si>
  <si>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</si>
  <si>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</si>
  <si>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</si>
  <si>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</si>
  <si>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</si>
  <si>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</si>
  <si>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</si>
  <si>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</si>
  <si>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</si>
  <si>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</si>
  <si>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</si>
  <si>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</si>
  <si>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</si>
  <si>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</si>
  <si>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</si>
  <si>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</si>
  <si>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</si>
  <si>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</si>
  <si>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</si>
  <si>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</si>
  <si>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</si>
  <si>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</si>
  <si>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</si>
  <si>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</si>
  <si>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</si>
  <si>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</si>
  <si>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</si>
  <si>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</si>
  <si>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</si>
  <si>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</si>
  <si>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</si>
  <si>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</si>
  <si>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</si>
  <si>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</si>
  <si>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</si>
  <si>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</si>
  <si>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</si>
  <si>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</si>
  <si>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</si>
  <si>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</si>
  <si>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</si>
  <si>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</si>
  <si>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</si>
  <si>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</si>
  <si>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</si>
  <si>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</si>
  <si>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</si>
  <si>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</si>
  <si>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</si>
  <si>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</si>
  <si>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</si>
  <si>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</si>
  <si>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</si>
  <si>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</si>
  <si>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</si>
  <si>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</si>
  <si>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</si>
  <si>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</si>
  <si>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</si>
  <si>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</si>
  <si>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</si>
  <si>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</si>
  <si>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</si>
  <si>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</si>
  <si>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</si>
  <si>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</si>
  <si>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</si>
  <si>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</si>
  <si>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</si>
  <si>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</si>
  <si>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</si>
  <si>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</si>
  <si>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</si>
  <si>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</si>
  <si>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</si>
  <si>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</si>
  <si>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</si>
  <si>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</si>
  <si>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</si>
  <si>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</si>
  <si>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</si>
  <si>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</si>
  <si>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</si>
  <si>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</si>
  <si>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</si>
  <si>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</si>
  <si>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</si>
  <si>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</si>
  <si>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</si>
  <si>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</si>
  <si>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</si>
  <si>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</si>
  <si>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</si>
  <si>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</si>
  <si>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</si>
  <si>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</si>
  <si>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</si>
  <si>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</si>
  <si>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</si>
  <si>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</si>
  <si>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</si>
  <si>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</si>
  <si>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</si>
  <si>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</si>
  <si>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</si>
  <si>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</si>
  <si>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</si>
  <si>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</si>
  <si>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</si>
  <si>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</si>
  <si>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</si>
  <si>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</si>
  <si>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</si>
  <si>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</si>
  <si>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</si>
  <si>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</si>
  <si>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</si>
  <si>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</si>
  <si>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</si>
  <si>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</si>
  <si>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</si>
  <si>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</si>
  <si>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</si>
  <si>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</si>
  <si>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</si>
  <si>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</si>
  <si>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</si>
  <si>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</si>
  <si>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</si>
  <si>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</si>
  <si>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</si>
  <si>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</si>
  <si>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</si>
  <si>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</si>
  <si>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</si>
  <si>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</si>
  <si>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</si>
  <si>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</si>
  <si>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</si>
  <si>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</si>
  <si>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</si>
  <si>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</si>
  <si>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</si>
  <si>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</si>
  <si>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</si>
  <si>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</si>
  <si>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</si>
  <si>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</si>
  <si>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</si>
  <si>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</si>
  <si>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</si>
  <si>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</si>
  <si>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</si>
  <si>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</si>
  <si>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</si>
  <si>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</si>
  <si>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</si>
  <si>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</si>
  <si>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</si>
  <si>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</si>
  <si>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</si>
  <si>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</si>
  <si>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</si>
  <si>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</si>
  <si>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</si>
  <si>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</si>
  <si>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</si>
  <si>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</si>
  <si>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</si>
  <si>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</si>
  <si>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</si>
  <si>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</si>
  <si>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</si>
  <si>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</si>
  <si>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</si>
  <si>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</si>
  <si>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</si>
  <si>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</si>
  <si>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</si>
  <si>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</si>
  <si>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</si>
  <si>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</si>
  <si>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</si>
  <si>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</si>
  <si>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</si>
  <si>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</si>
  <si>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</si>
  <si>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</si>
  <si>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</si>
  <si>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</si>
  <si>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</si>
  <si>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</si>
  <si>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</si>
  <si>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</si>
  <si>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</si>
  <si>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</si>
  <si>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</si>
  <si>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</si>
  <si>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</si>
  <si>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</si>
  <si>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</si>
  <si>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</si>
  <si>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</si>
  <si>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</si>
  <si>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</si>
  <si>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</si>
  <si>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</si>
  <si>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</si>
  <si>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</si>
  <si>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</si>
  <si>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</si>
  <si>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</si>
  <si>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</si>
  <si>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</si>
  <si>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</si>
  <si>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</si>
  <si>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</si>
  <si>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</si>
  <si>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</si>
  <si>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</si>
  <si>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</si>
  <si>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</si>
  <si>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</si>
  <si>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</si>
  <si>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</si>
  <si>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</si>
  <si>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</si>
  <si>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</si>
  <si>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</si>
  <si>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</si>
  <si>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</si>
  <si>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</si>
  <si>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</si>
  <si>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</si>
  <si>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</si>
  <si>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</si>
  <si>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</si>
  <si>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</si>
  <si>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</si>
  <si>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</si>
  <si>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</si>
  <si>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</si>
  <si>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</si>
  <si>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</si>
  <si>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</si>
  <si>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</si>
  <si>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</si>
  <si>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</si>
  <si>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</si>
  <si>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</si>
  <si>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</si>
  <si>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</si>
  <si>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</si>
  <si>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</si>
  <si>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</si>
  <si>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</si>
  <si>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</si>
  <si>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</si>
  <si>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</si>
  <si>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</si>
  <si>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</si>
  <si>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</si>
  <si>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</si>
  <si>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</si>
  <si>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</si>
  <si>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</si>
  <si>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</si>
  <si>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</si>
  <si>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</si>
  <si>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</si>
  <si>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</si>
  <si>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</si>
  <si>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</si>
  <si>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</si>
  <si>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</si>
  <si>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</si>
  <si>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</si>
  <si>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</si>
  <si>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</si>
  <si>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</si>
  <si>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</si>
  <si>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</si>
  <si>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</si>
  <si>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</si>
  <si>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</si>
  <si>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</si>
  <si>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</si>
  <si>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</si>
  <si>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</si>
  <si>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</si>
  <si>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</si>
  <si>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</si>
  <si>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</si>
  <si>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</si>
  <si>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</si>
  <si>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</si>
  <si>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</si>
  <si>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</si>
  <si>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</si>
  <si>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</si>
  <si>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</si>
  <si>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</si>
  <si>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</si>
  <si>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</si>
  <si>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</si>
  <si>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</si>
  <si>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</si>
  <si>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</si>
  <si>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</si>
  <si>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</si>
  <si>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</si>
  <si>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</si>
  <si>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</si>
  <si>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</si>
  <si>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</si>
  <si>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</si>
  <si>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</si>
  <si>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</si>
  <si>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</si>
  <si>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</si>
  <si>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</si>
  <si>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</si>
  <si>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</si>
  <si>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</si>
  <si>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</si>
  <si>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</si>
  <si>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</si>
  <si>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</si>
  <si>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</si>
  <si>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</si>
  <si>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</si>
  <si>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</si>
  <si>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</si>
  <si>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</si>
  <si>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</si>
  <si>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</si>
  <si>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</si>
  <si>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</si>
  <si>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</si>
  <si>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</si>
  <si>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</si>
  <si>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</si>
  <si>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</si>
  <si>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</si>
  <si>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</si>
  <si>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</si>
  <si>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</si>
  <si>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</si>
  <si>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</si>
  <si>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</si>
  <si>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</si>
  <si>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</si>
  <si>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</si>
  <si>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</si>
  <si>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</si>
  <si>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</si>
  <si>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</si>
  <si>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</si>
  <si>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</si>
  <si>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</si>
  <si>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</si>
  <si>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</si>
  <si>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</si>
  <si>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</si>
  <si>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</si>
  <si>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</si>
  <si>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</si>
  <si>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</si>
  <si>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</si>
  <si>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</si>
  <si>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</si>
  <si>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</si>
  <si>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</si>
  <si>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</si>
  <si>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</si>
  <si>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</si>
  <si>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</si>
  <si>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</si>
  <si>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</si>
  <si>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</si>
  <si>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</si>
  <si>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</si>
  <si>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</si>
  <si>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</si>
  <si>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</si>
  <si>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</si>
  <si>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</si>
  <si>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</si>
  <si>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</si>
  <si>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</si>
  <si>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</si>
  <si>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</si>
  <si>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</si>
  <si>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</si>
  <si>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</si>
  <si>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</si>
  <si>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</si>
  <si>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</si>
  <si>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</si>
  <si>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</si>
  <si>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</si>
  <si>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</si>
  <si>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</si>
  <si>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</si>
  <si>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</si>
  <si>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</si>
  <si>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</si>
  <si>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</si>
  <si>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</si>
  <si>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</si>
  <si>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</si>
  <si>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</si>
  <si>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</si>
  <si>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</si>
  <si>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</si>
  <si>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</si>
  <si>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</si>
  <si>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</si>
  <si>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</si>
  <si>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</si>
  <si>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</si>
  <si>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</si>
  <si>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</si>
  <si>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</si>
  <si>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</si>
  <si>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</si>
  <si>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</si>
  <si>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</si>
  <si>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</si>
  <si>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</si>
  <si>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</si>
  <si>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</si>
  <si>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</si>
  <si>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</si>
  <si>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</si>
  <si>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</si>
  <si>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</si>
  <si>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</si>
  <si>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</si>
  <si>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</si>
  <si>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</si>
  <si>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</si>
  <si>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</si>
  <si>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</si>
  <si>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</si>
  <si>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</si>
  <si>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</si>
  <si>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</si>
  <si>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</si>
  <si>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</si>
  <si>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</si>
  <si>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</si>
  <si>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</si>
  <si>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</si>
  <si>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</si>
  <si>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</si>
  <si>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</si>
  <si>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</si>
  <si>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</si>
  <si>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</si>
  <si>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</si>
  <si>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</si>
  <si>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</si>
  <si>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</si>
  <si>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</si>
  <si>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</si>
  <si>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</si>
  <si>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</si>
  <si>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</si>
  <si>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</si>
  <si>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</si>
  <si>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</si>
  <si>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</si>
  <si>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</si>
  <si>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</si>
  <si>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</si>
  <si>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</si>
  <si>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</si>
  <si>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</si>
  <si>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</si>
  <si>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</si>
  <si>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</si>
  <si>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</si>
  <si>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</si>
  <si>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</si>
  <si>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</si>
  <si>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</si>
  <si>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</si>
  <si>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</si>
  <si>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</si>
  <si>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</si>
  <si>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</si>
  <si>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</si>
  <si>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</si>
  <si>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</si>
  <si>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</si>
  <si>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</si>
  <si>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</si>
  <si>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</si>
  <si>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</si>
  <si>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</si>
  <si>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</si>
  <si>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</si>
  <si>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</si>
  <si>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</si>
  <si>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</si>
  <si>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</si>
  <si>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</si>
  <si>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</si>
  <si>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</si>
  <si>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</si>
  <si>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</si>
  <si>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</si>
  <si>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</si>
  <si>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</si>
  <si>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</si>
  <si>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</si>
  <si>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</si>
  <si>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</si>
  <si>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</si>
  <si>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</si>
  <si>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</si>
  <si>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</si>
  <si>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</si>
  <si>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</si>
  <si>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</si>
  <si>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</si>
  <si>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</si>
  <si>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</si>
  <si>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</si>
  <si>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</si>
  <si>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</si>
  <si>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</si>
  <si>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</si>
  <si>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</si>
  <si>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</si>
  <si>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</si>
  <si>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</si>
  <si>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</si>
  <si>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</si>
  <si>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</si>
  <si>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</si>
  <si>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</si>
  <si>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</si>
  <si>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</si>
  <si>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</si>
  <si>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</si>
  <si>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</si>
  <si>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</si>
  <si>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</si>
  <si>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</si>
  <si>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</si>
  <si>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</si>
  <si>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</si>
  <si>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</si>
  <si>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</si>
  <si>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</si>
  <si>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</si>
  <si>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</si>
  <si>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</si>
  <si>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</si>
  <si>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</si>
  <si>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</si>
  <si>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</si>
  <si>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</si>
  <si>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</si>
  <si>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</si>
  <si>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</si>
  <si>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</si>
  <si>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</si>
  <si>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</si>
  <si>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</si>
  <si>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</si>
  <si>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</si>
  <si>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</si>
  <si>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</si>
  <si>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</si>
  <si>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</si>
  <si>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</si>
  <si>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</si>
  <si>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</si>
  <si>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</si>
  <si>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</si>
  <si>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</si>
  <si>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</si>
  <si>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</si>
  <si>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</si>
  <si>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</si>
  <si>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</si>
  <si>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</si>
  <si>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</si>
  <si>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</si>
  <si>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</si>
  <si>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</si>
  <si>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</si>
  <si>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</si>
  <si>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</si>
  <si>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</si>
  <si>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</si>
  <si>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</si>
  <si>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</si>
  <si>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</si>
  <si>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</si>
  <si>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</si>
  <si>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</si>
  <si>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</si>
  <si>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</si>
  <si>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</si>
  <si>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</si>
  <si>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</si>
  <si>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</si>
  <si>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</si>
  <si>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</si>
  <si>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</si>
  <si>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</si>
  <si>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</si>
  <si>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</si>
  <si>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</si>
  <si>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</si>
  <si>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</si>
  <si>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</si>
  <si>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</si>
  <si>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</si>
  <si>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</si>
  <si>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</si>
  <si>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</si>
  <si>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</si>
  <si>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</si>
  <si>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</si>
  <si>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</si>
  <si>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</si>
  <si>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</si>
  <si>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</si>
  <si>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</si>
  <si>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</si>
  <si>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</si>
  <si>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</si>
  <si>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</si>
  <si>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</si>
  <si>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</si>
  <si>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</si>
  <si>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</si>
  <si>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</si>
  <si>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</si>
  <si>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</si>
  <si>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</si>
  <si>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</si>
  <si>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</si>
  <si>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</si>
  <si>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</si>
  <si>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</si>
  <si>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</si>
  <si>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</si>
  <si>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</si>
  <si>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</si>
  <si>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</si>
  <si>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</si>
  <si>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</si>
  <si>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</si>
  <si>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</si>
  <si>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</si>
  <si>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</si>
  <si>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</si>
  <si>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</si>
  <si>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</si>
  <si>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</si>
  <si>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</si>
  <si>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</si>
  <si>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</si>
  <si>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</si>
  <si>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</si>
  <si>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</si>
  <si>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</si>
  <si>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</si>
  <si>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</si>
  <si>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</si>
  <si>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</si>
  <si>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</si>
  <si>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</si>
  <si>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</si>
  <si>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</si>
  <si>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</si>
  <si>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</si>
  <si>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</si>
  <si>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</si>
  <si>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</si>
  <si>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</si>
  <si>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</si>
  <si>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</si>
  <si>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</si>
  <si>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</si>
  <si>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</si>
  <si>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</si>
  <si>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</si>
  <si>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</si>
  <si>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</si>
  <si>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</si>
  <si>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</si>
  <si>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</si>
  <si>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</si>
  <si>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</si>
  <si>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</si>
  <si>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</si>
  <si>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</si>
  <si>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</si>
  <si>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</si>
  <si>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</si>
  <si>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</si>
  <si>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</si>
  <si>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</si>
  <si>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</si>
  <si>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</si>
  <si>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</si>
  <si>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</si>
  <si>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</si>
  <si>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</si>
  <si>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</si>
  <si>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</si>
  <si>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</si>
  <si>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</si>
  <si>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</si>
  <si>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</si>
  <si>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</si>
  <si>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</si>
  <si>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</si>
  <si>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</si>
  <si>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</si>
  <si>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</si>
  <si>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</si>
  <si>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</si>
  <si>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</si>
  <si>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</si>
  <si>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</si>
  <si>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</si>
  <si>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</si>
  <si>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</si>
  <si>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</si>
  <si>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</si>
  <si>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</si>
  <si>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</si>
  <si>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</si>
  <si>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</si>
  <si>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</si>
  <si>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</si>
  <si>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</si>
  <si>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</si>
  <si>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</si>
  <si>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</si>
  <si>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</si>
  <si>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</si>
  <si>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</si>
  <si>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</si>
  <si>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</si>
  <si>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</si>
  <si>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</si>
  <si>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</si>
  <si>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</si>
  <si>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</si>
  <si>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</si>
  <si>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</si>
  <si>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</si>
  <si>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</si>
  <si>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</si>
  <si>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</si>
  <si>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</si>
  <si>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</si>
  <si>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</si>
  <si>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</si>
  <si>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</si>
  <si>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</si>
  <si>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</si>
  <si>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</si>
  <si>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</si>
  <si>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</si>
  <si>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</si>
  <si>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</si>
  <si>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</si>
  <si>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</si>
  <si>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</si>
  <si>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</si>
  <si>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</si>
  <si>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</si>
  <si>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</si>
  <si>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</si>
  <si>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</si>
  <si>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</si>
  <si>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</si>
  <si>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</si>
  <si>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</si>
  <si>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</si>
  <si>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</si>
  <si>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</si>
  <si>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</si>
  <si>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</si>
  <si>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</si>
  <si>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</si>
  <si>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</si>
  <si>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</si>
  <si>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</si>
  <si>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</si>
  <si>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</si>
  <si>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</si>
  <si>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</si>
  <si>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</si>
  <si>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</si>
  <si>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</si>
  <si>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</si>
  <si>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</si>
  <si>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</si>
  <si>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</si>
  <si>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</si>
  <si>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</si>
  <si>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</si>
  <si>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</si>
  <si>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</si>
  <si>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</si>
  <si>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</si>
  <si>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</si>
  <si>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</si>
  <si>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</si>
  <si>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</si>
  <si>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</si>
  <si>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</si>
  <si>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</si>
  <si>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</si>
  <si>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</si>
  <si>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</si>
  <si>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</si>
  <si>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</si>
  <si>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</si>
  <si>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</si>
  <si>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</si>
  <si>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</si>
  <si>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</si>
  <si>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</si>
  <si>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</si>
  <si>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</si>
  <si>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</si>
  <si>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</si>
  <si>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</si>
  <si>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</si>
  <si>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</si>
  <si>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</si>
  <si>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</si>
  <si>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</si>
  <si>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</si>
  <si>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</si>
  <si>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</si>
  <si>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</si>
  <si>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</si>
  <si>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</si>
  <si>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</si>
  <si>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</si>
  <si>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</si>
  <si>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</si>
  <si>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</si>
  <si>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</si>
  <si>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</si>
  <si>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</si>
  <si>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</si>
  <si>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</si>
  <si>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</si>
  <si>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</si>
  <si>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</si>
  <si>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</si>
  <si>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</si>
  <si>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</si>
  <si>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</si>
  <si>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</si>
  <si>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</si>
  <si>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</si>
  <si>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</si>
  <si>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</si>
  <si>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</si>
  <si>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</si>
  <si>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</si>
  <si>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</si>
  <si>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</si>
  <si>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</si>
  <si>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</si>
  <si>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</si>
  <si>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</si>
  <si>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</si>
  <si>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</si>
  <si>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</si>
  <si>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</si>
  <si>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</si>
  <si>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</si>
  <si>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</si>
  <si>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</si>
  <si>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</si>
  <si>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</si>
  <si>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</si>
  <si>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</si>
  <si>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</si>
  <si>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</si>
  <si>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</si>
  <si>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</si>
  <si>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</si>
  <si>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</si>
  <si>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</si>
  <si>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</si>
  <si>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</si>
  <si>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</si>
  <si>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</si>
  <si>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</si>
  <si>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</si>
  <si>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</si>
  <si>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</si>
  <si>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</si>
  <si>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</si>
  <si>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</si>
  <si>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</si>
  <si>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</si>
  <si>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</si>
  <si>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</si>
  <si>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</si>
  <si>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</si>
  <si>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</si>
  <si>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</si>
  <si>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</si>
  <si>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</si>
  <si>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</si>
  <si>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</si>
  <si>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</si>
  <si>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</si>
  <si>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</si>
  <si>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</si>
  <si>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</si>
  <si>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</si>
  <si>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</si>
  <si>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</si>
  <si>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</si>
  <si>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</si>
  <si>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</si>
  <si>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</si>
  <si>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</si>
  <si>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</si>
  <si>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</si>
  <si>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</si>
  <si>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</si>
  <si>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</si>
  <si>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</si>
  <si>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</si>
  <si>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</si>
  <si>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</si>
  <si>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</si>
  <si>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</si>
  <si>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</si>
  <si>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</si>
  <si>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</si>
  <si>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</si>
  <si>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</si>
  <si>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</si>
  <si>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</si>
  <si>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</si>
  <si>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</si>
  <si>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</si>
  <si>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</si>
  <si>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</si>
  <si>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</si>
  <si>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</si>
  <si>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</si>
  <si>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</si>
  <si>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</si>
  <si>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</si>
  <si>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</si>
  <si>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</si>
  <si>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</si>
  <si>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</si>
  <si>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</si>
  <si>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</si>
  <si>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</si>
  <si>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</si>
  <si>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</si>
  <si>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</si>
  <si>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</si>
  <si>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</si>
  <si>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</si>
  <si>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</si>
  <si>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</si>
  <si>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</si>
  <si>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</si>
  <si>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</si>
  <si>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</si>
  <si>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</si>
  <si>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</si>
  <si>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</si>
  <si>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</si>
  <si>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</si>
  <si>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</si>
  <si>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</si>
  <si>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</si>
  <si>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</si>
  <si>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</si>
  <si>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</si>
  <si>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</si>
  <si>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</si>
  <si>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</si>
  <si>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</si>
  <si>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</si>
  <si>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</si>
  <si>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</si>
  <si>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</si>
  <si>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</si>
  <si>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</si>
  <si>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</si>
  <si>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</si>
  <si>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</si>
  <si>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</si>
  <si>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</si>
  <si>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</si>
  <si>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</si>
  <si>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</si>
  <si>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</si>
  <si>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</si>
  <si>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</si>
  <si>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</si>
  <si>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</si>
  <si>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</si>
  <si>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</si>
  <si>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</si>
  <si>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</si>
  <si>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</si>
  <si>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</si>
  <si>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</si>
  <si>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</si>
  <si>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</si>
  <si>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</si>
  <si>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</si>
  <si>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</si>
  <si>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</si>
  <si>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</si>
  <si>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</si>
  <si>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</si>
  <si>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</si>
  <si>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</si>
  <si>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</si>
  <si>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</si>
  <si>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</si>
  <si>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</si>
  <si>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</si>
  <si>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</si>
  <si>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</si>
  <si>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</si>
  <si>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</si>
  <si>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</si>
  <si>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</si>
  <si>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</si>
  <si>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</si>
  <si>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</si>
  <si>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</si>
  <si>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</si>
  <si>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</si>
  <si>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</si>
  <si>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</si>
  <si>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</si>
  <si>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</si>
  <si>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</si>
  <si>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</si>
  <si>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</si>
  <si>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</si>
  <si>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</si>
  <si>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</si>
  <si>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</si>
  <si>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</si>
  <si>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</si>
  <si>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</si>
  <si>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</si>
  <si>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</si>
  <si>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</si>
  <si>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</si>
  <si>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</si>
  <si>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</si>
  <si>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</si>
  <si>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</si>
  <si>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</si>
  <si>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住宅</t>
  </si>
  <si>
    <t>城镇住宅用地</t>
  </si>
  <si>
    <t>地上</t>
  </si>
  <si>
    <t>普通住宅</t>
  </si>
  <si>
    <t>是</t>
  </si>
  <si>
    <t>住宅</t>
    <phoneticPr fontId="7" type="noConversion"/>
  </si>
  <si>
    <t>成新度</t>
  </si>
  <si>
    <t>利息：取LPR加浮动点数</t>
  </si>
  <si>
    <t>收益法 (元)</t>
  </si>
  <si>
    <t>押一</t>
  </si>
  <si>
    <t>钢混</t>
  </si>
  <si>
    <t>非生产用房</t>
  </si>
  <si>
    <t>自定义容积率</t>
  </si>
  <si>
    <t>与级别开发程度一致</t>
  </si>
  <si>
    <t>有</t>
  </si>
  <si>
    <t>无</t>
  </si>
  <si>
    <t>1000米以外</t>
  </si>
  <si>
    <t>一般</t>
  </si>
  <si>
    <t>较好</t>
  </si>
  <si>
    <t>好</t>
  </si>
  <si>
    <t>未包含在土地购买价格中</t>
  </si>
  <si>
    <t>已包含在土地取得成本中</t>
  </si>
  <si>
    <t>地下</t>
  </si>
  <si>
    <t>车库</t>
    <phoneticPr fontId="7" type="noConversion"/>
  </si>
  <si>
    <t>单套模式</t>
  </si>
  <si>
    <t>售价</t>
  </si>
  <si>
    <t>面积</t>
    <phoneticPr fontId="134" type="noConversion"/>
  </si>
  <si>
    <t>2023-7-21</t>
    <phoneticPr fontId="134" type="noConversion"/>
  </si>
  <si>
    <t>2023-6-30</t>
    <phoneticPr fontId="134" type="noConversion"/>
  </si>
  <si>
    <t>成本法 (元) -车库</t>
  </si>
  <si>
    <t>成本法 (元) -车库</t>
    <phoneticPr fontId="16" type="noConversion"/>
  </si>
  <si>
    <t>比较法-车位</t>
  </si>
  <si>
    <t>2023-6-19</t>
    <phoneticPr fontId="134" type="noConversion"/>
  </si>
  <si>
    <t>1层</t>
    <phoneticPr fontId="134" type="noConversion"/>
  </si>
  <si>
    <t>2层</t>
    <phoneticPr fontId="134" type="noConversion"/>
  </si>
  <si>
    <t>住宅</t>
    <phoneticPr fontId="134" type="noConversion"/>
  </si>
  <si>
    <t>车库</t>
    <phoneticPr fontId="134" type="noConversion"/>
  </si>
  <si>
    <t>面积</t>
    <phoneticPr fontId="134" type="noConversion"/>
  </si>
  <si>
    <t>总价</t>
    <phoneticPr fontId="134" type="noConversion"/>
  </si>
  <si>
    <t>单价</t>
    <phoneticPr fontId="134" type="noConversion"/>
  </si>
  <si>
    <t>成本法 (元)</t>
  </si>
  <si>
    <t xml:space="preserve"> --</t>
  </si>
  <si>
    <t xml:space="preserve"> 上海昂内有限公司  </t>
  </si>
  <si>
    <t>2003-12-10</t>
  </si>
  <si>
    <t xml:space="preserve"> 住宅可兼容底商  </t>
  </si>
  <si>
    <t xml:space="preserve"> 已成交  </t>
  </si>
  <si>
    <t>综合用地(含住宅)</t>
  </si>
  <si>
    <t xml:space="preserve"> 石景山区  </t>
  </si>
  <si>
    <t>京土整储挂(石)[2003]026号</t>
  </si>
  <si>
    <t>石景山区古城</t>
  </si>
  <si>
    <t xml:space="preserve"> 北京三威房地产开发有限公司  </t>
  </si>
  <si>
    <t>2003-12-19</t>
  </si>
  <si>
    <t xml:space="preserve"> 住宅  </t>
  </si>
  <si>
    <t>住宅用地</t>
  </si>
  <si>
    <t xml:space="preserve"> 门头沟区  </t>
  </si>
  <si>
    <t>门土储挂字[2003]001号</t>
  </si>
  <si>
    <t>门头沟区城子大街132号</t>
  </si>
  <si>
    <t xml:space="preserve"> 北京灵山房地产开发有限公司  </t>
  </si>
  <si>
    <t>2004-07-07</t>
  </si>
  <si>
    <t>门土储挂字[2004]003号</t>
  </si>
  <si>
    <t>门土储挂字[2004]003号地块</t>
  </si>
  <si>
    <t xml:space="preserve"> 北京实兴腾飞置业发展公司  </t>
  </si>
  <si>
    <t xml:space="preserve"> --  </t>
  </si>
  <si>
    <t>2006-04-20</t>
  </si>
  <si>
    <t xml:space="preserve"> 住宅、商业  </t>
  </si>
  <si>
    <t>京土整储招(石)[2006]013号</t>
  </si>
  <si>
    <t>石景山区金鼎商贸区用地</t>
  </si>
  <si>
    <t xml:space="preserve"> 北京龙泰华房地产开发有限责任公司  </t>
  </si>
  <si>
    <t>2007-05-10</t>
  </si>
  <si>
    <t xml:space="preserve"> 居住  </t>
  </si>
  <si>
    <t>京土整储挂(门)[2007]017号</t>
  </si>
  <si>
    <t>门头沟新城城子地区21-217地块</t>
  </si>
  <si>
    <t xml:space="preserve"> 北京首钢房地产开发有限公司  </t>
  </si>
  <si>
    <t>2007-05-18</t>
  </si>
  <si>
    <t xml:space="preserve"> 居住(含基础教育)、公共设施、绿地  </t>
  </si>
  <si>
    <t>京土整储招(石)[2007]014号</t>
  </si>
  <si>
    <t>石景山区金顶街三区住宅及配套项目用地</t>
  </si>
  <si>
    <t xml:space="preserve"> 北京金第房地产开发有限责任公司、北京成业行房地产开发有限公司联合  </t>
  </si>
  <si>
    <t>2007-05-29</t>
  </si>
  <si>
    <t xml:space="preserve"> 居住用地  </t>
  </si>
  <si>
    <t>京土整储招(石)[2007]021号</t>
  </si>
  <si>
    <t>石景山区鲁谷G804居住用地</t>
  </si>
  <si>
    <t xml:space="preserve"> 华润置地(武汉)发展有限公司  </t>
  </si>
  <si>
    <t>2007-12-17</t>
  </si>
  <si>
    <t>京土整储挂(门)[2007]063号</t>
  </si>
  <si>
    <t>门头沟新城冯村地区(一期)居住项目用地</t>
  </si>
  <si>
    <t xml:space="preserve"> 远洋地产有限公司  </t>
  </si>
  <si>
    <t>2008-01-17</t>
  </si>
  <si>
    <t xml:space="preserve"> 居住、商业  </t>
  </si>
  <si>
    <t>京土整储招(石)[2007]089号</t>
  </si>
  <si>
    <t>石景山区石槽住宅、商业及配套用地</t>
  </si>
  <si>
    <t xml:space="preserve"> 金融街控股股份有限公司与北京石开房地产开发有限公司投标联合体  </t>
  </si>
  <si>
    <t>2008-10-14</t>
  </si>
  <si>
    <t xml:space="preserve"> 居住、商业金融  </t>
  </si>
  <si>
    <t xml:space="preserve"> ≤2.55  </t>
  </si>
  <si>
    <t>京土整储招(石)[2008]027号</t>
  </si>
  <si>
    <t>石景山区衙门口居住、公建用地</t>
  </si>
  <si>
    <t xml:space="preserve"> 北京金隅嘉业房地产开发有限公司  </t>
  </si>
  <si>
    <t>2009-03-06</t>
  </si>
  <si>
    <t xml:space="preserve"> 住宅及居住公共服务设施  </t>
  </si>
  <si>
    <t>京土整储招(石)[2009]005号</t>
  </si>
  <si>
    <t>石景山区金顶街居住项目</t>
  </si>
  <si>
    <t xml:space="preserve"> 京汉置业集团股份有限公司  </t>
  </si>
  <si>
    <t>2009-05-12</t>
  </si>
  <si>
    <t>京土整储挂(石) [2009]017号</t>
  </si>
  <si>
    <t>石景山区衙门口东路北侧居住及配套项目用地</t>
  </si>
  <si>
    <t>2009-07-06</t>
  </si>
  <si>
    <t>京土整储挂(石)[2009]063号</t>
  </si>
  <si>
    <t>石景山区石槽居住项目用地</t>
  </si>
  <si>
    <t xml:space="preserve"> 北京天台山房地产开发有限公司  </t>
  </si>
  <si>
    <t>2009-12-30</t>
  </si>
  <si>
    <t xml:space="preserve"> 居住及配套  </t>
  </si>
  <si>
    <t>京土整储挂(门)[2009]129号</t>
  </si>
  <si>
    <t>门头沟区龙泉镇城子地区</t>
  </si>
  <si>
    <t xml:space="preserve"> 北京住总正华开发建设集团有限公司、北京正华永兴房地产开发有限公司联合体  </t>
  </si>
  <si>
    <t>2010-08-19</t>
  </si>
  <si>
    <t xml:space="preserve"> R2二类居住  </t>
  </si>
  <si>
    <t>京土整储招(石)[2010]078号</t>
  </si>
  <si>
    <t>北京市石景山区五里坨住宅项目(原西山木材厂)用地(配建廉租房)</t>
  </si>
  <si>
    <t xml:space="preserve"> 北京住总房地产开发有限责任公司、北京骏洋房地产开发有限公司联合体  </t>
  </si>
  <si>
    <t>2011-06-09</t>
  </si>
  <si>
    <t xml:space="preserve"> F1住宅混合公建用地、R2二类居住用地  </t>
  </si>
  <si>
    <t>京土整储招(门)[2011]042号</t>
  </si>
  <si>
    <t>门头沟区永定镇居住项目国有建设用地</t>
  </si>
  <si>
    <t xml:space="preserve"> 中铁房地产集团北京顺捷金海置业有限公司  </t>
  </si>
  <si>
    <t>2011-09-21</t>
  </si>
  <si>
    <t xml:space="preserve"> F1住宅混合公建、R2二类居住  </t>
  </si>
  <si>
    <t>京土整储挂(门)[2011]088号</t>
  </si>
  <si>
    <t>门头沟永定镇居住及F1住宅混合公建项目</t>
  </si>
  <si>
    <t xml:space="preserve"> 北京昊泰房地产开发有限公司  </t>
  </si>
  <si>
    <t>2011-12-29</t>
  </si>
  <si>
    <t xml:space="preserve"> R2二类居住用地、R53托幼用地  </t>
  </si>
  <si>
    <t>京土整储挂(门)[2011]152号</t>
  </si>
  <si>
    <t>北京市门头沟区黑山地区居住、托幼项目(配建"公共租赁住房")</t>
  </si>
  <si>
    <t xml:space="preserve"> 北京鹏辉房地产开发有限公司  </t>
  </si>
  <si>
    <t>2012-06-18</t>
  </si>
  <si>
    <t xml:space="preserve"> F1住宅混合公建用地  </t>
  </si>
  <si>
    <t>京土整储挂(门)[2012]015号</t>
  </si>
  <si>
    <t>北京市门头沟区龙泉镇F1住宅混合公建用地项目</t>
  </si>
  <si>
    <t xml:space="preserve"> 北京住总正华开发建设集团有限公司、北京正华天宝投资管理有限公司联合体  </t>
  </si>
  <si>
    <t>2012-11-01</t>
  </si>
  <si>
    <t xml:space="preserve"> R2二类居住用地、S3社会停车场库用地、C5医疗卫生用地、R53托幼用地  </t>
  </si>
  <si>
    <t>京土整储挂(门)[2012]062号</t>
  </si>
  <si>
    <t>门头沟区永定镇(MC20-034—MC20-036、MC020-041地块)限价商品住房项目</t>
  </si>
  <si>
    <t xml:space="preserve"> 中海地产集团有限公司  </t>
  </si>
  <si>
    <t>2013-01-10</t>
  </si>
  <si>
    <t xml:space="preserve"> R2二类居住用地、C2商业金融用地  </t>
  </si>
  <si>
    <t>京土整储招(石)[2012]078号</t>
  </si>
  <si>
    <t>石景山区老古城综合改造项目D、JB地块二类居住及商业金融项目(配建公共租赁住房)</t>
  </si>
  <si>
    <t xml:space="preserve"> 中国水电建设集团房地产有限公司、金地(集团)股份有限公司联合体  </t>
  </si>
  <si>
    <t>2013-02-04</t>
  </si>
  <si>
    <t xml:space="preserve"> R2二类居住用地、C2商业金融、R53托幼用地、S3社会停车场库用地  </t>
  </si>
  <si>
    <t>京土整储招(门)[2013]005号</t>
  </si>
  <si>
    <t>门头沟区门头沟新城MC10-033、MC10-035-1、MC10-035-2、MC10-036、MC10-055、MC10-056地块二类居住、商业金融、托幼及社会停车场库用地</t>
  </si>
  <si>
    <t>2013-02-07</t>
  </si>
  <si>
    <t xml:space="preserve"> R2二类居住用地、F1住宅混合公建用地、R53托幼用地  </t>
  </si>
  <si>
    <t>京土整储招(门)[2013]006号</t>
  </si>
  <si>
    <t>门头沟区门头沟新城MC10-037、MC10-038、MC10-040、MC10-041、MC10-060、MC10-065地块二类居住、住宅混合公建及托幼用地(配建“公共租赁住房”)</t>
  </si>
  <si>
    <t xml:space="preserve"> 北京建工地产有限责任公司  </t>
  </si>
  <si>
    <t>2013-07-15</t>
  </si>
  <si>
    <t xml:space="preserve"> 五里坨地块为R2二类居住用地、R53托幼用地,京西(东区)地块为C2商业金融用地  </t>
  </si>
  <si>
    <t xml:space="preserve"> 五里坨地块容积率为2.41,京西(东区)地块容积率为4.5  </t>
  </si>
  <si>
    <t>京土整储招(石)[2013]054号</t>
  </si>
  <si>
    <t>石景山区五里坨建设组团02号地B地块保障性住房用地、京西商务中心(东区)商业金融用地</t>
  </si>
  <si>
    <t xml:space="preserve"> 金融街控股股份有限公司、北京实兴腾飞置业发展公司联合体  </t>
  </si>
  <si>
    <t xml:space="preserve"> 南宫地块为R2二类居住用地,京西(西区)地块为C2商业金融用地  </t>
  </si>
  <si>
    <t xml:space="preserve"> 南宫地块容积率为2.02,京西(西区)地块容积率为4.5  </t>
  </si>
  <si>
    <t>京土整储招(石)[2013]055号</t>
  </si>
  <si>
    <t>石景山区五里坨南宫住宅小区(A、B地块)保障性住房用地、京西商务中心(西区)商业金融用地</t>
  </si>
  <si>
    <t xml:space="preserve"> 北京市华远置业有限公司、北京金秋莱太房地产开发有限公司联合体  </t>
  </si>
  <si>
    <t>2013-11-21</t>
  </si>
  <si>
    <t xml:space="preserve"> F1住宅混合公建、C2商业金融用地  </t>
  </si>
  <si>
    <t>京土整储招(门)[2013]118号</t>
  </si>
  <si>
    <t>门头沟区门头沟新城MC08-014/015地块住宅混合公建、商业金融用地(配建“经济适用住房”、“自住型商品住房”)</t>
  </si>
  <si>
    <t xml:space="preserve"> 北京住总房地产开发有限责任公司、北京融创恒基地产有限公司、北京骏洋房地产开发有限公司联合体  </t>
  </si>
  <si>
    <t>2013-12-19</t>
  </si>
  <si>
    <t xml:space="preserve"> F1住宅混合公建、C2商业金融、R53托幼、C5医疗卫生  </t>
  </si>
  <si>
    <t>京土整储招(门)[2013]128号</t>
  </si>
  <si>
    <t>门头沟区门头沟新城MC16-073等地块住宅混合公建、商业金融、托幼及医疗卫生用地(配建“限价商品住房”)</t>
  </si>
  <si>
    <t xml:space="preserve"> 中铁置业集团北京有限公司、中国中铁航空港建设集团有限公司、中铁物资有限责任公司、中铁四局集团有限公司联合体  </t>
  </si>
  <si>
    <t>2014-04-18</t>
  </si>
  <si>
    <t>京土整储挂(门)[2014]028号</t>
  </si>
  <si>
    <t>门头沟区永定镇MC00-0020-0031、0049地块F1住宅混合公建用地(配建经济适用房)(门头沟东辛秤C地块东区)</t>
  </si>
  <si>
    <t xml:space="preserve"> 中国水电建设集团房地产有限公司、宁波益方投资合伙企业(有限合伙)联合体  </t>
  </si>
  <si>
    <t xml:space="preserve"> R2二类居住用地、S3社会停车场库用地、R53托幼用地  </t>
  </si>
  <si>
    <t>京土整储挂(门)[2014]027号</t>
  </si>
  <si>
    <t>门头沟区永定镇MC00-0020-0030、0032、0042、0043、0048地块R2二类居住用地、S3社会停车场库用地及R53托幼用地(门头沟东辛秤C地块西区)</t>
  </si>
  <si>
    <t xml:space="preserve"> 京汉置业集团股份有限公司、东方邦信置业有限公司联合体  </t>
  </si>
  <si>
    <t>2014-07-17</t>
  </si>
  <si>
    <t>京土整储挂(石)[2014]037号</t>
  </si>
  <si>
    <t>石景山区八角第二水泥管厂1612-034、1612-042地块二类居住、托幼用地(配建"限价商品住房")</t>
  </si>
  <si>
    <t xml:space="preserve"> 北京德俊置业有限公司、北京奥宸置业有限公司联合体  </t>
  </si>
  <si>
    <t>2014-09-28</t>
  </si>
  <si>
    <t>京土整储挂(石)[2014]061号</t>
  </si>
  <si>
    <t>石景山区刘娘府1604-659等地块(刘娘府综合改造项目A1地块一期)二类居住及商业金融用地</t>
  </si>
  <si>
    <t xml:space="preserve"> 北京城建兴云房地产有限公司  </t>
  </si>
  <si>
    <t>2014-10-17</t>
  </si>
  <si>
    <t xml:space="preserve"> R2二类居住用地、S4社会停车场库用地、A33基础教育用地  </t>
  </si>
  <si>
    <t>京土整储挂(门)[2014]067号</t>
  </si>
  <si>
    <t>门头沟区永定镇MC00-0015-0059等地块R2二类居住用地、S4社会停车场库用地、A33基础教育用地(配建公共租赁住房)(原门头沟冯村、何各庄地区土地一级开发项目A地块部分地块北区)</t>
  </si>
  <si>
    <t xml:space="preserve"> 北京保利兴房地产开发有限公司、北京首都开发股份有限公司联合体  </t>
  </si>
  <si>
    <t xml:space="preserve"> R2二类居住用地、F2公建混合居住用地、A33基础教育用地  </t>
  </si>
  <si>
    <t>京土整储挂(门)[2014]066号</t>
  </si>
  <si>
    <t>门头沟区永定镇MC00-0015-0068等地块R2二类居住用地、F2公建混合居住用地、A33基础教育用地(原门头沟冯村、何各庄地区土地一级开发项目A地块部分地块南区)</t>
  </si>
  <si>
    <t xml:space="preserve"> 北京京投置地房地产有限公司、北京市基础设施投资有限公司联合体  </t>
  </si>
  <si>
    <t>2014-10-21</t>
  </si>
  <si>
    <t xml:space="preserve"> R2二类居住用地、F1住宅混合公建用地、C2商业金融用地、C3文化娱乐用地、C1行政办公用地、C4体育用地、R52小学用地、R53托幼用地、U1供应设施用地  </t>
  </si>
  <si>
    <t>京土整储挂(门)[2014]068号</t>
  </si>
  <si>
    <t>门头沟区潭柘寺MC01-0003-0067等地块R2二类居住用地、F1住宅混合公建用地等用途用地(配建经济适用住房)(原门头沟区潭柘寺镇中心区C地块项目)</t>
  </si>
  <si>
    <t xml:space="preserve"> 北京中海金石房地产开发有限公司  </t>
  </si>
  <si>
    <t>2014-11-02</t>
  </si>
  <si>
    <t xml:space="preserve"> R2二类居住用地、B4综合性商业金融服务业用地、A33基础教育用地  </t>
  </si>
  <si>
    <t>京土整储挂(石)[2014]073号</t>
  </si>
  <si>
    <t>石景山区老古城综合改造项目C等地块二类居住、综合性商业金融服务业及基础教育用地</t>
  </si>
  <si>
    <t xml:space="preserve"> 北京金地创世咨询有限公司、中国电建地产集团有限公司联合体  </t>
  </si>
  <si>
    <t>2015-09-29</t>
  </si>
  <si>
    <t xml:space="preserve"> R2二类居住用地、A33基础教育用地  </t>
  </si>
  <si>
    <t>京土整储挂(门)[2015]033号</t>
  </si>
  <si>
    <t>门头沟区永定镇MC00-0017-6021、6022地块(门头沟S1线区域组团03地块北部一期用地)</t>
  </si>
  <si>
    <t xml:space="preserve"> 北京万科企业有限公司  </t>
  </si>
  <si>
    <t>2015-11-18</t>
  </si>
  <si>
    <t xml:space="preserve"> B4综合性商业金融服务业用地、F1住宅混合公建用地  </t>
  </si>
  <si>
    <t>京土整储挂(门)[2015]055号</t>
  </si>
  <si>
    <t>门头沟区永定镇MC00-0020-0009、0012地块</t>
  </si>
  <si>
    <t xml:space="preserve"> 杭州致全投资有限公司、中交地产有限公司、深圳市平嘉投资管理有限公司联合体  </t>
  </si>
  <si>
    <t xml:space="preserve"> R2二类居住用地  </t>
  </si>
  <si>
    <t>京土整储挂(门)[2015]056号</t>
  </si>
  <si>
    <t>门头沟区永定镇MC00-0017-6018、6020地块</t>
  </si>
  <si>
    <t>2015-12-30</t>
  </si>
  <si>
    <t xml:space="preserve"> R2二类居住用地、混合住宅用地、其他类多功能用地  </t>
  </si>
  <si>
    <t xml:space="preserve"> ≤3.38  </t>
  </si>
  <si>
    <t>京土棚改招(石)[2015]001号</t>
  </si>
  <si>
    <t>石景山区北辛安棚户区改造A区项目前期工作及拟改造土地使用权</t>
  </si>
  <si>
    <t xml:space="preserve"> 北京泰达和信投资管理有限公司  </t>
  </si>
  <si>
    <t>2016-02-26</t>
  </si>
  <si>
    <t xml:space="preserve"> B1商业用地、F1住宅混合公建用地、A33基础教育用地  </t>
  </si>
  <si>
    <t>京土整储挂(门)[2016]004号</t>
  </si>
  <si>
    <t>门头沟区龙泉镇MC00-0003-0026等地块B1商业用地、F1住宅混合公建用地及A33基础教育用地(原门头沟区城子大街国有资源整合改造升级地块)</t>
  </si>
  <si>
    <t xml:space="preserve"> 北京京投置地房地产有限公司、北京首都开发股份有限公司、保利(北京)房地产开发有限公司、北京龙湖天行置业有限公司、北京德俊置业有限公司  </t>
  </si>
  <si>
    <t>2017-01-19</t>
  </si>
  <si>
    <t xml:space="preserve"> S4社会停车场用地、B4综合性商业金融服务业用地、R2二类居住用地、B1商业用地、F1住宅混合公建用地  </t>
  </si>
  <si>
    <t>京土整储挂(门)[2016]033号</t>
  </si>
  <si>
    <t>门头沟区潭柘寺镇MC01-0003-6009、6008、0057、0086、0120、6016、6015地块</t>
  </si>
  <si>
    <t xml:space="preserve"> 中铁二十二局集团房地产开发有限公司、北京实兴腾飞置业发展公司联合体  </t>
  </si>
  <si>
    <t>2017-04-24</t>
  </si>
  <si>
    <t>京土整储挂(石)[2017]021号</t>
  </si>
  <si>
    <t>石景山区玉泉西一路x-18160地块</t>
  </si>
  <si>
    <t xml:space="preserve"> 中铁房地产集团北方有限公司  </t>
  </si>
  <si>
    <t>2017-04-25</t>
  </si>
  <si>
    <t xml:space="preserve"> R2二类居住用地A33基础教育用地S4社会停车场用地  </t>
  </si>
  <si>
    <t xml:space="preserve"> 居住2.5,教育0.7  </t>
  </si>
  <si>
    <t>京土整储挂(门)[2017]025号</t>
  </si>
  <si>
    <t>门头沟区永定镇MC00-0015-0043地块</t>
  </si>
  <si>
    <t xml:space="preserve"> 北京建工地产有限责任公司、北京天恒正同资产管理有限公司联合体  </t>
  </si>
  <si>
    <t>2017-09-13</t>
  </si>
  <si>
    <t>京土整储挂(石)[2017]063号</t>
  </si>
  <si>
    <t>北京市石景山区东下庄1605-630地块R2二类居住用地</t>
  </si>
  <si>
    <t xml:space="preserve"> 杭州胜拓投资有限公司  </t>
  </si>
  <si>
    <t>2017-11-07</t>
  </si>
  <si>
    <t xml:space="preserve"> R2二类居住用地、F1住宅混合公建用地、F3其他类多功能用地、A334基础教育用地、B4综合性商业金融服务业用地  </t>
  </si>
  <si>
    <t>京土整储挂(石)[2017]082号</t>
  </si>
  <si>
    <t>北京市石景山区五里坨建设组团一(1601-029)等地块R2二类居住用地、F1住宅混合公建用地、F3其他类多功能用地、B4综合性商业金融服务业用地、A334基础教育用地</t>
  </si>
  <si>
    <t xml:space="preserve"> 北京万湖企业管理有限公司、北京盛新置业有限公司、廊坊市卓越锦华房地产开发有限公司联合体  </t>
  </si>
  <si>
    <t>2017-11-14</t>
  </si>
  <si>
    <t xml:space="preserve"> F3其他类多功能用地、R2二类居住用地、A334基础教育用地  </t>
  </si>
  <si>
    <t>京土整储挂(石)[2017]083号</t>
  </si>
  <si>
    <t>北京市石景山区五里坨建设组团二1601-053地块等F3其他类多功能用地、R2二类居住用地、A334基础教育用地</t>
  </si>
  <si>
    <t xml:space="preserve"> 隆泰实业(北京)有限公司、中国电建地产集团有限公司联合体  </t>
  </si>
  <si>
    <t>2018-02-02</t>
  </si>
  <si>
    <t xml:space="preserve"> B1商业用地、F3其他类多功能用地、R2二类居住用地、A334基础教育用地  </t>
  </si>
  <si>
    <t>京土整储挂(门)[2017]117号</t>
  </si>
  <si>
    <t>北京市门头沟区永定镇岢罗坨、秋坡、石佛村MC00-0500-0004、0007、0011、0008、0012、0014、MC00-0600-0004、0006、0008、0009、0031地块</t>
  </si>
  <si>
    <t xml:space="preserve"> 中国电建地产集团有限公司、山西建设投资集团有限公司、北京金地驰创投资咨询有限公司、隆泰实业(北京)有限公司联合体  </t>
  </si>
  <si>
    <t>京土整储挂(门)[2017]116号</t>
  </si>
  <si>
    <t>北京市门头沟区永定镇岢罗坨、秋坡、石佛村MC00-0500-0009、0010、0013地块R2二类居住用地</t>
  </si>
  <si>
    <t xml:space="preserve"> 中铁置业集团北京有限公司  </t>
  </si>
  <si>
    <t>2018-02-06</t>
  </si>
  <si>
    <t>京土整储挂(门)[2017]119号</t>
  </si>
  <si>
    <t>北京市门头沟区永定镇曹各庄桥户营村MC00-0016-063地块F1住宅混合公建用地、MC00-0016-064地块</t>
  </si>
  <si>
    <t xml:space="preserve"> 中海地产集团有限公司、北京首钢房地产开发有限公司联合体  </t>
  </si>
  <si>
    <t>2018-10-31</t>
  </si>
  <si>
    <t>京土整储挂(石)[2018]025号</t>
  </si>
  <si>
    <t>北京市石景山区古城南街东侧1612-806、813、819、820等地块R2二类居住用地</t>
  </si>
  <si>
    <t>2019-01-24</t>
  </si>
  <si>
    <t>京土整储招(石)[2018]056号</t>
  </si>
  <si>
    <t>北京市石景山区阜石路1603-616地块R2二类居住用地</t>
  </si>
  <si>
    <t xml:space="preserve"> 首金盛创(天津)置业发展有限公司、北京新城万隆房地产开发有限公司联合体  </t>
  </si>
  <si>
    <t>2019-01-31</t>
  </si>
  <si>
    <t>京土整储挂(石)[2018]061号</t>
  </si>
  <si>
    <t>北京市石景山区西黄村1606-641地块R2二类居住用地、1606-642地块A33基础教育用地</t>
  </si>
  <si>
    <t xml:space="preserve"> 北京骏乐企业管理咨询有限公司  </t>
  </si>
  <si>
    <t>2019-02-01</t>
  </si>
  <si>
    <t xml:space="preserve"> R2二类居住用地、T6区域综合交通枢纽用地、S4社会停车场用地  </t>
  </si>
  <si>
    <t xml:space="preserve"> r2=2.8,t6=3.5  </t>
  </si>
  <si>
    <t>京土整储挂(门)[2018]065号</t>
  </si>
  <si>
    <t>北京市门头沟区永定镇曹各庄桥户营村MC00-0016-061地块R2二类居住用地、MC16-041地块T6区域综合交通枢纽用地、MC16-048地块S4社会停车场用地</t>
  </si>
  <si>
    <t xml:space="preserve"> 北京凯竣商务服务有限公司  </t>
  </si>
  <si>
    <t>2019-04-04</t>
  </si>
  <si>
    <t xml:space="preserve"> A334基础教育用地、F1住宅混合公建用地、F2公建混合住宅用地  </t>
  </si>
  <si>
    <t xml:space="preserve"> a334=0.8,f1、f2=2.5  </t>
  </si>
  <si>
    <t>京土整储挂(门)[2019]004号</t>
  </si>
  <si>
    <t>北京市门头沟区永定镇MC00-0016-0055、0056、0066地块A334基础教育用地、F1住宅混合公建用地、F2公建混合住宅用地</t>
  </si>
  <si>
    <t xml:space="preserve"> 北京润置商业运营管理有限公司、北京海赋丰业房地产开发有限公司、上海兴泷置业有限公司联合体  </t>
  </si>
  <si>
    <t>2019-06-27</t>
  </si>
  <si>
    <t xml:space="preserve"> b4≤5,a33≤0.8,r2≤2.8  </t>
  </si>
  <si>
    <t>京土整储挂(石)[2019]012号</t>
  </si>
  <si>
    <t>北京市石景山区古城南街东侧1612-761、764等地块R2二类居住用地、1612-768地块B4综合性商业金融服务业用地、1612-760地块A33基础教育用地</t>
  </si>
  <si>
    <t xml:space="preserve"> 中海企业发展集团有限公司、北京首钢房地产开发有限公司联合体  </t>
  </si>
  <si>
    <t>2019-11-20</t>
  </si>
  <si>
    <t xml:space="preserve"> R2二类居住用地、F3其他类多功能用地、A33基础教育用地  </t>
  </si>
  <si>
    <t xml:space="preserve"> 805、812、822≤2.2.5,823≤2.8,811≤0.8  </t>
  </si>
  <si>
    <t>京土整储挂(石)[2019]033号</t>
  </si>
  <si>
    <t>北京市石景山区古城南街东侧(首钢园区东南区)1612-805、812、823、822、811等地块R2二类居住用地、F3其他类多功能用地、A33基础教育用地</t>
  </si>
  <si>
    <t xml:space="preserve"> 厦门建益融房地产有限公司  </t>
  </si>
  <si>
    <t>2020-01-03</t>
  </si>
  <si>
    <t xml:space="preserve"> ≤2.8  </t>
  </si>
  <si>
    <t>京土整储挂(石)[2019]042号</t>
  </si>
  <si>
    <t>北京市石景山区古城南街东侧(首钢园区东南区)1612-757地块R2二类居住用地</t>
  </si>
  <si>
    <t xml:space="preserve"> 深圳市海嘉投资有限公司  </t>
  </si>
  <si>
    <t>京土整储挂(石)[2019]043号</t>
  </si>
  <si>
    <t>北京市石景山区古城南街东侧(首钢园区东南区)1612-759地块R2二类居住用地</t>
  </si>
  <si>
    <t xml:space="preserve"> 首金睿志(天津)置业发展有限公司  </t>
  </si>
  <si>
    <t>2020-02-11</t>
  </si>
  <si>
    <t xml:space="preserve"> F2公建混合住宅用地  </t>
  </si>
  <si>
    <t xml:space="preserve"> ≤3.07  </t>
  </si>
  <si>
    <t>京土整储挂(石)[2019]050号</t>
  </si>
  <si>
    <t>北京市石景山区西黄村1606-646地块F2公建混合住宅用地</t>
  </si>
  <si>
    <t xml:space="preserve"> 中建方程投资发展集团有限公司、中建信和地产有限公司联合体  </t>
  </si>
  <si>
    <t>2020-06-10</t>
  </si>
  <si>
    <t xml:space="preserve"> 6057地块≤1.5,0097地块≤1.4  </t>
  </si>
  <si>
    <t>京土整储挂(门)[2020]022号</t>
  </si>
  <si>
    <t>北京市门头沟区永定镇南区MC00-0015-6057、MC00-0015-0090等地块R2二类居住用地</t>
  </si>
  <si>
    <t xml:space="preserve"> 北京鼎泰佳业房地产开发有限公司  </t>
  </si>
  <si>
    <t>2020-07-14</t>
  </si>
  <si>
    <t xml:space="preserve"> ≤2.0  </t>
  </si>
  <si>
    <t>京土整储挂(门)[2020]024号</t>
  </si>
  <si>
    <t>北京市门头沟区新城04街区MC00-0004-6022地块R2二类居住用地</t>
  </si>
  <si>
    <t xml:space="preserve"> 京能置业股份有限公司  </t>
  </si>
  <si>
    <t>2020-07-24</t>
  </si>
  <si>
    <t xml:space="preserve"> R2二类居住用地、S4社会停车场用地、A33基础教育用地  </t>
  </si>
  <si>
    <t xml:space="preserve"> r2≤1.4,a33≤0.8  </t>
  </si>
  <si>
    <t>京土整储招(门)[2020]030号</t>
  </si>
  <si>
    <t>北京市门头沟区龙泉镇门头沟新城05街区MC00-0005-6002、6003、6010、6011、6007、6008、6012地块R2二类居住用地、S4社会停车场用地、A33基础教育用地</t>
  </si>
  <si>
    <t xml:space="preserve"> 北京鑫安兴业房地产开发有限公司  </t>
  </si>
  <si>
    <t>2020-09-02</t>
  </si>
  <si>
    <t xml:space="preserve"> 二类居住用地、其他类多功能用地  </t>
  </si>
  <si>
    <t xml:space="preserve"> r2≤2.8,多功能≤4.9,幼托≤0.8  </t>
  </si>
  <si>
    <t>京土整储挂(石)[2020]035号</t>
  </si>
  <si>
    <t>北京市石景山区北辛安棚户区改造B区土地开发项目1608-658地块其他类多功能用地、1608-673-B地块二类居住用地、1608-676地块托幼用地</t>
  </si>
  <si>
    <t xml:space="preserve"> 北京远景中安置业有限公司  </t>
  </si>
  <si>
    <t>2020-12-30</t>
  </si>
  <si>
    <t xml:space="preserve"> 二类居住用地、综合性商业金融服务业用地、基础教育用地  </t>
  </si>
  <si>
    <t xml:space="preserve"> ≤1.54  </t>
  </si>
  <si>
    <t>京土整储挂(石)[2020]050号</t>
  </si>
  <si>
    <t>北京市石景山区刘娘府综合改造A2地块土地一级开发项目1604-663、1604-667地块二类居住用地、1604-676、1604-678地块综合性商业金融服务业用地、1604-666地块基础教育用地</t>
  </si>
  <si>
    <t>2021-01-14</t>
  </si>
  <si>
    <t xml:space="preserve"> 二类居住用地  </t>
  </si>
  <si>
    <t>京土整储挂(石)[2020]044号</t>
  </si>
  <si>
    <t>北京市石景山区北辛安棚户区改造B区土地开发项目1608-673-A地块二类居住用地</t>
  </si>
  <si>
    <t xml:space="preserve"> 北京西斯马管理咨询有限公司、北京石泰鸿业置业有限公司  </t>
  </si>
  <si>
    <t>2021-05-08</t>
  </si>
  <si>
    <t xml:space="preserve"> 二类居住用地、基础教育用地  </t>
  </si>
  <si>
    <t xml:space="preserve"> ≤2.7  </t>
  </si>
  <si>
    <t>京土整储挂(石)[2021]016号</t>
  </si>
  <si>
    <t>北京市石景山区衙门口棚户区改造土地开发项目1615-708地块二类居住用地、1612-734地块基础教育用地</t>
  </si>
  <si>
    <t xml:space="preserve"> 北京雅盛房地产开发有限公司  </t>
  </si>
  <si>
    <t xml:space="preserve"> R2二类居住用地、S4社会停车场用地  </t>
  </si>
  <si>
    <t xml:space="preserve"> ≤1.1  </t>
  </si>
  <si>
    <t>京土整储挂(门)[2021]025号</t>
  </si>
  <si>
    <t>北京市门头沟区永定镇冯村、何各庄MC00-0013-0077、MC00-0013-0081、MC00-0013-0087等地块R2二类居住用地、S4社会停车场用地</t>
  </si>
  <si>
    <t xml:space="preserve"> 中海企业发展集团有限公司  </t>
  </si>
  <si>
    <t>2021-10-12</t>
  </si>
  <si>
    <t>京土整储挂(石)[2021]051号</t>
  </si>
  <si>
    <t>北京市石景山区首钢园区东南区土地一级开发项目1612-829地块F1住宅混合公建用地(配建“保障性租赁住房”)</t>
  </si>
  <si>
    <t xml:space="preserve"> 北京龙湖中佰置业有限公司、北京北辰实业股份有限公司  </t>
  </si>
  <si>
    <t>2021-10-13</t>
  </si>
  <si>
    <t xml:space="preserve"> R2二类居住用地、F3其他类多功能用地  </t>
  </si>
  <si>
    <t xml:space="preserve"> 居住2.7、其他2.0  </t>
  </si>
  <si>
    <t>京土整储挂(门)[2021]070号</t>
  </si>
  <si>
    <t>北京市门头沟区永定镇MC00-0605-0004地块R2二类居住用地、MC00-0605-0008地块F3其他类多功能用地(配建“保障性租赁住房”)</t>
  </si>
  <si>
    <t xml:space="preserve"> 北京方兴亦城置业有限公司  </t>
  </si>
  <si>
    <t>2021-12-24</t>
  </si>
  <si>
    <t>京土整储挂(门)[2021]085号</t>
  </si>
  <si>
    <t>北京市门头沟区永定镇MC00-0605-0001,0003等地块R2二类居住用地(配建“保障性租赁住房”)</t>
  </si>
  <si>
    <t xml:space="preserve"> 北京金地兴业房地产有限公司  </t>
  </si>
  <si>
    <t>京土整储挂(门)[2021]086号</t>
  </si>
  <si>
    <t>北京市门头沟区永定镇MC00-0605-0002,0005等地块R2二类居住用地(配建“保障性租赁住房”)</t>
  </si>
  <si>
    <t xml:space="preserve"> 长春创诚房地产开发有限公司  </t>
  </si>
  <si>
    <t>2022-02-16</t>
  </si>
  <si>
    <t xml:space="preserve"> R2二类居住用地、B4综合性商业金融服务业用地、A334基础教育用地  </t>
  </si>
  <si>
    <t xml:space="preserve"> 1604-654-1地块容积率1.3,1604-654-2地块容积率1.1,1604-696地块容积率2.6,1604-728-1地块容积率0.9  </t>
  </si>
  <si>
    <t>京土储挂(石)[2022]007号</t>
  </si>
  <si>
    <t>北京市石景山区刘娘府综合改造土地一级开发项目1604-654-1、654-2、696、728-1地块R2二类居住用地、B4综合性商业金融服务业用地、A334基础教育用地</t>
  </si>
  <si>
    <t xml:space="preserve"> 华润置地开发(北京)有限公司  </t>
  </si>
  <si>
    <t>京土储挂(石)[2022]005号</t>
  </si>
  <si>
    <t>北京市石景山区首钢园区东南区土地一级开发项目1612-824地块R2二类居住用地</t>
  </si>
  <si>
    <t xml:space="preserve"> 北京安泰兴业置业有限公司、北京石泰集团有限公司  </t>
  </si>
  <si>
    <t>2022-05-31</t>
  </si>
  <si>
    <t xml:space="preserve"> ≤2.5  </t>
  </si>
  <si>
    <t>京土储挂(石)[2022]031号</t>
  </si>
  <si>
    <t>北京市石景山区衙门口棚户区改造土地开发项目1616-670地块F1住宅混合公建用地</t>
  </si>
  <si>
    <t xml:space="preserve"> 重庆中交丽景置业有限公司  </t>
  </si>
  <si>
    <t>2022-09-22</t>
  </si>
  <si>
    <t>京土储挂(石)[2022]051号</t>
  </si>
  <si>
    <t>北京市石景山区五里坨土地一级开发项目1602-648、1602-650地块R2二类居住用地、F3其他类多功能用地</t>
  </si>
  <si>
    <t xml:space="preserve"> 中建方程投资发展集团有限公司、中建信和地产有限公司  </t>
  </si>
  <si>
    <t>2022-11-28</t>
  </si>
  <si>
    <t>京土储挂(门)〔2022〕068号</t>
  </si>
  <si>
    <t>北京市门头沟区永定镇南区棚户区改造和环境整治项目MC00-0015-6050地块R2二类居住用地</t>
  </si>
  <si>
    <t xml:space="preserve"> 北京中海地产有限公司  </t>
  </si>
  <si>
    <t>京土储挂(石)〔2022〕067号</t>
  </si>
  <si>
    <t>北京市石景山区老古城综合改造土地一级开发项目1608-626地块R2二类居住用地</t>
  </si>
  <si>
    <t xml:space="preserve"> 青岛康景实业有限公司  </t>
  </si>
  <si>
    <t>2023-02-07</t>
  </si>
  <si>
    <t xml:space="preserve"> R2 二类居住用地、A334 托幼用地  </t>
  </si>
  <si>
    <t xml:space="preserve"> r2:2.96,a33:0.8  </t>
  </si>
  <si>
    <t>京土储挂(石)[2022]074号</t>
  </si>
  <si>
    <t>北京市石景山区苹果园交通枢纽商务区土地一级开发项目1604-631-2、1604-634地块R2二类居住用地、A334托幼用地</t>
  </si>
  <si>
    <t>2023-06-01</t>
  </si>
  <si>
    <t xml:space="preserve"> F1 住宅混合公建用 地  </t>
  </si>
  <si>
    <t>京土储挂(石)[2023]012号</t>
  </si>
  <si>
    <t>北京市石景山区衙门口棚户区改造土地开发项目1615-713地块F1住宅混合公建用地</t>
  </si>
  <si>
    <t xml:space="preserve"> 保利(北京)房地产开发有限公司  </t>
  </si>
  <si>
    <t>2023-06-16</t>
  </si>
  <si>
    <t xml:space="preserve"> R2二类居住用地、F3其他类多功能用地、A334基础教育用地  </t>
  </si>
  <si>
    <t>京土储挂(石)[2023]018号</t>
  </si>
  <si>
    <t>北京市石景山区广宁村棚户区改造项目SS00-1603-2015、2019、2027、2009地块R2二类居住用地、F3其他类多功能用地、A334基础教育用地</t>
  </si>
  <si>
    <t xml:space="preserve"> 北京首怡科新置业有限公司  </t>
  </si>
  <si>
    <t>2023-09-26</t>
  </si>
  <si>
    <t xml:space="preserve"> R2 二类居住用地、F3其他类多功能用地  </t>
  </si>
  <si>
    <t>京土储挂(石)[2023]044号</t>
  </si>
  <si>
    <t>北京市石景山区1609 街区新首钢国际人才社区核心区1609-014、018、019、032 地块R2二类居住用地、F3 其他类多功能用地</t>
  </si>
  <si>
    <t>保证金(万元)</t>
  </si>
  <si>
    <t>受让单位</t>
  </si>
  <si>
    <t>溢价率(%)</t>
  </si>
  <si>
    <t>成交楼面价(元/㎡)</t>
  </si>
  <si>
    <t>成交价(万元)</t>
  </si>
  <si>
    <t>成交日期</t>
  </si>
  <si>
    <t>起始价(万元)</t>
  </si>
  <si>
    <t>截止日期</t>
  </si>
  <si>
    <t>建设用地面积(㎡)</t>
  </si>
  <si>
    <t>规划建筑面积(㎡)</t>
  </si>
  <si>
    <t>详细规划</t>
  </si>
  <si>
    <t>容积率</t>
  </si>
  <si>
    <t>成交状态</t>
  </si>
  <si>
    <t>用地性质</t>
  </si>
  <si>
    <t>区县</t>
  </si>
  <si>
    <t>地块编号</t>
  </si>
  <si>
    <t>地块名称</t>
  </si>
  <si>
    <t>土地</t>
    <phoneticPr fontId="134" type="noConversion"/>
  </si>
  <si>
    <t>70</t>
    <phoneticPr fontId="30" type="noConversion"/>
  </si>
  <si>
    <t>住宅</t>
    <phoneticPr fontId="30" type="noConversion"/>
  </si>
  <si>
    <t>限竞房</t>
  </si>
  <si>
    <t>限竞房</t>
    <phoneticPr fontId="30" type="noConversion"/>
  </si>
  <si>
    <t>利息</t>
    <phoneticPr fontId="134" type="noConversion"/>
  </si>
  <si>
    <t>比较法-住宅</t>
  </si>
  <si>
    <t>楼层</t>
    <phoneticPr fontId="24" type="noConversion"/>
  </si>
  <si>
    <t>多层板楼</t>
  </si>
  <si>
    <t>多层板楼</t>
    <phoneticPr fontId="24" type="noConversion"/>
  </si>
  <si>
    <t>钢混</t>
    <phoneticPr fontId="24" type="noConversion"/>
  </si>
  <si>
    <t>普通装修</t>
  </si>
  <si>
    <t>普通装修</t>
    <phoneticPr fontId="24" type="noConversion"/>
  </si>
  <si>
    <t>专业物业管理</t>
  </si>
  <si>
    <t>专业物业管理</t>
    <phoneticPr fontId="24" type="noConversion"/>
  </si>
  <si>
    <t>七通</t>
  </si>
  <si>
    <t>七通</t>
    <phoneticPr fontId="24" type="noConversion"/>
  </si>
  <si>
    <t>1/5</t>
    <phoneticPr fontId="24" type="noConversion"/>
  </si>
  <si>
    <t>2/5</t>
    <phoneticPr fontId="24" type="noConversion"/>
  </si>
  <si>
    <t>3/5</t>
    <phoneticPr fontId="24" type="noConversion"/>
  </si>
  <si>
    <t>4/5</t>
    <phoneticPr fontId="24" type="noConversion"/>
  </si>
  <si>
    <t>5/5</t>
    <phoneticPr fontId="24" type="noConversion"/>
  </si>
  <si>
    <t>周边有翡翠山晓家园、和煦小区、炮厂小区等住宅项目，住宅社区成熟度一般。</t>
    <phoneticPr fontId="40" type="noConversion"/>
  </si>
  <si>
    <t>周边有358路、489路、597路等多条公交线路经过并设站，周边3公里内无地铁，交通便捷度一般。</t>
    <phoneticPr fontId="4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</si>
  <si>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青石西街</t>
    </r>
    <phoneticPr fontId="24" type="noConversion"/>
  </si>
  <si>
    <t>估价对象周边有炮山城市森林公园、锦绣公园、青山公园、永定河引水渠等自然人文景观，总体自然人文环境较好。</t>
    <phoneticPr fontId="40" type="noConversion"/>
  </si>
  <si>
    <t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t>
    <phoneticPr fontId="40" type="noConversion"/>
  </si>
  <si>
    <t>平面车位</t>
  </si>
  <si>
    <t>平面车位</t>
    <phoneticPr fontId="31" type="noConversion"/>
  </si>
  <si>
    <t>物业公司管理</t>
  </si>
  <si>
    <t>物业公司管理</t>
    <phoneticPr fontId="31" type="noConversion"/>
  </si>
  <si>
    <t>普通装修</t>
    <phoneticPr fontId="31" type="noConversion"/>
  </si>
  <si>
    <t>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</si>
</sst>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0"/>
      <color theme="9" tint="-0.249977111117893"/>
      <name val="Arial"/>
      <family val="3"/>
      <charset val="134"/>
    </font>
    <font>
      <sz val="10.5"/>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181" fontId="47" fillId="12" borderId="0" xfId="17" applyNumberFormat="1" applyFont="1" applyFill="1" applyAlignment="1" applyProtection="1">
      <alignment vertical="center"/>
      <protection locked="0"/>
    </xf>
    <xf numFmtId="49" fontId="95" fillId="0" borderId="0" xfId="0" applyNumberFormat="1" applyFont="1">
      <alignment vertical="center"/>
    </xf>
    <xf numFmtId="0" fontId="95" fillId="0" borderId="0" xfId="0" applyFont="1">
      <alignment vertical="center"/>
    </xf>
    <xf numFmtId="14" fontId="0" fillId="0" borderId="0" xfId="0" applyNumberFormat="1">
      <alignment vertical="center"/>
    </xf>
    <xf numFmtId="0" fontId="95" fillId="0" borderId="0" xfId="0" applyFont="1" applyAlignment="1">
      <alignment horizontal="center" vertical="center"/>
    </xf>
    <xf numFmtId="0" fontId="0" fillId="0" borderId="0" xfId="0" applyAlignment="1">
      <alignment horizontal="center" vertical="center"/>
    </xf>
    <xf numFmtId="0" fontId="269" fillId="0" borderId="0" xfId="19"/>
    <xf numFmtId="0" fontId="248" fillId="0" borderId="0" xfId="19" applyFont="1"/>
    <xf numFmtId="0" fontId="94" fillId="0" borderId="9" xfId="0" applyNumberFormat="1" applyFont="1" applyFill="1" applyBorder="1" applyAlignment="1" applyProtection="1">
      <alignment horizontal="center" vertical="center" wrapText="1"/>
      <protection locked="0"/>
    </xf>
    <xf numFmtId="0" fontId="269" fillId="0" borderId="0" xfId="19" applyFill="1"/>
    <xf numFmtId="0" fontId="248" fillId="0" borderId="0" xfId="19" applyFont="1" applyFill="1"/>
    <xf numFmtId="0" fontId="248" fillId="5" borderId="0" xfId="19" applyFont="1" applyFill="1"/>
    <xf numFmtId="14" fontId="54" fillId="3" borderId="0" xfId="0" applyNumberFormat="1" applyFont="1" applyFill="1" applyAlignment="1" applyProtection="1">
      <alignment vertical="center"/>
      <protection locked="0"/>
    </xf>
    <xf numFmtId="14" fontId="54" fillId="0" borderId="0" xfId="0" applyNumberFormat="1" applyFont="1" applyFill="1" applyAlignment="1" applyProtection="1">
      <alignment vertical="center"/>
      <protection locked="0"/>
    </xf>
    <xf numFmtId="0" fontId="80" fillId="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3"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xf numFmtId="14" fontId="269" fillId="0" borderId="0" xfId="19" applyNumberFormat="1"/>
    <xf numFmtId="0" fontId="270" fillId="0" borderId="0" xfId="19" applyFont="1"/>
    <xf numFmtId="14" fontId="248" fillId="0" borderId="0" xfId="19" applyNumberFormat="1" applyFont="1"/>
    <xf numFmtId="0" fontId="270" fillId="0" borderId="0" xfId="19" applyFont="1" applyFill="1"/>
    <xf numFmtId="14" fontId="248" fillId="0" borderId="0" xfId="19" applyNumberFormat="1" applyFont="1" applyFill="1"/>
    <xf numFmtId="0" fontId="269" fillId="0" borderId="0" xfId="19" applyFill="1"/>
    <xf numFmtId="14" fontId="269" fillId="0" borderId="0" xfId="19" applyNumberFormat="1" applyFill="1"/>
    <xf numFmtId="0" fontId="248" fillId="5" borderId="0" xfId="19" applyFont="1" applyFill="1"/>
    <xf numFmtId="14" fontId="248" fillId="5" borderId="0" xfId="19" applyNumberFormat="1" applyFont="1" applyFill="1"/>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272" fillId="0" borderId="0" xfId="0" applyFont="1">
      <alignment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247105</xdr:colOff>
      <xdr:row>19</xdr:row>
      <xdr:rowOff>161498</xdr:rowOff>
    </xdr:to>
    <xdr:pic>
      <xdr:nvPicPr>
        <xdr:cNvPr id="2" name="图片 1">
          <a:extLst>
            <a:ext uri="{FF2B5EF4-FFF2-40B4-BE49-F238E27FC236}">
              <a16:creationId xmlns:a16="http://schemas.microsoft.com/office/drawing/2014/main" id="{48CF8BBB-D239-4E5D-93AB-2AED33C8F668}"/>
            </a:ext>
          </a:extLst>
        </xdr:cNvPr>
        <xdr:cNvPicPr>
          <a:picLocks noChangeAspect="1"/>
        </xdr:cNvPicPr>
      </xdr:nvPicPr>
      <xdr:blipFill>
        <a:blip xmlns:r="http://schemas.openxmlformats.org/officeDocument/2006/relationships" r:embed="rId1"/>
        <a:stretch>
          <a:fillRect/>
        </a:stretch>
      </xdr:blipFill>
      <xdr:spPr>
        <a:xfrm>
          <a:off x="0" y="0"/>
          <a:ext cx="4361905" cy="3419048"/>
        </a:xfrm>
        <a:prstGeom prst="rect">
          <a:avLst/>
        </a:prstGeom>
      </xdr:spPr>
    </xdr:pic>
    <xdr:clientData/>
  </xdr:twoCellAnchor>
  <xdr:twoCellAnchor editAs="oneCell">
    <xdr:from>
      <xdr:col>6</xdr:col>
      <xdr:colOff>619125</xdr:colOff>
      <xdr:row>0</xdr:row>
      <xdr:rowOff>0</xdr:rowOff>
    </xdr:from>
    <xdr:to>
      <xdr:col>14</xdr:col>
      <xdr:colOff>351383</xdr:colOff>
      <xdr:row>17</xdr:row>
      <xdr:rowOff>144975</xdr:rowOff>
    </xdr:to>
    <xdr:pic>
      <xdr:nvPicPr>
        <xdr:cNvPr id="3" name="图片 2">
          <a:extLst>
            <a:ext uri="{FF2B5EF4-FFF2-40B4-BE49-F238E27FC236}">
              <a16:creationId xmlns:a16="http://schemas.microsoft.com/office/drawing/2014/main" id="{6E66C5B6-2F06-4A8A-8690-B7E4242D5EC1}"/>
            </a:ext>
          </a:extLst>
        </xdr:cNvPr>
        <xdr:cNvPicPr>
          <a:picLocks noChangeAspect="1"/>
        </xdr:cNvPicPr>
      </xdr:nvPicPr>
      <xdr:blipFill>
        <a:blip xmlns:r="http://schemas.openxmlformats.org/officeDocument/2006/relationships" r:embed="rId2"/>
        <a:stretch>
          <a:fillRect/>
        </a:stretch>
      </xdr:blipFill>
      <xdr:spPr>
        <a:xfrm>
          <a:off x="4733925" y="0"/>
          <a:ext cx="5218658" cy="3059625"/>
        </a:xfrm>
        <a:prstGeom prst="rect">
          <a:avLst/>
        </a:prstGeom>
      </xdr:spPr>
    </xdr:pic>
    <xdr:clientData/>
  </xdr:twoCellAnchor>
  <xdr:twoCellAnchor editAs="oneCell">
    <xdr:from>
      <xdr:col>21</xdr:col>
      <xdr:colOff>228600</xdr:colOff>
      <xdr:row>0</xdr:row>
      <xdr:rowOff>0</xdr:rowOff>
    </xdr:from>
    <xdr:to>
      <xdr:col>31</xdr:col>
      <xdr:colOff>476250</xdr:colOff>
      <xdr:row>18</xdr:row>
      <xdr:rowOff>95360</xdr:rowOff>
    </xdr:to>
    <xdr:pic>
      <xdr:nvPicPr>
        <xdr:cNvPr id="4" name="图片 3">
          <a:extLst>
            <a:ext uri="{FF2B5EF4-FFF2-40B4-BE49-F238E27FC236}">
              <a16:creationId xmlns:a16="http://schemas.microsoft.com/office/drawing/2014/main" id="{0D7E4638-973D-48C0-9AB0-31BB1BA6CF4F}"/>
            </a:ext>
          </a:extLst>
        </xdr:cNvPr>
        <xdr:cNvPicPr>
          <a:picLocks noChangeAspect="1"/>
        </xdr:cNvPicPr>
      </xdr:nvPicPr>
      <xdr:blipFill>
        <a:blip xmlns:r="http://schemas.openxmlformats.org/officeDocument/2006/relationships" r:embed="rId3"/>
        <a:stretch>
          <a:fillRect/>
        </a:stretch>
      </xdr:blipFill>
      <xdr:spPr>
        <a:xfrm>
          <a:off x="14439900" y="0"/>
          <a:ext cx="7105650" cy="3181460"/>
        </a:xfrm>
        <a:prstGeom prst="rect">
          <a:avLst/>
        </a:prstGeom>
      </xdr:spPr>
    </xdr:pic>
    <xdr:clientData/>
  </xdr:twoCellAnchor>
  <xdr:twoCellAnchor editAs="oneCell">
    <xdr:from>
      <xdr:col>0</xdr:col>
      <xdr:colOff>1</xdr:colOff>
      <xdr:row>16</xdr:row>
      <xdr:rowOff>20546</xdr:rowOff>
    </xdr:from>
    <xdr:to>
      <xdr:col>16</xdr:col>
      <xdr:colOff>666751</xdr:colOff>
      <xdr:row>19</xdr:row>
      <xdr:rowOff>152318</xdr:rowOff>
    </xdr:to>
    <xdr:pic>
      <xdr:nvPicPr>
        <xdr:cNvPr id="5" name="图片 4">
          <a:extLst>
            <a:ext uri="{FF2B5EF4-FFF2-40B4-BE49-F238E27FC236}">
              <a16:creationId xmlns:a16="http://schemas.microsoft.com/office/drawing/2014/main" id="{BB40D31D-09FE-4047-9C9A-9353469F6AE4}"/>
            </a:ext>
          </a:extLst>
        </xdr:cNvPr>
        <xdr:cNvPicPr>
          <a:picLocks noChangeAspect="1"/>
        </xdr:cNvPicPr>
      </xdr:nvPicPr>
      <xdr:blipFill>
        <a:blip xmlns:r="http://schemas.openxmlformats.org/officeDocument/2006/relationships" r:embed="rId4"/>
        <a:stretch>
          <a:fillRect/>
        </a:stretch>
      </xdr:blipFill>
      <xdr:spPr>
        <a:xfrm>
          <a:off x="1" y="2763746"/>
          <a:ext cx="11639550" cy="646122"/>
        </a:xfrm>
        <a:prstGeom prst="rect">
          <a:avLst/>
        </a:prstGeom>
      </xdr:spPr>
    </xdr:pic>
    <xdr:clientData/>
  </xdr:twoCellAnchor>
  <xdr:twoCellAnchor editAs="oneCell">
    <xdr:from>
      <xdr:col>0</xdr:col>
      <xdr:colOff>0</xdr:colOff>
      <xdr:row>19</xdr:row>
      <xdr:rowOff>142875</xdr:rowOff>
    </xdr:from>
    <xdr:to>
      <xdr:col>16</xdr:col>
      <xdr:colOff>617676</xdr:colOff>
      <xdr:row>21</xdr:row>
      <xdr:rowOff>171404</xdr:rowOff>
    </xdr:to>
    <xdr:pic>
      <xdr:nvPicPr>
        <xdr:cNvPr id="6" name="图片 5">
          <a:extLst>
            <a:ext uri="{FF2B5EF4-FFF2-40B4-BE49-F238E27FC236}">
              <a16:creationId xmlns:a16="http://schemas.microsoft.com/office/drawing/2014/main" id="{4D651422-7160-465D-991C-566736C32191}"/>
            </a:ext>
          </a:extLst>
        </xdr:cNvPr>
        <xdr:cNvPicPr>
          <a:picLocks noChangeAspect="1"/>
        </xdr:cNvPicPr>
      </xdr:nvPicPr>
      <xdr:blipFill>
        <a:blip xmlns:r="http://schemas.openxmlformats.org/officeDocument/2006/relationships" r:embed="rId5"/>
        <a:stretch>
          <a:fillRect/>
        </a:stretch>
      </xdr:blipFill>
      <xdr:spPr>
        <a:xfrm>
          <a:off x="0" y="3400425"/>
          <a:ext cx="11590476" cy="371429"/>
        </a:xfrm>
        <a:prstGeom prst="rect">
          <a:avLst/>
        </a:prstGeom>
      </xdr:spPr>
    </xdr:pic>
    <xdr:clientData/>
  </xdr:twoCellAnchor>
  <xdr:twoCellAnchor editAs="oneCell">
    <xdr:from>
      <xdr:col>0</xdr:col>
      <xdr:colOff>0</xdr:colOff>
      <xdr:row>42</xdr:row>
      <xdr:rowOff>142875</xdr:rowOff>
    </xdr:from>
    <xdr:to>
      <xdr:col>15</xdr:col>
      <xdr:colOff>190500</xdr:colOff>
      <xdr:row>50</xdr:row>
      <xdr:rowOff>153486</xdr:rowOff>
    </xdr:to>
    <xdr:pic>
      <xdr:nvPicPr>
        <xdr:cNvPr id="8" name="图片 7">
          <a:extLst>
            <a:ext uri="{FF2B5EF4-FFF2-40B4-BE49-F238E27FC236}">
              <a16:creationId xmlns:a16="http://schemas.microsoft.com/office/drawing/2014/main" id="{92F7DBE9-3160-4465-B118-80152C851FCE}"/>
            </a:ext>
          </a:extLst>
        </xdr:cNvPr>
        <xdr:cNvPicPr>
          <a:picLocks noChangeAspect="1"/>
        </xdr:cNvPicPr>
      </xdr:nvPicPr>
      <xdr:blipFill>
        <a:blip xmlns:r="http://schemas.openxmlformats.org/officeDocument/2006/relationships" r:embed="rId6"/>
        <a:stretch>
          <a:fillRect/>
        </a:stretch>
      </xdr:blipFill>
      <xdr:spPr>
        <a:xfrm>
          <a:off x="0" y="7343775"/>
          <a:ext cx="10477500" cy="1382211"/>
        </a:xfrm>
        <a:prstGeom prst="rect">
          <a:avLst/>
        </a:prstGeom>
      </xdr:spPr>
    </xdr:pic>
    <xdr:clientData/>
  </xdr:twoCellAnchor>
  <xdr:twoCellAnchor editAs="oneCell">
    <xdr:from>
      <xdr:col>0</xdr:col>
      <xdr:colOff>0</xdr:colOff>
      <xdr:row>50</xdr:row>
      <xdr:rowOff>104775</xdr:rowOff>
    </xdr:from>
    <xdr:to>
      <xdr:col>15</xdr:col>
      <xdr:colOff>138157</xdr:colOff>
      <xdr:row>54</xdr:row>
      <xdr:rowOff>161820</xdr:rowOff>
    </xdr:to>
    <xdr:pic>
      <xdr:nvPicPr>
        <xdr:cNvPr id="9" name="图片 8">
          <a:extLst>
            <a:ext uri="{FF2B5EF4-FFF2-40B4-BE49-F238E27FC236}">
              <a16:creationId xmlns:a16="http://schemas.microsoft.com/office/drawing/2014/main" id="{C8869888-27EC-41A3-AA92-0E4EFD9AEA54}"/>
            </a:ext>
          </a:extLst>
        </xdr:cNvPr>
        <xdr:cNvPicPr>
          <a:picLocks noChangeAspect="1"/>
        </xdr:cNvPicPr>
      </xdr:nvPicPr>
      <xdr:blipFill>
        <a:blip xmlns:r="http://schemas.openxmlformats.org/officeDocument/2006/relationships" r:embed="rId7"/>
        <a:stretch>
          <a:fillRect/>
        </a:stretch>
      </xdr:blipFill>
      <xdr:spPr>
        <a:xfrm>
          <a:off x="0" y="8677275"/>
          <a:ext cx="10425157" cy="742845"/>
        </a:xfrm>
        <a:prstGeom prst="rect">
          <a:avLst/>
        </a:prstGeom>
      </xdr:spPr>
    </xdr:pic>
    <xdr:clientData/>
  </xdr:twoCellAnchor>
  <xdr:twoCellAnchor editAs="oneCell">
    <xdr:from>
      <xdr:col>0</xdr:col>
      <xdr:colOff>0</xdr:colOff>
      <xdr:row>21</xdr:row>
      <xdr:rowOff>145290</xdr:rowOff>
    </xdr:from>
    <xdr:to>
      <xdr:col>16</xdr:col>
      <xdr:colOff>619125</xdr:colOff>
      <xdr:row>36</xdr:row>
      <xdr:rowOff>113979</xdr:rowOff>
    </xdr:to>
    <xdr:pic>
      <xdr:nvPicPr>
        <xdr:cNvPr id="10" name="图片 9">
          <a:extLst>
            <a:ext uri="{FF2B5EF4-FFF2-40B4-BE49-F238E27FC236}">
              <a16:creationId xmlns:a16="http://schemas.microsoft.com/office/drawing/2014/main" id="{40E86F7B-886E-45AE-9FD2-FF727F0DF747}"/>
            </a:ext>
          </a:extLst>
        </xdr:cNvPr>
        <xdr:cNvPicPr>
          <a:picLocks noChangeAspect="1"/>
        </xdr:cNvPicPr>
      </xdr:nvPicPr>
      <xdr:blipFill>
        <a:blip xmlns:r="http://schemas.openxmlformats.org/officeDocument/2006/relationships" r:embed="rId8"/>
        <a:stretch>
          <a:fillRect/>
        </a:stretch>
      </xdr:blipFill>
      <xdr:spPr>
        <a:xfrm>
          <a:off x="0" y="3745740"/>
          <a:ext cx="11591925" cy="2540439"/>
        </a:xfrm>
        <a:prstGeom prst="rect">
          <a:avLst/>
        </a:prstGeom>
      </xdr:spPr>
    </xdr:pic>
    <xdr:clientData/>
  </xdr:twoCellAnchor>
  <xdr:twoCellAnchor editAs="oneCell">
    <xdr:from>
      <xdr:col>0</xdr:col>
      <xdr:colOff>0</xdr:colOff>
      <xdr:row>56</xdr:row>
      <xdr:rowOff>133350</xdr:rowOff>
    </xdr:from>
    <xdr:to>
      <xdr:col>10</xdr:col>
      <xdr:colOff>342000</xdr:colOff>
      <xdr:row>79</xdr:row>
      <xdr:rowOff>113809</xdr:rowOff>
    </xdr:to>
    <xdr:pic>
      <xdr:nvPicPr>
        <xdr:cNvPr id="7" name="图片 6">
          <a:extLst>
            <a:ext uri="{FF2B5EF4-FFF2-40B4-BE49-F238E27FC236}">
              <a16:creationId xmlns:a16="http://schemas.microsoft.com/office/drawing/2014/main" id="{ADDD915C-281F-4102-8252-55EC88945CD6}"/>
            </a:ext>
          </a:extLst>
        </xdr:cNvPr>
        <xdr:cNvPicPr>
          <a:picLocks noChangeAspect="1"/>
        </xdr:cNvPicPr>
      </xdr:nvPicPr>
      <xdr:blipFill>
        <a:blip xmlns:r="http://schemas.openxmlformats.org/officeDocument/2006/relationships" r:embed="rId9"/>
        <a:stretch>
          <a:fillRect/>
        </a:stretch>
      </xdr:blipFill>
      <xdr:spPr>
        <a:xfrm>
          <a:off x="0" y="9734550"/>
          <a:ext cx="7200000" cy="3923809"/>
        </a:xfrm>
        <a:prstGeom prst="rect">
          <a:avLst/>
        </a:prstGeom>
      </xdr:spPr>
    </xdr:pic>
    <xdr:clientData/>
  </xdr:twoCellAnchor>
  <xdr:twoCellAnchor editAs="oneCell">
    <xdr:from>
      <xdr:col>0</xdr:col>
      <xdr:colOff>0</xdr:colOff>
      <xdr:row>37</xdr:row>
      <xdr:rowOff>0</xdr:rowOff>
    </xdr:from>
    <xdr:to>
      <xdr:col>15</xdr:col>
      <xdr:colOff>469777</xdr:colOff>
      <xdr:row>41</xdr:row>
      <xdr:rowOff>161810</xdr:rowOff>
    </xdr:to>
    <xdr:pic>
      <xdr:nvPicPr>
        <xdr:cNvPr id="12" name="图片 11">
          <a:extLst>
            <a:ext uri="{FF2B5EF4-FFF2-40B4-BE49-F238E27FC236}">
              <a16:creationId xmlns:a16="http://schemas.microsoft.com/office/drawing/2014/main" id="{36067D1A-5DA8-4811-BE57-6CEFABB20C05}"/>
            </a:ext>
          </a:extLst>
        </xdr:cNvPr>
        <xdr:cNvPicPr>
          <a:picLocks noChangeAspect="1"/>
        </xdr:cNvPicPr>
      </xdr:nvPicPr>
      <xdr:blipFill>
        <a:blip xmlns:r="http://schemas.openxmlformats.org/officeDocument/2006/relationships" r:embed="rId10"/>
        <a:stretch>
          <a:fillRect/>
        </a:stretch>
      </xdr:blipFill>
      <xdr:spPr>
        <a:xfrm>
          <a:off x="0" y="6343650"/>
          <a:ext cx="10756777" cy="847610"/>
        </a:xfrm>
        <a:prstGeom prst="rect">
          <a:avLst/>
        </a:prstGeom>
      </xdr:spPr>
    </xdr:pic>
    <xdr:clientData/>
  </xdr:twoCellAnchor>
  <xdr:twoCellAnchor editAs="oneCell">
    <xdr:from>
      <xdr:col>16</xdr:col>
      <xdr:colOff>647700</xdr:colOff>
      <xdr:row>6</xdr:row>
      <xdr:rowOff>161925</xdr:rowOff>
    </xdr:from>
    <xdr:to>
      <xdr:col>33</xdr:col>
      <xdr:colOff>389050</xdr:colOff>
      <xdr:row>23</xdr:row>
      <xdr:rowOff>94894</xdr:rowOff>
    </xdr:to>
    <xdr:pic>
      <xdr:nvPicPr>
        <xdr:cNvPr id="11" name="图片 10">
          <a:extLst>
            <a:ext uri="{FF2B5EF4-FFF2-40B4-BE49-F238E27FC236}">
              <a16:creationId xmlns:a16="http://schemas.microsoft.com/office/drawing/2014/main" id="{E5C5CEBA-A826-4E49-BD7C-DEF1704854FE}"/>
            </a:ext>
          </a:extLst>
        </xdr:cNvPr>
        <xdr:cNvPicPr>
          <a:picLocks noChangeAspect="1"/>
        </xdr:cNvPicPr>
      </xdr:nvPicPr>
      <xdr:blipFill>
        <a:blip xmlns:r="http://schemas.openxmlformats.org/officeDocument/2006/relationships" r:embed="rId11"/>
        <a:stretch>
          <a:fillRect/>
        </a:stretch>
      </xdr:blipFill>
      <xdr:spPr>
        <a:xfrm>
          <a:off x="11620500" y="1190625"/>
          <a:ext cx="11800000" cy="2847619"/>
        </a:xfrm>
        <a:prstGeom prst="rect">
          <a:avLst/>
        </a:prstGeom>
      </xdr:spPr>
    </xdr:pic>
    <xdr:clientData/>
  </xdr:twoCellAnchor>
  <xdr:twoCellAnchor editAs="oneCell">
    <xdr:from>
      <xdr:col>16</xdr:col>
      <xdr:colOff>476250</xdr:colOff>
      <xdr:row>23</xdr:row>
      <xdr:rowOff>47625</xdr:rowOff>
    </xdr:from>
    <xdr:to>
      <xdr:col>32</xdr:col>
      <xdr:colOff>379590</xdr:colOff>
      <xdr:row>39</xdr:row>
      <xdr:rowOff>94901</xdr:rowOff>
    </xdr:to>
    <xdr:pic>
      <xdr:nvPicPr>
        <xdr:cNvPr id="13" name="图片 12">
          <a:extLst>
            <a:ext uri="{FF2B5EF4-FFF2-40B4-BE49-F238E27FC236}">
              <a16:creationId xmlns:a16="http://schemas.microsoft.com/office/drawing/2014/main" id="{C3F17E88-F998-4F18-BA96-588E117223F4}"/>
            </a:ext>
          </a:extLst>
        </xdr:cNvPr>
        <xdr:cNvPicPr>
          <a:picLocks noChangeAspect="1"/>
        </xdr:cNvPicPr>
      </xdr:nvPicPr>
      <xdr:blipFill>
        <a:blip xmlns:r="http://schemas.openxmlformats.org/officeDocument/2006/relationships" r:embed="rId12"/>
        <a:stretch>
          <a:fillRect/>
        </a:stretch>
      </xdr:blipFill>
      <xdr:spPr>
        <a:xfrm>
          <a:off x="11449050" y="3990975"/>
          <a:ext cx="11276190" cy="2790476"/>
        </a:xfrm>
        <a:prstGeom prst="rect">
          <a:avLst/>
        </a:prstGeom>
      </xdr:spPr>
    </xdr:pic>
    <xdr:clientData/>
  </xdr:twoCellAnchor>
  <xdr:twoCellAnchor editAs="oneCell">
    <xdr:from>
      <xdr:col>16</xdr:col>
      <xdr:colOff>19050</xdr:colOff>
      <xdr:row>38</xdr:row>
      <xdr:rowOff>0</xdr:rowOff>
    </xdr:from>
    <xdr:to>
      <xdr:col>31</xdr:col>
      <xdr:colOff>541524</xdr:colOff>
      <xdr:row>53</xdr:row>
      <xdr:rowOff>123488</xdr:rowOff>
    </xdr:to>
    <xdr:pic>
      <xdr:nvPicPr>
        <xdr:cNvPr id="14" name="图片 13">
          <a:extLst>
            <a:ext uri="{FF2B5EF4-FFF2-40B4-BE49-F238E27FC236}">
              <a16:creationId xmlns:a16="http://schemas.microsoft.com/office/drawing/2014/main" id="{36EB0985-EFEF-4AB5-872B-0C92C667223E}"/>
            </a:ext>
          </a:extLst>
        </xdr:cNvPr>
        <xdr:cNvPicPr>
          <a:picLocks noChangeAspect="1"/>
        </xdr:cNvPicPr>
      </xdr:nvPicPr>
      <xdr:blipFill>
        <a:blip xmlns:r="http://schemas.openxmlformats.org/officeDocument/2006/relationships" r:embed="rId13"/>
        <a:stretch>
          <a:fillRect/>
        </a:stretch>
      </xdr:blipFill>
      <xdr:spPr>
        <a:xfrm>
          <a:off x="10991850" y="6515100"/>
          <a:ext cx="11209524"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47625</xdr:colOff>
      <xdr:row>40</xdr:row>
      <xdr:rowOff>0</xdr:rowOff>
    </xdr:from>
    <xdr:ext cx="7200000" cy="3923809"/>
    <xdr:pic>
      <xdr:nvPicPr>
        <xdr:cNvPr id="2" name="图片 1">
          <a:extLst>
            <a:ext uri="{FF2B5EF4-FFF2-40B4-BE49-F238E27FC236}">
              <a16:creationId xmlns:a16="http://schemas.microsoft.com/office/drawing/2014/main" id="{B92880D4-A4D2-4CB1-9B78-4EA8E6C23A02}"/>
            </a:ext>
          </a:extLst>
        </xdr:cNvPr>
        <xdr:cNvPicPr>
          <a:picLocks noChangeAspect="1"/>
        </xdr:cNvPicPr>
      </xdr:nvPicPr>
      <xdr:blipFill>
        <a:blip xmlns:r="http://schemas.openxmlformats.org/officeDocument/2006/relationships" r:embed="rId1"/>
        <a:stretch>
          <a:fillRect/>
        </a:stretch>
      </xdr:blipFill>
      <xdr:spPr>
        <a:xfrm>
          <a:off x="47625" y="7239000"/>
          <a:ext cx="7200000" cy="392380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估价对象为房地产，为所有。根据《国有土地使用证》[]，估价对象（分摊）出让国有建设用地使用权面积为0平方米，建筑面积为126.26平方米。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估价对象为房地产,属开发建设的，该项目尚在开发建设中。根据《国有土地使用证》[]，估价对象（分摊）出让国有建设用地使用权面积为0平方米，规划建筑面积为126.26平方米。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2023年8月24日（评估专业人员实地查勘之日）</v>
      </c>
    </row>
    <row r="13" spans="1:2" s="1203" customFormat="1">
      <c r="A13" s="1201" t="s">
        <v>529</v>
      </c>
      <c r="B13" s="1202" t="str">
        <f>'预评函-1'!A18</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126.25999999999999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29" sqref="K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3407</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22" t="s">
        <v>2581</v>
      </c>
      <c r="J2" s="3522"/>
      <c r="K2" s="3522"/>
      <c r="L2" s="3522"/>
      <c r="M2" s="3522"/>
      <c r="N2" s="3522"/>
      <c r="O2" s="3522"/>
      <c r="P2" s="3522"/>
      <c r="Q2" s="3522"/>
      <c r="R2" s="3522"/>
    </row>
    <row r="3" spans="1:18">
      <c r="A3" s="3016" t="s">
        <v>2502</v>
      </c>
      <c r="B3" s="3017">
        <f>项目基本情况!D3</f>
        <v>45162</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33.340000000000003</v>
      </c>
      <c r="D7" s="3021">
        <f>IF(ISERROR(ROUND(POWER(1+E7,A7-C7)*(POWER(1+E7,C7)-1)/(POWER(1+E7,A7)-1),3)),0,ROUND(POWER(1+E7,A7-C7)*(POWER(1+E7,C7)-1)/(POWER(1+E7,A7)-1),4))</f>
        <v>0.77959999999999996</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80" zoomScaleNormal="100" zoomScaleSheetLayoutView="80" workbookViewId="0">
      <selection activeCell="C15" sqref="C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31" t="str">
        <f>IF(B10="北京市","北京市",C10)&amp;F10&amp;IF('结果表-住宅'!G1="在建","出让国有建设用地使用权及在建建筑物",IF('结果表-住宅'!G1="土地","出让国有建设用地使用权",))&amp;B9&amp;"预评估"</f>
        <v>预评估</v>
      </c>
      <c r="C1" s="3532"/>
      <c r="D1" s="3532"/>
      <c r="E1" s="3532"/>
      <c r="F1" s="3532"/>
      <c r="G1" s="3532"/>
      <c r="H1" s="3532"/>
      <c r="I1" s="3533"/>
      <c r="J1" s="2468"/>
      <c r="K1" s="2366"/>
      <c r="L1" s="2367"/>
      <c r="M1" s="2367"/>
      <c r="N1" s="2368"/>
      <c r="O1" s="1576"/>
      <c r="P1" s="2368"/>
      <c r="Q1" s="2368"/>
      <c r="R1" s="2368"/>
      <c r="S1" s="1682" t="str">
        <f>IF(B10="北京市","北京市",C10)&amp;F10&amp;IF('结果表-住宅'!G1="在建","出让国有建设用地使用权及在建建筑物房地产抵押价值",IF('结果表-住宅'!G1="土地","出让国有建设用地使用权抵押价值",B9))</f>
        <v/>
      </c>
      <c r="T1" s="1745"/>
      <c r="U1" s="1745"/>
      <c r="V1" s="1745"/>
      <c r="W1" s="1745"/>
      <c r="X1" s="1745"/>
      <c r="Y1" s="1745"/>
      <c r="Z1" s="1745"/>
      <c r="AA1" s="1745"/>
      <c r="AB1" s="1745"/>
    </row>
    <row r="2" spans="1:30">
      <c r="A2" s="2365" t="s">
        <v>2169</v>
      </c>
      <c r="B2" s="2369"/>
      <c r="C2" s="2370"/>
      <c r="D2" s="2666"/>
      <c r="E2" s="2658"/>
      <c r="F2" s="2658"/>
      <c r="G2" s="2659"/>
      <c r="H2" s="2659"/>
      <c r="I2" s="2659"/>
      <c r="J2" s="2468"/>
      <c r="K2" s="2366"/>
      <c r="L2" s="2367"/>
      <c r="M2" s="2367"/>
      <c r="N2" s="2368"/>
      <c r="O2" s="1576"/>
      <c r="P2" s="2368"/>
      <c r="Q2" s="2368"/>
      <c r="R2" s="2368"/>
      <c r="S2" s="1682" t="str">
        <f>IF(B10="北京市","北京市",C10)&amp;F10&amp;IF('结果表-住宅'!G1="在建","出让国有建设用地使用权及在建建筑物房地产",IF('结果表-住宅'!G1="土地","出让国有建设用地使用权","房地产"))</f>
        <v>房地产</v>
      </c>
      <c r="T2" s="1745"/>
      <c r="U2" s="1745"/>
      <c r="V2" s="1745"/>
      <c r="W2" s="1745"/>
      <c r="X2" s="1745"/>
      <c r="Y2" s="1745"/>
      <c r="Z2" s="1745"/>
      <c r="AA2" s="1745"/>
      <c r="AB2" s="1745"/>
    </row>
    <row r="3" spans="1:30">
      <c r="A3" s="302" t="s">
        <v>2170</v>
      </c>
      <c r="B3" s="2371">
        <f>D3</f>
        <v>45162</v>
      </c>
      <c r="C3" s="2372" t="s">
        <v>2171</v>
      </c>
      <c r="D3" s="2371">
        <v>45162</v>
      </c>
      <c r="E3" s="2659"/>
      <c r="F3" s="2659"/>
      <c r="G3" s="2659"/>
      <c r="H3" s="2659"/>
      <c r="I3" s="2659"/>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0"/>
      <c r="F5" s="2660"/>
      <c r="G5" s="2660"/>
      <c r="H5" s="2660"/>
      <c r="I5" s="2660"/>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2175</v>
      </c>
      <c r="B7" s="2385"/>
      <c r="C7" s="2383"/>
      <c r="D7" s="2384"/>
      <c r="E7" s="2658"/>
      <c r="F7" s="2660"/>
      <c r="G7" s="2660"/>
      <c r="H7" s="2660"/>
      <c r="I7" s="2660"/>
      <c r="J7" s="2437"/>
      <c r="K7" s="2612"/>
      <c r="L7" s="2609"/>
      <c r="M7" s="2609"/>
      <c r="N7" s="2437"/>
      <c r="O7" s="2448"/>
      <c r="P7" s="2437"/>
      <c r="Q7" s="2437"/>
      <c r="R7" s="2437"/>
    </row>
    <row r="8" spans="1:30">
      <c r="A8" s="2386" t="s">
        <v>2176</v>
      </c>
      <c r="B8" s="2387"/>
      <c r="C8" s="2388"/>
      <c r="D8" s="3534" t="s">
        <v>2177</v>
      </c>
      <c r="E8" s="2389"/>
      <c r="F8" s="2390"/>
      <c r="G8" s="2659"/>
      <c r="H8" s="2659"/>
      <c r="I8" s="2659"/>
      <c r="J8" s="2437"/>
      <c r="K8" s="2610"/>
      <c r="L8" s="2609"/>
      <c r="M8" s="2609"/>
      <c r="N8" s="2437"/>
      <c r="O8" s="2448"/>
      <c r="P8" s="2437"/>
      <c r="Q8" s="2437"/>
      <c r="R8" s="2437"/>
    </row>
    <row r="9" spans="1:30" ht="13.5" thickBot="1">
      <c r="A9" s="2391" t="s">
        <v>2178</v>
      </c>
      <c r="B9" s="2392"/>
      <c r="C9" s="2393"/>
      <c r="D9" s="3535"/>
      <c r="E9" s="2392"/>
      <c r="F9" s="2394"/>
      <c r="G9" s="2661"/>
      <c r="H9" s="2661"/>
      <c r="I9" s="2661"/>
      <c r="J9" s="2437"/>
      <c r="K9" s="2612"/>
      <c r="L9" s="2609"/>
      <c r="M9" s="2609"/>
      <c r="N9" s="2437"/>
      <c r="O9" s="2448"/>
      <c r="P9" s="2437"/>
      <c r="Q9" s="2437"/>
      <c r="R9" s="2437"/>
    </row>
    <row r="10" spans="1:30" ht="13.5" thickTop="1">
      <c r="A10" s="2395" t="s">
        <v>2179</v>
      </c>
      <c r="B10" s="2396"/>
      <c r="C10" s="2397"/>
      <c r="D10" s="2380"/>
      <c r="E10" s="2398" t="s">
        <v>2180</v>
      </c>
      <c r="F10" s="2662"/>
      <c r="G10" s="2663"/>
      <c r="H10" s="2664"/>
      <c r="I10" s="2665"/>
      <c r="J10" s="2437"/>
      <c r="K10" s="2612"/>
      <c r="L10" s="2609"/>
      <c r="M10" s="2609"/>
      <c r="N10" s="2437"/>
      <c r="O10" s="2448"/>
      <c r="P10" s="2437"/>
      <c r="Q10" s="2437"/>
      <c r="R10" s="2437"/>
    </row>
    <row r="11" spans="1:30">
      <c r="A11" s="2399" t="s">
        <v>2181</v>
      </c>
      <c r="B11" s="2400"/>
      <c r="C11" s="2401"/>
      <c r="D11" s="2402"/>
      <c r="E11" s="2368"/>
      <c r="F11" s="2368"/>
      <c r="G11" s="2368"/>
      <c r="H11" s="2368"/>
      <c r="I11" s="2368"/>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2577</v>
      </c>
      <c r="J12" s="3058"/>
      <c r="K12" s="2609"/>
      <c r="L12" s="2609"/>
      <c r="M12" s="2437"/>
      <c r="N12" s="2448"/>
      <c r="O12" s="2437"/>
      <c r="P12" s="2437"/>
      <c r="Q12" s="2437"/>
      <c r="AD12" s="1745"/>
    </row>
    <row r="13" spans="1:30">
      <c r="A13" s="3419" t="s">
        <v>3335</v>
      </c>
      <c r="B13" s="2405" t="s">
        <v>2190</v>
      </c>
      <c r="C13" s="856">
        <v>68653</v>
      </c>
      <c r="D13" s="856"/>
      <c r="E13" s="856"/>
      <c r="F13" s="856">
        <v>61348</v>
      </c>
      <c r="G13" s="856"/>
      <c r="H13" s="856"/>
      <c r="I13" s="856"/>
      <c r="J13" s="3058"/>
      <c r="K13" s="2609"/>
      <c r="L13" s="2609"/>
      <c r="M13" s="2437"/>
      <c r="N13" s="2448"/>
      <c r="O13" s="2437"/>
      <c r="P13" s="2437"/>
      <c r="Q13" s="2437"/>
      <c r="AD13" s="1745"/>
    </row>
    <row r="14" spans="1:30">
      <c r="A14" s="1081"/>
      <c r="B14" s="2405" t="s">
        <v>2191</v>
      </c>
      <c r="C14" s="2406">
        <v>70</v>
      </c>
      <c r="D14" s="2406"/>
      <c r="E14" s="2406"/>
      <c r="F14" s="2406">
        <v>50</v>
      </c>
      <c r="G14" s="2406"/>
      <c r="H14" s="2406"/>
      <c r="I14" s="2406"/>
      <c r="J14" s="3059"/>
      <c r="K14" s="2609"/>
      <c r="L14" s="2609"/>
      <c r="M14" s="2437"/>
      <c r="N14" s="2448"/>
      <c r="O14" s="2437"/>
      <c r="P14" s="2437"/>
      <c r="Q14" s="2437"/>
      <c r="AD14" s="1745"/>
    </row>
    <row r="15" spans="1:30">
      <c r="A15" s="320"/>
      <c r="B15" s="2407" t="s">
        <v>2192</v>
      </c>
      <c r="C15" s="2408">
        <f>IF(A13="出让",IF(C13="","",ROUNDDOWN(MIN((C13-$D$3)/365,C14),2)),C14)</f>
        <v>64.349999999999994</v>
      </c>
      <c r="D15" s="2408" t="str">
        <f>IF(A13="出让",IF(D13="","",ROUNDDOWN(MIN((D13-$D$3)/365,D14),2)),D14)</f>
        <v/>
      </c>
      <c r="E15" s="2408" t="str">
        <f>IF(A13="出让",IF(E13="","",ROUNDDOWN(MIN((E13-$D$3)/365,E14),2)),E14)</f>
        <v/>
      </c>
      <c r="F15" s="2408">
        <f>IF(A13="出让",IF(F13="","",ROUNDDOWN(MIN((F13-$D$3)/365,F14),2)),F14)</f>
        <v>44.34</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41"/>
      <c r="C16" s="3542"/>
      <c r="D16" s="3543"/>
      <c r="E16" s="2411" t="s">
        <v>2194</v>
      </c>
      <c r="F16" s="3544"/>
      <c r="G16" s="3545"/>
      <c r="H16" s="3545"/>
      <c r="I16" s="3546"/>
      <c r="J16" s="2437"/>
      <c r="K16" s="2613"/>
      <c r="L16" s="2449"/>
      <c r="M16" s="2449"/>
      <c r="N16" s="2505"/>
      <c r="O16" s="2449"/>
      <c r="P16" s="2505"/>
      <c r="Q16" s="2437"/>
      <c r="R16" s="2437"/>
    </row>
    <row r="17" spans="1:28">
      <c r="A17" s="313" t="s">
        <v>2195</v>
      </c>
      <c r="B17" s="302" t="s">
        <v>2196</v>
      </c>
      <c r="C17" s="8">
        <f>'数据-汇总表'!E3</f>
        <v>126.25999999999999</v>
      </c>
      <c r="D17" s="2320" t="s">
        <v>2197</v>
      </c>
      <c r="E17" s="3547" t="s">
        <v>2198</v>
      </c>
      <c r="F17" s="3548"/>
      <c r="G17" s="3548"/>
      <c r="H17" s="3548"/>
      <c r="I17" s="354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50" t="s">
        <v>2202</v>
      </c>
      <c r="F18" s="3551"/>
      <c r="G18" s="3551"/>
      <c r="H18" s="3551"/>
      <c r="I18" s="355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37" t="s">
        <v>2206</v>
      </c>
      <c r="C20" s="3538"/>
      <c r="D20" s="3539" t="s">
        <v>2207</v>
      </c>
      <c r="E20" s="3540"/>
      <c r="F20" s="2643" t="s">
        <v>1056</v>
      </c>
      <c r="G20" s="2660"/>
      <c r="H20" s="2660"/>
      <c r="I20" s="2660"/>
      <c r="J20" s="2437"/>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36"/>
      <c r="L22" s="68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2"/>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2"/>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4"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4"/>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4"/>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5"/>
      <c r="B30" s="302" t="s">
        <v>2218</v>
      </c>
      <c r="C30" s="3526"/>
      <c r="D30" s="3527"/>
      <c r="E30" s="2660"/>
      <c r="F30" s="2660"/>
      <c r="G30" s="2660"/>
      <c r="H30" s="2660"/>
      <c r="I30" s="2660"/>
      <c r="J30" s="2437"/>
      <c r="K30" s="2612"/>
      <c r="L30" s="2609"/>
      <c r="M30" s="2609"/>
      <c r="N30" s="2437"/>
      <c r="O30" s="2448"/>
      <c r="P30" s="2437"/>
      <c r="Q30" s="2437"/>
      <c r="R30" s="2437"/>
      <c r="S30" s="2437"/>
      <c r="T30" s="2437"/>
      <c r="U30" s="2437"/>
      <c r="V30" s="2437"/>
    </row>
    <row r="31" spans="1:28">
      <c r="A31" s="3528" t="s">
        <v>2219</v>
      </c>
      <c r="B31" s="2420"/>
      <c r="C31" s="2321"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4"/>
      <c r="C34" s="2024"/>
      <c r="D34" s="2024"/>
      <c r="E34" s="2024"/>
      <c r="F34" s="2024"/>
      <c r="G34" s="2024"/>
      <c r="H34" s="2024"/>
      <c r="I34" s="2660"/>
      <c r="J34" s="2437"/>
      <c r="K34" s="2425">
        <f>COUNTIF(B34:H34,"——")</f>
        <v>0</v>
      </c>
      <c r="L34" s="323" t="s">
        <v>2221</v>
      </c>
      <c r="M34" s="323" t="s">
        <v>2222</v>
      </c>
      <c r="N34" s="323" t="s">
        <v>2223</v>
      </c>
      <c r="O34" s="323" t="s">
        <v>2224</v>
      </c>
      <c r="P34" s="323" t="s">
        <v>2225</v>
      </c>
      <c r="Q34" s="323" t="s">
        <v>2226</v>
      </c>
      <c r="R34" s="323" t="s">
        <v>2227</v>
      </c>
      <c r="S34" s="3523" t="s">
        <v>2228</v>
      </c>
      <c r="T34" s="2426" t="str">
        <f>NUMBERSTRING(7-K34,1)&amp;"通"</f>
        <v>七通</v>
      </c>
      <c r="U34" s="2437"/>
      <c r="V34" s="2437"/>
    </row>
    <row r="35" spans="1:30">
      <c r="A35" s="2427"/>
      <c r="B35" s="3530" t="s">
        <v>2229</v>
      </c>
      <c r="C35" s="3530"/>
      <c r="D35" s="3530"/>
      <c r="E35" s="3530"/>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2580</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t="s">
        <v>304</v>
      </c>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t="s">
        <v>151</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9"/>
      <c r="M40" s="2449"/>
      <c r="N40" s="2505"/>
      <c r="O40" s="2449"/>
      <c r="P40" s="2437"/>
      <c r="Q40" s="2437"/>
      <c r="R40" s="2437"/>
      <c r="S40" s="2437"/>
      <c r="T40" s="2437"/>
      <c r="U40" s="2437"/>
      <c r="V40" s="2437"/>
    </row>
    <row r="41" spans="1:30">
      <c r="A41" s="2434" t="s">
        <v>2233</v>
      </c>
      <c r="B41" s="1757"/>
      <c r="C41" s="1373"/>
      <c r="D41" s="2368"/>
      <c r="E41" s="2368"/>
      <c r="F41" s="2368"/>
      <c r="G41" s="2368"/>
      <c r="H41" s="2368"/>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126.25999999999999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126.25999999999999</v>
      </c>
      <c r="H5" s="13">
        <f t="shared" ref="H5:AT5" si="0">SUM(H13:H656)</f>
        <v>126.25999999999999</v>
      </c>
      <c r="I5" s="13">
        <f t="shared" si="0"/>
        <v>87.89</v>
      </c>
      <c r="J5" s="13">
        <f t="shared" si="0"/>
        <v>0</v>
      </c>
      <c r="K5" s="13">
        <f t="shared" si="0"/>
        <v>38.369999999999997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126.25999999999999</v>
      </c>
      <c r="BA5" s="15">
        <f t="shared" si="1"/>
        <v>126.25999999999999</v>
      </c>
      <c r="BB5" s="15">
        <f t="shared" si="1"/>
        <v>87.89</v>
      </c>
      <c r="BC5" s="15">
        <f t="shared" si="1"/>
        <v>38.369999999999997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t="s">
        <v>3399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3377</v>
      </c>
      <c r="J10" s="809"/>
      <c r="K10" s="1609" t="s">
        <v>3336</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3380</v>
      </c>
      <c r="J11" s="1615"/>
      <c r="K11" s="1614" t="s">
        <v>3336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普通住宅</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126.25999999999999</v>
      </c>
      <c r="H13" s="17">
        <f>SUMIF(I$12:AB$12,"总值",I13:AB13)</f>
        <v>126.25999999999999</v>
      </c>
      <c r="I13" s="1626">
        <v>87.89</v>
      </c>
      <c r="J13" s="1626"/>
      <c r="K13" s="1626">
        <v>38.369999999999997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126.25999999999999</v>
      </c>
      <c r="BA13" s="13">
        <f>SUM(BB13:BK13)</f>
        <v>126.25999999999999</v>
      </c>
      <c r="BB13" s="13">
        <f>IF($D13="是",I13-J13,0)</f>
        <v>87.89</v>
      </c>
      <c r="BC13" s="13">
        <f>IF($D13="是",K13-L13,0)</f>
        <v>38.369999999999997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5"/>
      <c r="G2" s="2646"/>
      <c r="H2" s="2647"/>
      <c r="I2" s="2323" t="s">
        <v>1132</v>
      </c>
      <c r="J2" s="2655"/>
      <c r="K2" s="2655"/>
      <c r="L2" s="2655"/>
      <c r="M2" s="2655"/>
      <c r="N2" s="2657"/>
      <c r="O2" s="2655"/>
      <c r="P2" s="2655"/>
    </row>
    <row r="3" spans="1:16" ht="15.75" thickBot="1">
      <c r="A3" s="3563" t="s">
        <v>1105</v>
      </c>
      <c r="B3" s="3563"/>
      <c r="C3" s="3563"/>
      <c r="D3" s="43">
        <f>'数据-基础表'!AY6</f>
        <v>0</v>
      </c>
      <c r="E3" s="43">
        <f>'数据-基础表'!AZ5</f>
        <v>126.25999999999999</v>
      </c>
      <c r="F3" s="2655"/>
      <c r="G3" s="1145"/>
      <c r="H3" s="1026" t="s">
        <v>1106</v>
      </c>
      <c r="I3" s="855" t="e">
        <f>ROUND('数据-基础表'!B3/'数据-基础表'!A3,2)</f>
        <v>#DIV/0!</v>
      </c>
      <c r="J3" s="2655"/>
      <c r="K3" s="2655"/>
      <c r="L3" s="2655"/>
      <c r="M3" s="2655"/>
      <c r="N3" s="2657"/>
      <c r="O3" s="2655"/>
      <c r="P3" s="2655"/>
    </row>
    <row r="4" spans="1:16" ht="15">
      <c r="A4" s="3564"/>
      <c r="B4" s="3565"/>
      <c r="C4" s="356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67" t="s">
        <v>1110</v>
      </c>
      <c r="C5" s="3567"/>
      <c r="D5" s="45">
        <f>ROUND($D$3*E5/$E$3,2)</f>
        <v>0</v>
      </c>
      <c r="E5" s="46">
        <f>SUMIF('数据-基础表'!$11:$11,"住宅",'数据-基础表'!$5:$5)</f>
        <v>87.89</v>
      </c>
      <c r="F5" s="2655"/>
      <c r="G5" s="1145"/>
      <c r="H5" s="1026" t="s">
        <v>1106</v>
      </c>
      <c r="I5" s="855" t="e">
        <f>ROUND(E31/D31,2)</f>
        <v>#DIV/0!</v>
      </c>
      <c r="J5" s="2655"/>
      <c r="K5" s="2655"/>
      <c r="L5" s="2655"/>
      <c r="M5" s="2655"/>
      <c r="N5" s="2655"/>
      <c r="O5" s="2655"/>
      <c r="P5" s="2655"/>
    </row>
    <row r="6" spans="1:16" ht="15" thickBot="1">
      <c r="A6" s="1644"/>
      <c r="B6" s="3567" t="s">
        <v>1111</v>
      </c>
      <c r="C6" s="3567"/>
      <c r="D6" s="45">
        <f>ROUND($D$3*E6/$E$3,2)</f>
        <v>0</v>
      </c>
      <c r="E6" s="46">
        <f>E3-E5</f>
        <v>38.36999999999999</v>
      </c>
      <c r="F6" s="2655"/>
      <c r="G6" s="2649" t="s">
        <v>1112</v>
      </c>
      <c r="H6" s="1146" t="s">
        <v>1113</v>
      </c>
      <c r="I6" s="2650" t="e">
        <f>ROUND(F31/D31,2)</f>
        <v>#DIV/0!</v>
      </c>
      <c r="J6" s="2655"/>
      <c r="K6" s="2655"/>
      <c r="L6" s="2655"/>
      <c r="M6" s="2655"/>
      <c r="N6" s="2655"/>
      <c r="O6" s="2655"/>
      <c r="P6" s="2655"/>
    </row>
    <row r="7" spans="1:16" ht="15.75" thickBot="1">
      <c r="A7" s="3559"/>
      <c r="B7" s="3560"/>
      <c r="C7" s="3561"/>
      <c r="D7" s="1641" t="s">
        <v>1107</v>
      </c>
      <c r="E7" s="1645" t="s">
        <v>1114</v>
      </c>
      <c r="F7" s="2655"/>
      <c r="G7" s="2651" t="s">
        <v>1115</v>
      </c>
      <c r="H7" s="2652"/>
      <c r="I7" s="2653">
        <v>1.6</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87.89</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38.369999999999997</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126.25999999999999</v>
      </c>
      <c r="F16" s="2655"/>
      <c r="G16" s="2656"/>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3382</v>
      </c>
      <c r="D19" s="45">
        <f>ROUND($D$3*E19/$E$3,2)</f>
        <v>0</v>
      </c>
      <c r="E19" s="53">
        <f t="shared" ref="E19:E26" si="1">SUM(F19:G19)</f>
        <v>87.89</v>
      </c>
      <c r="F19" s="2791">
        <f>'数据-基础表'!I13</f>
        <v>87.89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87.89</v>
      </c>
    </row>
    <row r="20" spans="1:19">
      <c r="A20" s="1670"/>
      <c r="B20" s="47" t="s">
        <v>1153</v>
      </c>
      <c r="C20" s="3413" t="s">
        <v>3400</v>
      </c>
      <c r="D20" s="45">
        <f t="shared" ref="D20:D26" si="6">ROUND($D$3*E20/$E$3,2)</f>
        <v>0</v>
      </c>
      <c r="E20" s="53">
        <f t="shared" si="1"/>
        <v>38.369999999999997</v>
      </c>
      <c r="F20" s="2791"/>
      <c r="G20" s="2792">
        <f>'数据-基础表'!K13</f>
        <v>38.369999999999997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38.369999999999997</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126.25999999999999</v>
      </c>
      <c r="F27" s="1140">
        <f>IF(SUM(F19:F26)=E8,SUM(F19:F26),"地上面积有误")</f>
        <v>87.89</v>
      </c>
      <c r="G27" s="1142">
        <f>SUM(G19:G26)</f>
        <v>38.369999999999997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126.25999999999999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126.25999999999999</v>
      </c>
      <c r="F31" s="677">
        <f>F27+F30</f>
        <v>87.89</v>
      </c>
      <c r="G31" s="678">
        <f>G27+G30</f>
        <v>38.369999999999997</v>
      </c>
      <c r="H31" s="2655"/>
      <c r="I31" s="2655"/>
      <c r="J31" s="2655"/>
      <c r="K31" s="2655"/>
      <c r="L31" s="2655"/>
      <c r="M31" s="2655"/>
      <c r="N31" s="2655"/>
      <c r="O31" s="2655"/>
      <c r="P31" s="2655"/>
    </row>
    <row r="32" spans="1:19">
      <c r="A32" s="1643"/>
      <c r="B32" s="1643" t="s">
        <v>1159</v>
      </c>
      <c r="C32" s="1643"/>
      <c r="D32" s="1643"/>
      <c r="E32" s="1053">
        <f>SUMIF(C19:C26,"*住宅*",E19:E26)</f>
        <v>87.89</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16"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3377</v>
      </c>
      <c r="D6" s="858">
        <f>SUMIF(项目基本情况!C$12:I$12,C6,项目基本情况!C$14:I$14)</f>
        <v>70</v>
      </c>
      <c r="E6" s="857">
        <f>IF(B6="","",SUMIF(项目基本情况!C$12:I$12,C6,项目基本情况!C$13:I$13))</f>
        <v>68653</v>
      </c>
      <c r="F6" s="64">
        <f>SUMIF(项目基本情况!C$12:I$12,C6,项目基本情况!C$15:I$15)</f>
        <v>64.349999999999994</v>
      </c>
      <c r="G6" s="65">
        <f>IF(ISERROR(ROUND(POWER(1+H6,D6-F6)*(POWER(1+H6,F6)-1)/(POWER(1+H6,D6)-1),3)),0,ROUND(POWER(1+H6,D6-F6)*(POWER(1+H6,F6)-1)/(POWER(1+H6,D6)-1),3))</f>
        <v>0.98899999999999999</v>
      </c>
      <c r="H6" s="732">
        <v>0.05</v>
      </c>
      <c r="I6" s="732">
        <v>4.4999999999999998E-2</v>
      </c>
      <c r="J6" s="66">
        <v>0.06</v>
      </c>
      <c r="K6" s="1030">
        <f>SUMIF('数据-汇总表'!C$19:C$33,A6,'数据-汇总表'!E$19:E$33)</f>
        <v>87.89</v>
      </c>
      <c r="L6" s="733">
        <v>3500</v>
      </c>
      <c r="M6" s="67">
        <f t="shared" ref="M6:M14" si="0">ROUND(K6*L6/10000,0)</f>
        <v>31</v>
      </c>
      <c r="N6" s="731">
        <f>N20</f>
        <v>0.97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5500</v>
      </c>
      <c r="V6" s="70">
        <v>0.03</v>
      </c>
      <c r="W6" s="70">
        <v>0.05</v>
      </c>
      <c r="X6" s="1040"/>
      <c r="Y6" s="71">
        <f>N6</f>
        <v>0.97</v>
      </c>
      <c r="Z6" s="72"/>
      <c r="AA6" s="66"/>
      <c r="AB6" s="66"/>
      <c r="AC6" s="1040"/>
      <c r="AD6" s="73"/>
      <c r="AE6" s="1041">
        <f ca="1">IF(AN6="",0,SUMIF(INDIRECT("'"&amp;AN6&amp;"'"&amp;"!E:E"),$AE$5,INDIRECT("'"&amp;AN6&amp;"'"&amp;"!F:F")))</f>
        <v>64.349999999999994</v>
      </c>
      <c r="AF6" s="1348"/>
      <c r="AG6" s="138">
        <f>IF(AF6="",0,AE6-AF6)</f>
        <v>0</v>
      </c>
      <c r="AH6" s="74">
        <v>1</v>
      </c>
      <c r="AI6" s="76">
        <v>12</v>
      </c>
      <c r="AJ6" s="77"/>
      <c r="AK6" s="78">
        <v>0.01</v>
      </c>
      <c r="AL6" s="79">
        <v>1E-3</v>
      </c>
      <c r="AM6" s="80">
        <v>0.01</v>
      </c>
      <c r="AN6" s="1715" t="s">
        <v>3385</v>
      </c>
      <c r="AO6" s="52">
        <f ca="1">SUMIF(INDIRECT("'"&amp;AN6&amp;"'"&amp;"!A:A"),"总价",INDIRECT("'"&amp;AN6&amp;"'"&amp;"!B:B"))</f>
        <v>185.92179999999999</v>
      </c>
      <c r="AP6" s="1716">
        <f>IF(C6="住宅",K6*L6,0)</f>
        <v>307615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3336</v>
      </c>
      <c r="D7" s="858">
        <f>SUMIF(项目基本情况!C$12:I$12,C7,项目基本情况!C$14:I$14)</f>
        <v>50</v>
      </c>
      <c r="E7" s="857">
        <f>IF(B7="","",SUMIF(项目基本情况!C$12:I$12,C7,项目基本情况!C$13:I$13))</f>
        <v>61348</v>
      </c>
      <c r="F7" s="64">
        <f>SUMIF(项目基本情况!C$12:I$12,C7,项目基本情况!C$15:I$15)</f>
        <v>44.34</v>
      </c>
      <c r="G7" s="65">
        <f t="shared" ref="G7:G11" si="2">IF(ISERROR(ROUND(POWER(1+H7,D7-F7)*(POWER(1+H7,F7)-1)/(POWER(1+H7,D7)-1),3)),0,ROUND(POWER(1+H7,D7-F7)*(POWER(1+H7,F7)-1)/(POWER(1+H7,D7)-1),3))</f>
        <v>0.97</v>
      </c>
      <c r="H7" s="732">
        <v>0.05</v>
      </c>
      <c r="I7" s="732">
        <v>4.4999999999999998E-2</v>
      </c>
      <c r="J7" s="66">
        <v>0.06</v>
      </c>
      <c r="K7" s="1030">
        <f>SUMIF('数据-汇总表'!C$19:C$33,A7,'数据-汇总表'!E$19:E$33)</f>
        <v>38.369999999999997</v>
      </c>
      <c r="L7" s="733">
        <v>3500</v>
      </c>
      <c r="M7" s="67">
        <f t="shared" si="0"/>
        <v>13</v>
      </c>
      <c r="N7" s="731">
        <f>N6</f>
        <v>0.97</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0.98299999999999998</v>
      </c>
      <c r="H16" s="90">
        <f>ROUND(SUMPRODUCT(H6:H13,K6:K13)/SUMPRODUCT((H6:H13&gt;0)*(K6:K13)),3)</f>
        <v>0.05</v>
      </c>
      <c r="I16" s="91"/>
      <c r="J16" s="91"/>
      <c r="K16" s="92">
        <f>SUM(K6:K15)</f>
        <v>126.25999999999999</v>
      </c>
      <c r="L16" s="93">
        <f>ROUND(M16*10000/SUM(K6:K14),0)</f>
        <v>3485</v>
      </c>
      <c r="M16" s="93">
        <f>SUM(M6:M14)</f>
        <v>44</v>
      </c>
      <c r="N16" s="94">
        <f>ROUND(SUMPRODUCT(M6:M14,N6:N14)/M16,3)</f>
        <v>0.97</v>
      </c>
      <c r="O16" s="93">
        <f>SUM(O6:O14)</f>
        <v>0</v>
      </c>
      <c r="P16" s="93">
        <f>SUM(P6:P14)</f>
        <v>0</v>
      </c>
      <c r="Q16" s="95">
        <f>ROUND(SUMPRODUCT(Q6:Q13,K6:K13)/SUMPRODUCT((Q6:Q13&gt;0)*(K6:K13)),2)</f>
        <v>0.19</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2303</v>
      </c>
      <c r="D19" s="2672"/>
      <c r="E19" s="2669"/>
      <c r="F19" s="2669"/>
      <c r="G19" s="2669"/>
      <c r="H19" s="2669"/>
      <c r="I19" s="2669"/>
      <c r="J19" s="2669"/>
      <c r="K19" s="2668"/>
      <c r="L19" s="2668"/>
      <c r="M19" s="2667"/>
      <c r="N19" s="2667">
        <v>2021</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2301</v>
      </c>
      <c r="D20" s="2672"/>
      <c r="E20" s="2669"/>
      <c r="F20" s="2669"/>
      <c r="G20" s="2669"/>
      <c r="H20" s="2669"/>
      <c r="I20" s="2669"/>
      <c r="J20" s="2669"/>
      <c r="K20" s="2668"/>
      <c r="L20" s="2668"/>
      <c r="M20" s="2667"/>
      <c r="N20" s="3463">
        <f>ROUND(1-(2023-N19)/60,2)</f>
        <v>0.97</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14062</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2295</v>
      </c>
      <c r="D35" s="2675"/>
      <c r="E35" s="2657"/>
      <c r="F35" s="2657"/>
      <c r="G35" s="2669">
        <f ca="1">'结果表-住宅'!G20</f>
        <v>48869</v>
      </c>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3384</v>
      </c>
      <c r="B40" s="1078">
        <f ca="1">IF(A40="利息：取LPR",存贷款利率!G1,存贷款利率!G1+C40)</f>
        <v>4.7500000000000001E-2</v>
      </c>
      <c r="C40" s="2810">
        <v>1.2999999999999999E-2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68" t="s">
        <v>2284</v>
      </c>
      <c r="B1" s="3569"/>
      <c r="C1" s="3569"/>
      <c r="D1" s="3569"/>
      <c r="E1" s="3569"/>
      <c r="F1" s="3569"/>
      <c r="G1" s="356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36">
      <c r="A3" s="2439" t="s">
        <v>2282</v>
      </c>
      <c r="B3" s="2461" t="s">
        <v>2252</v>
      </c>
      <c r="C3" s="3833" t="s">
        <v>3848</v>
      </c>
      <c r="D3" s="2462"/>
      <c r="E3" s="2440" t="s">
        <v>2282</v>
      </c>
      <c r="F3" s="2463" t="s">
        <v>2253</v>
      </c>
      <c r="G3" s="2464" t="s">
        <v>2283</v>
      </c>
      <c r="H3" s="799"/>
      <c r="I3" s="799"/>
      <c r="J3" s="799"/>
      <c r="K3" s="799"/>
      <c r="L3" s="799"/>
      <c r="M3" s="799"/>
      <c r="N3" s="799"/>
      <c r="O3" s="799"/>
      <c r="P3" s="799"/>
      <c r="Q3" s="799"/>
      <c r="R3" s="799"/>
    </row>
    <row r="4" spans="1:29" ht="36.75">
      <c r="A4" s="2440"/>
      <c r="B4" s="323" t="s">
        <v>2254</v>
      </c>
      <c r="C4" s="2465" t="s">
        <v>2255</v>
      </c>
      <c r="D4" s="2462"/>
      <c r="E4" s="2466"/>
      <c r="F4" s="1373" t="s">
        <v>2256</v>
      </c>
      <c r="G4" s="2467" t="s">
        <v>2257</v>
      </c>
      <c r="H4" s="799"/>
      <c r="I4" s="799"/>
      <c r="J4" s="799"/>
      <c r="K4" s="799"/>
      <c r="L4" s="799"/>
      <c r="M4" s="799"/>
      <c r="N4" s="799"/>
      <c r="O4" s="799"/>
      <c r="P4" s="799"/>
      <c r="Q4" s="799"/>
      <c r="R4" s="799"/>
    </row>
    <row r="5" spans="1:29" ht="36.75">
      <c r="A5" s="2440"/>
      <c r="B5" s="323" t="s">
        <v>2258</v>
      </c>
      <c r="C5" s="2465" t="s">
        <v>2259</v>
      </c>
      <c r="D5" s="2462"/>
      <c r="E5" s="2466"/>
      <c r="F5" s="323" t="s">
        <v>2260</v>
      </c>
      <c r="G5" s="2467" t="s">
        <v>2261</v>
      </c>
      <c r="H5" s="799"/>
      <c r="I5" s="799"/>
      <c r="J5" s="799"/>
      <c r="K5" s="799"/>
      <c r="L5" s="799"/>
      <c r="M5" s="799"/>
      <c r="N5" s="799"/>
      <c r="O5" s="799"/>
      <c r="P5" s="799"/>
      <c r="Q5" s="799"/>
      <c r="R5" s="799"/>
    </row>
    <row r="6" spans="1:29" ht="48">
      <c r="A6" s="2440"/>
      <c r="B6" s="323" t="s">
        <v>2262</v>
      </c>
      <c r="C6" s="3834" t="s">
        <v>3849</v>
      </c>
      <c r="D6" s="2462"/>
      <c r="E6" s="2466"/>
      <c r="F6" s="323" t="s">
        <v>2263</v>
      </c>
      <c r="G6" s="2467" t="s">
        <v>2264</v>
      </c>
      <c r="H6" s="799"/>
      <c r="I6" s="799"/>
      <c r="J6" s="799"/>
      <c r="K6" s="799"/>
      <c r="L6" s="799"/>
      <c r="M6" s="799"/>
      <c r="N6" s="799"/>
      <c r="O6" s="799"/>
      <c r="P6" s="799"/>
      <c r="Q6" s="799"/>
      <c r="R6" s="799"/>
    </row>
    <row r="7" spans="1:29" ht="120.75" thickBot="1">
      <c r="A7" s="2440"/>
      <c r="B7" s="323" t="s">
        <v>2260</v>
      </c>
      <c r="C7" s="3834" t="s">
        <v>3852</v>
      </c>
      <c r="D7" s="2468"/>
      <c r="E7" s="2469"/>
      <c r="F7" s="2470" t="s">
        <v>2265</v>
      </c>
      <c r="G7" s="2471" t="s">
        <v>2266</v>
      </c>
      <c r="H7" s="799"/>
      <c r="I7" s="799"/>
      <c r="J7" s="799"/>
      <c r="K7" s="799"/>
      <c r="L7" s="799"/>
      <c r="M7" s="799"/>
      <c r="N7" s="799"/>
      <c r="O7" s="799"/>
      <c r="P7" s="799"/>
      <c r="Q7" s="799"/>
      <c r="R7" s="799"/>
    </row>
    <row r="8" spans="1:29">
      <c r="A8" s="2440"/>
      <c r="B8" s="323" t="s">
        <v>2263</v>
      </c>
      <c r="C8" s="2467" t="s">
        <v>2264</v>
      </c>
      <c r="D8" s="2468"/>
      <c r="E8" s="2468"/>
      <c r="F8" s="2472"/>
      <c r="G8" s="2472"/>
      <c r="H8" s="799"/>
      <c r="I8" s="799"/>
      <c r="J8" s="799"/>
      <c r="K8" s="799"/>
      <c r="L8" s="799"/>
      <c r="M8" s="799"/>
      <c r="N8" s="799"/>
      <c r="O8" s="799"/>
      <c r="P8" s="799"/>
      <c r="Q8" s="799"/>
      <c r="R8" s="799"/>
    </row>
    <row r="9" spans="1:29" ht="48">
      <c r="A9" s="2440"/>
      <c r="B9" s="323" t="s">
        <v>2267</v>
      </c>
      <c r="C9" s="3836" t="s">
        <v>3851</v>
      </c>
      <c r="D9" s="2462"/>
      <c r="E9" s="2468"/>
      <c r="F9" s="2472"/>
      <c r="G9" s="2472"/>
      <c r="H9" s="799"/>
      <c r="I9" s="799"/>
      <c r="J9" s="799"/>
      <c r="K9" s="799"/>
      <c r="L9" s="799"/>
      <c r="M9" s="799"/>
      <c r="N9" s="799"/>
      <c r="O9" s="799"/>
      <c r="P9" s="799"/>
      <c r="Q9" s="799"/>
      <c r="R9" s="799"/>
    </row>
    <row r="10" spans="1:29" s="2477" customFormat="1" ht="15" thickBot="1">
      <c r="A10" s="2441"/>
      <c r="B10" s="2473" t="s">
        <v>2268</v>
      </c>
      <c r="C10" s="3835" t="s">
        <v>3850</v>
      </c>
      <c r="D10" s="2462"/>
      <c r="E10" s="2462"/>
      <c r="F10" s="2472"/>
      <c r="G10" s="2472"/>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2"/>
      <c r="D11" s="2462"/>
      <c r="E11" s="2462"/>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2"/>
      <c r="D12" s="2480"/>
      <c r="E12" s="2462"/>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2285</v>
      </c>
      <c r="B13" s="2480"/>
      <c r="C13" s="2480"/>
      <c r="D13" s="2478"/>
      <c r="E13" s="2480"/>
      <c r="F13" s="2480"/>
      <c r="G13" s="2480"/>
    </row>
    <row r="14" spans="1:29" ht="15" thickBot="1">
      <c r="A14" s="2490"/>
      <c r="B14" s="2490"/>
      <c r="C14" s="2491" t="s">
        <v>2269</v>
      </c>
      <c r="D14" s="2462"/>
      <c r="E14" s="2492"/>
      <c r="F14" s="2492"/>
      <c r="G14" s="2458" t="s">
        <v>2270</v>
      </c>
    </row>
    <row r="15" spans="1:29" ht="51">
      <c r="A15" s="2442" t="s">
        <v>2271</v>
      </c>
      <c r="B15" s="2493" t="s">
        <v>2252</v>
      </c>
      <c r="C15" s="2494" t="str">
        <f>C3</f>
        <v>周边有翡翠山晓家园、和煦小区、炮厂小区等住宅项目，住宅社区成熟度一般。</v>
      </c>
      <c r="D15" s="2462"/>
      <c r="E15" s="2443" t="s">
        <v>2272</v>
      </c>
      <c r="F15" s="2493" t="s">
        <v>2273</v>
      </c>
      <c r="G15" s="2495" t="str">
        <f>G3</f>
        <v>估价对象位于XX开发区，园区建设成熟度XX，产业集聚程度XX</v>
      </c>
    </row>
    <row r="16" spans="1:29" ht="38.25">
      <c r="A16" s="2444"/>
      <c r="B16" s="2496" t="s">
        <v>2254</v>
      </c>
      <c r="C16" s="2497" t="str">
        <f>C4</f>
        <v>估价对象位于XX商圈，周边商业氛围成熟，人流量大，商业繁华度好</v>
      </c>
      <c r="D16" s="2462"/>
      <c r="E16" s="2445"/>
      <c r="F16" s="2498" t="s">
        <v>2256</v>
      </c>
      <c r="G16" s="2499" t="str">
        <f>G4</f>
        <v>估价对象周边道路状况、公共交通通达情况、停车便捷程度，综合评价交通便捷度较好</v>
      </c>
    </row>
    <row r="17" spans="1:18" ht="38.25">
      <c r="A17" s="2444"/>
      <c r="B17" s="2496" t="s">
        <v>2258</v>
      </c>
      <c r="C17" s="2497" t="str">
        <f>C5</f>
        <v>估价对象位于XX商圈，周边办公楼项目较多，入驻率高，办公集聚程度较好</v>
      </c>
      <c r="D17" s="2468"/>
      <c r="E17" s="2445"/>
      <c r="F17" s="2498" t="s">
        <v>2274</v>
      </c>
      <c r="G17" s="2500"/>
    </row>
    <row r="18" spans="1:18" ht="38.25">
      <c r="A18" s="2444"/>
      <c r="B18" s="2498" t="s">
        <v>2262</v>
      </c>
      <c r="C18" s="2499" t="str">
        <f>C6</f>
        <v>周边有358路、489路、597路等多条公交线路经过并设站，周边3公里内无地铁，交通便捷度一般。</v>
      </c>
      <c r="D18" s="2468"/>
      <c r="E18" s="2445"/>
      <c r="F18" s="2498" t="s">
        <v>2265</v>
      </c>
      <c r="G18" s="2499" t="str">
        <f>G7</f>
        <v>该园区内是否有污染型企业，绿化情况，卫生条件，整体环境状况判断</v>
      </c>
    </row>
    <row r="19" spans="1:18" ht="25.5">
      <c r="A19" s="2444"/>
      <c r="B19" s="2498" t="s">
        <v>2275</v>
      </c>
      <c r="C19" s="2500"/>
      <c r="D19" s="2462"/>
      <c r="E19" s="2445"/>
      <c r="F19" s="323" t="s">
        <v>2260</v>
      </c>
      <c r="G19" s="2499" t="str">
        <f>G5</f>
        <v>估价对象所在区域公共配套设施齐备情况</v>
      </c>
    </row>
    <row r="20" spans="1:18" ht="25.5">
      <c r="A20" s="2444"/>
      <c r="B20" s="2498" t="s">
        <v>2276</v>
      </c>
      <c r="C20" s="2497" t="str">
        <f>C9</f>
        <v>估价对象周边有炮山城市森林公园、锦绣公园、青山公园、永定河引水渠等自然人文景观，总体自然人文环境较好。</v>
      </c>
      <c r="D20" s="2468"/>
      <c r="E20" s="2445"/>
      <c r="F20" s="323" t="s">
        <v>2263</v>
      </c>
      <c r="G20" s="2499" t="str">
        <f>G6</f>
        <v>估价对象所在区域基础设施水平</v>
      </c>
    </row>
    <row r="21" spans="1:18" ht="25.5">
      <c r="A21" s="2444"/>
      <c r="B21" s="323" t="s">
        <v>2260</v>
      </c>
      <c r="C21" s="2499" t="str">
        <f>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21" s="2462"/>
      <c r="E21" s="2445"/>
      <c r="F21" s="2498" t="s">
        <v>2277</v>
      </c>
      <c r="G21" s="2501"/>
    </row>
    <row r="22" spans="1:18" ht="13.5" customHeight="1">
      <c r="A22" s="2444"/>
      <c r="B22" s="323" t="s">
        <v>2263</v>
      </c>
      <c r="C22" s="2499" t="str">
        <f>C8</f>
        <v>估价对象所在区域基础设施水平</v>
      </c>
      <c r="D22" s="2462"/>
      <c r="E22" s="2445"/>
      <c r="F22" s="2498" t="s">
        <v>2268</v>
      </c>
      <c r="G22" s="2500"/>
    </row>
    <row r="23" spans="1:18" s="799" customFormat="1" ht="15" thickBot="1">
      <c r="A23" s="2444"/>
      <c r="B23" s="2498" t="s">
        <v>2277</v>
      </c>
      <c r="C23" s="2501"/>
      <c r="D23" s="1741"/>
      <c r="E23" s="2446"/>
      <c r="F23" s="2502" t="s">
        <v>2278</v>
      </c>
      <c r="G23" s="2503"/>
      <c r="H23" s="2487"/>
      <c r="I23" s="2488"/>
      <c r="J23" s="2487"/>
      <c r="K23" s="2487"/>
      <c r="L23" s="2488"/>
      <c r="M23" s="2487"/>
      <c r="N23" s="2487"/>
      <c r="O23" s="2488"/>
      <c r="P23" s="2487"/>
      <c r="Q23" s="2487"/>
      <c r="R23" s="2489"/>
    </row>
    <row r="24" spans="1:18" s="799" customFormat="1" ht="15" thickBot="1">
      <c r="A24" s="2447"/>
      <c r="B24" s="2502" t="s">
        <v>2279</v>
      </c>
      <c r="C24" s="2504" t="str">
        <f>C10</f>
        <v>城市次干道-*青石西街</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9" sqref="G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126.25999999999999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45162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455.34799999999996</v>
      </c>
      <c r="C5" s="2508">
        <f ca="1">IF(B5=D14,'结果表-住宅'!H102,ROUND(B5*10000/$B$1,0))</f>
        <v>36064</v>
      </c>
      <c r="D5" s="2508" t="e">
        <f ca="1">ROUND(B5*10000/$B$2,0)</f>
        <v>#DIV/0!</v>
      </c>
      <c r="E5" s="2682"/>
      <c r="F5" s="2683"/>
      <c r="G5" s="2683"/>
      <c r="H5" s="2684"/>
      <c r="I5" s="2684"/>
      <c r="J5" s="2684"/>
      <c r="K5" s="2684"/>
    </row>
    <row r="6" spans="1:11" ht="16.5">
      <c r="A6" s="2508" t="s">
        <v>656</v>
      </c>
      <c r="B6" s="2508">
        <f>SUM(G14:G23)</f>
        <v>0</v>
      </c>
      <c r="C6" s="2508">
        <f ca="1">IF(B6=G14,'结果表-住宅'!H108,ROUND(B6*10000/$B$1,0))</f>
        <v>0</v>
      </c>
      <c r="D6" s="2508" t="e">
        <f>ROUND(B6*10000/$B$2,0)</f>
        <v>#DIV/0!</v>
      </c>
      <c r="E6" s="2682"/>
      <c r="F6" s="2683"/>
      <c r="G6" s="2683"/>
      <c r="H6" s="2684"/>
      <c r="I6" s="2684"/>
      <c r="J6" s="2684"/>
      <c r="K6" s="2684"/>
    </row>
    <row r="7" spans="1:11" ht="16.5">
      <c r="A7" s="2508" t="s">
        <v>664</v>
      </c>
      <c r="B7" s="2508">
        <f>SUM(H14:H23)</f>
        <v>0</v>
      </c>
      <c r="C7" s="2508" t="str">
        <f>IF(B7=H14,'结果表-住宅'!H110,ROUND(B7*10000/$B$1,0))</f>
        <v>——</v>
      </c>
      <c r="D7" s="2508" t="e">
        <f>ROUND(B7*10000/$B$2,0)</f>
        <v>#DIV/0!</v>
      </c>
      <c r="E7" s="2682"/>
      <c r="F7" s="2683"/>
      <c r="G7" s="2683"/>
      <c r="H7" s="2684"/>
      <c r="I7" s="2684"/>
      <c r="J7" s="2684"/>
      <c r="K7" s="2684"/>
    </row>
    <row r="8" spans="1:11" ht="16.5">
      <c r="A8" s="2508" t="s">
        <v>587</v>
      </c>
      <c r="B8" s="2508">
        <f>SUM(I14:I23)</f>
        <v>0</v>
      </c>
      <c r="C8" s="2508" t="str">
        <f>IF(B8=I14,'结果表-住宅'!H112,ROUND(B8*10000/$B$1,0))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87.89</v>
      </c>
      <c r="C14" s="2514"/>
      <c r="D14" s="2514">
        <f ca="1">ROUND(E14*B14/10000,4)</f>
        <v>429.50959999999998</v>
      </c>
      <c r="E14" s="2514">
        <f ca="1">'结果表-住宅'!G20</f>
        <v>48869</v>
      </c>
      <c r="F14" s="2514" t="e">
        <f ca="1">ROUND(D14*10000/C14,0)</f>
        <v>#DIV/0!</v>
      </c>
      <c r="G14" s="2514"/>
      <c r="H14" s="2514"/>
      <c r="I14" s="2514"/>
      <c r="J14" s="2683"/>
      <c r="K14" s="2684"/>
    </row>
    <row r="15" spans="1:11" ht="16.5">
      <c r="A15" s="2513" t="s">
        <v>649</v>
      </c>
      <c r="B15" s="2515">
        <f>'数据-汇总表'!G20</f>
        <v>38.369999999999997</v>
      </c>
      <c r="C15" s="2515"/>
      <c r="D15" s="2514">
        <f ca="1">ROUND(E15*B15/10000,4)</f>
        <v>25.8384</v>
      </c>
      <c r="E15" s="2514">
        <f ca="1">'结果表-车位'!G20</f>
        <v>6734</v>
      </c>
      <c r="F15" s="2514" t="e">
        <f t="shared" ref="F15:F23" ca="1" si="0">ROUND(D15*10000/C15,0)</f>
        <v>#DIV/0!</v>
      </c>
      <c r="G15" s="1331"/>
      <c r="H15" s="1331"/>
      <c r="I15" s="2515"/>
      <c r="J15" s="2683"/>
      <c r="K15" s="2684"/>
    </row>
    <row r="16" spans="1:11" ht="16.5">
      <c r="A16" s="2513" t="s">
        <v>648</v>
      </c>
      <c r="B16" s="2515"/>
      <c r="C16" s="2515"/>
      <c r="D16" s="2515"/>
      <c r="E16" s="2514" t="e">
        <f t="shared" ref="E16:E23" si="1">ROUND(D16*10000/B16,0)</f>
        <v>#DIV/0!</v>
      </c>
      <c r="F16" s="2514" t="e">
        <f t="shared" si="0"/>
        <v>#DIV/0!</v>
      </c>
      <c r="G16" s="1331"/>
      <c r="H16" s="1331"/>
      <c r="I16" s="2515"/>
      <c r="J16" s="2684"/>
      <c r="K16" s="2684"/>
    </row>
    <row r="17" spans="1:11" ht="16.5">
      <c r="A17" s="2513" t="s">
        <v>647</v>
      </c>
      <c r="B17" s="2515"/>
      <c r="C17" s="2515"/>
      <c r="D17" s="2515"/>
      <c r="E17" s="2514" t="e">
        <f t="shared" si="1"/>
        <v>#DIV/0!</v>
      </c>
      <c r="F17" s="2514" t="e">
        <f t="shared" si="0"/>
        <v>#DIV/0!</v>
      </c>
      <c r="G17" s="1331"/>
      <c r="H17" s="1331"/>
      <c r="I17" s="2515"/>
      <c r="J17" s="2684"/>
      <c r="K17" s="2684"/>
    </row>
    <row r="18" spans="1:11" ht="16.5">
      <c r="A18" s="2513" t="s">
        <v>646</v>
      </c>
      <c r="B18" s="2515"/>
      <c r="C18" s="2515"/>
      <c r="D18" s="2515"/>
      <c r="E18" s="2514" t="e">
        <f t="shared" si="1"/>
        <v>#DIV/0!</v>
      </c>
      <c r="F18" s="2514" t="e">
        <f t="shared" si="0"/>
        <v>#DIV/0!</v>
      </c>
      <c r="G18" s="2515"/>
      <c r="H18" s="2515"/>
      <c r="I18" s="2515"/>
      <c r="J18" s="2684"/>
      <c r="K18" s="2684"/>
    </row>
    <row r="19" spans="1:11" ht="16.5">
      <c r="A19" s="2513" t="s">
        <v>645</v>
      </c>
      <c r="B19" s="2515"/>
      <c r="C19" s="2515"/>
      <c r="D19" s="2515"/>
      <c r="E19" s="2514" t="e">
        <f t="shared" si="1"/>
        <v>#DIV/0!</v>
      </c>
      <c r="F19" s="2514" t="e">
        <f t="shared" si="0"/>
        <v>#DIV/0!</v>
      </c>
      <c r="G19" s="2515"/>
      <c r="H19" s="2515"/>
      <c r="I19" s="2515"/>
      <c r="J19" s="2684"/>
      <c r="K19" s="2684"/>
    </row>
    <row r="20" spans="1:11" ht="16.5">
      <c r="A20" s="2513" t="s">
        <v>644</v>
      </c>
      <c r="B20" s="2515"/>
      <c r="C20" s="2515"/>
      <c r="D20" s="2515"/>
      <c r="E20" s="2514" t="e">
        <f t="shared" si="1"/>
        <v>#DIV/0!</v>
      </c>
      <c r="F20" s="2514" t="e">
        <f t="shared" si="0"/>
        <v>#DIV/0!</v>
      </c>
      <c r="G20" s="2515"/>
      <c r="H20" s="2515"/>
      <c r="I20" s="2515"/>
      <c r="J20" s="2684"/>
      <c r="K20" s="2684"/>
    </row>
    <row r="21" spans="1:11" ht="16.5">
      <c r="A21" s="2513" t="s">
        <v>643</v>
      </c>
      <c r="B21" s="2515"/>
      <c r="C21" s="2515"/>
      <c r="D21" s="2515"/>
      <c r="E21" s="2514" t="e">
        <f t="shared" si="1"/>
        <v>#DIV/0!</v>
      </c>
      <c r="F21" s="2514" t="e">
        <f t="shared" si="0"/>
        <v>#DIV/0!</v>
      </c>
      <c r="G21" s="2515"/>
      <c r="H21" s="2515"/>
      <c r="I21" s="2515"/>
      <c r="J21" s="2684"/>
      <c r="K21" s="2684"/>
    </row>
    <row r="22" spans="1:11" ht="16.5">
      <c r="A22" s="2513" t="s">
        <v>642</v>
      </c>
      <c r="B22" s="2515"/>
      <c r="C22" s="2515"/>
      <c r="D22" s="2515"/>
      <c r="E22" s="2514" t="e">
        <f t="shared" si="1"/>
        <v>#DIV/0!</v>
      </c>
      <c r="F22" s="2514" t="e">
        <f t="shared" si="0"/>
        <v>#DIV/0!</v>
      </c>
      <c r="G22" s="2515"/>
      <c r="H22" s="2515"/>
      <c r="I22" s="2515"/>
      <c r="J22" s="2684"/>
      <c r="K22" s="2684"/>
    </row>
    <row r="23" spans="1:11" ht="16.5">
      <c r="A23" s="2513" t="s">
        <v>641</v>
      </c>
      <c r="B23" s="2515"/>
      <c r="C23" s="2515"/>
      <c r="D23" s="2515"/>
      <c r="E23" s="2516" t="e">
        <f t="shared" si="1"/>
        <v>#DIV/0!</v>
      </c>
      <c r="F23" s="2516" t="e">
        <f t="shared" si="0"/>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3417</v>
      </c>
      <c r="D4" s="1756" t="s">
        <v>3832</v>
      </c>
      <c r="E4" s="3610" t="s">
        <v>1267</v>
      </c>
      <c r="F4" s="3611"/>
      <c r="G4" s="3611"/>
      <c r="H4" s="3611"/>
      <c r="I4" s="3612"/>
      <c r="K4" s="146" t="str">
        <f>IF(ISNUMBER(FIND("比较法",'结果表-住宅'!C4)),"比较法",IF(ISNUMBER(FIND("成本法",'结果表-住宅'!C4)),"成本法",IF(ISNUMBER(FIND("假设开发法",'结果表-住宅'!C4)),"假设开发法",IF(ISNUMBER(FIND("收益法",'结果表-住宅'!C4)),"收益法","基准地价系数修正法"))))</f>
        <v>成本法</v>
      </c>
      <c r="L4" s="146"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v>2</v>
      </c>
      <c r="D14" s="3607">
        <f>10-C14</f>
        <v>8</v>
      </c>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94" t="s">
        <v>2131</v>
      </c>
      <c r="F18" s="3595"/>
      <c r="G18" s="3595"/>
      <c r="H18" s="3595"/>
      <c r="I18" s="3595"/>
      <c r="K18" s="302" t="s">
        <v>1289</v>
      </c>
      <c r="L18" s="302">
        <f>IF(C1="",'数据-汇总表'!E3,SUMIF(项目类型,C1,'数据-汇总表'!E17:E26)+SUMIF(项目类型,C1,'数据-汇总表'!I17:I26))</f>
        <v>126.25999999999999</v>
      </c>
      <c r="M18" s="302">
        <f>IF(C1="",'数据-汇总表'!E3,SUMIF(项目类型,C1,'数据-汇总表'!E17:E26))</f>
        <v>126.25999999999999</v>
      </c>
    </row>
    <row r="19" spans="1:36" ht="15">
      <c r="A19" s="1761" t="s">
        <v>1290</v>
      </c>
      <c r="B19" s="1762" t="s">
        <v>1291</v>
      </c>
      <c r="C19" s="134">
        <f ca="1">SUMIF(INDIRECT("'"&amp;C4&amp;"'"&amp;"!A:A"),'结果表-住宅'!B19,INDIRECT("'"&amp;C4&amp;"'"&amp;"!B:B"))</f>
        <v>245.6574</v>
      </c>
      <c r="D19" s="135">
        <f ca="1">SUMIF(INDIRECT("'"&amp;D4&amp;"'"&amp;"!A:A"),'结果表-住宅'!B19,INDIRECT("'"&amp;D4&amp;"'"&amp;"!B:B"))</f>
        <v>475.47609999999997</v>
      </c>
      <c r="E19" s="1761" t="s">
        <v>1292</v>
      </c>
      <c r="F19" s="1762" t="s">
        <v>1291</v>
      </c>
      <c r="G19" s="136">
        <f ca="1">ROUND(C19*$C$18+D19*$D$18,0)</f>
        <v>430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SUMIF(INDIRECT("'"&amp;C4&amp;"'"&amp;"!A:A"),'结果表-住宅'!B20,INDIRECT("'"&amp;C4&amp;"'"&amp;"!B:B"))</f>
        <v>27951</v>
      </c>
      <c r="D20" s="138">
        <f ca="1">SUMIF(INDIRECT("'"&amp;D4&amp;"'"&amp;"!A:A"),'结果表-住宅'!B20,INDIRECT("'"&amp;D4&amp;"'"&amp;"!B:B"))</f>
        <v>54099</v>
      </c>
      <c r="E20" s="1764"/>
      <c r="F20" s="1026" t="s">
        <v>1295</v>
      </c>
      <c r="G20" s="139">
        <f ca="1">ROUND(C20*$C$18+D20*$D$18,0)</f>
        <v>48869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0.93552524776375545</v>
      </c>
      <c r="E22" s="129"/>
      <c r="F22" s="129"/>
      <c r="G22" s="129"/>
      <c r="H22" s="129"/>
      <c r="I22" s="129"/>
    </row>
    <row r="23" spans="1:36" ht="13.5" thickBot="1">
      <c r="A23" s="1747"/>
      <c r="B23" s="1747"/>
      <c r="C23" s="1747"/>
      <c r="D23" s="1747"/>
      <c r="E23" s="129"/>
      <c r="F23" s="129"/>
      <c r="G23" s="129">
        <f ca="1">系统读取表!D14</f>
        <v>429.50959999999998</v>
      </c>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48869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19">
        <v>1</v>
      </c>
      <c r="K46" s="3634" t="s">
        <v>1331</v>
      </c>
      <c r="L46" s="3634"/>
      <c r="M46" s="3654"/>
      <c r="N46" s="3654"/>
      <c r="O46" s="3654"/>
    </row>
    <row r="47" spans="1:15" ht="12" customHeight="1">
      <c r="A47" s="160" t="s">
        <v>1332</v>
      </c>
      <c r="B47" s="161"/>
      <c r="C47" s="162"/>
      <c r="D47" s="1087" t="s">
        <v>1333</v>
      </c>
      <c r="E47" s="302" t="s">
        <v>1334</v>
      </c>
      <c r="F47" s="163" t="s">
        <v>1335</v>
      </c>
      <c r="G47" s="2542" t="s">
        <v>1336</v>
      </c>
      <c r="H47" s="2543"/>
      <c r="I47" s="159"/>
      <c r="J47" s="2519">
        <v>2</v>
      </c>
      <c r="K47" s="3634" t="s">
        <v>1337</v>
      </c>
      <c r="L47" s="3634"/>
      <c r="M47" s="3655">
        <f>'数据-取费表'!B2</f>
        <v>45162</v>
      </c>
      <c r="N47" s="3655"/>
      <c r="O47" s="3655"/>
    </row>
    <row r="48" spans="1:15" ht="25.5">
      <c r="A48" s="3603" t="s">
        <v>1338</v>
      </c>
      <c r="B48" s="3586"/>
      <c r="C48" s="3586"/>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1339</v>
      </c>
      <c r="H48" s="2546"/>
      <c r="I48" s="1806"/>
      <c r="J48" s="2519">
        <v>3</v>
      </c>
      <c r="K48" s="3634" t="s">
        <v>1340</v>
      </c>
      <c r="L48" s="3634"/>
      <c r="M48" s="3656" t="e">
        <f ca="1">H101</f>
        <v>#REF!</v>
      </c>
      <c r="N48" s="3656"/>
      <c r="O48" s="3656"/>
    </row>
    <row r="49" spans="1:35" ht="25.5" customHeight="1">
      <c r="A49" s="2331" t="s">
        <v>1341</v>
      </c>
      <c r="B49" s="3570" t="s">
        <v>1342</v>
      </c>
      <c r="C49" s="3570"/>
      <c r="D49" s="1590">
        <v>0</v>
      </c>
      <c r="E49" s="324" t="s">
        <v>1343</v>
      </c>
      <c r="F49" s="2422" t="s">
        <v>28</v>
      </c>
      <c r="G49" s="3640"/>
      <c r="H49" s="2308" t="s">
        <v>2134</v>
      </c>
      <c r="I49" s="2309"/>
      <c r="J49" s="2519">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47"/>
      <c r="B50" s="3570" t="s">
        <v>1344</v>
      </c>
      <c r="C50" s="3570"/>
      <c r="D50" s="2548"/>
      <c r="E50" s="332"/>
      <c r="F50" s="2422"/>
      <c r="G50" s="3641"/>
      <c r="H50" s="2310" t="s">
        <v>2135</v>
      </c>
      <c r="I50" s="2309"/>
      <c r="J50" s="3653" t="s">
        <v>1345</v>
      </c>
      <c r="K50" s="3653"/>
      <c r="L50" s="3653"/>
      <c r="M50" s="3653"/>
      <c r="N50" s="3653"/>
      <c r="O50" s="3653"/>
    </row>
    <row r="51" spans="1:35" ht="20.45" customHeight="1">
      <c r="A51" s="2549"/>
      <c r="B51" s="3570" t="s">
        <v>1346</v>
      </c>
      <c r="C51" s="3570"/>
      <c r="D51" s="1087"/>
      <c r="E51" s="327"/>
      <c r="F51" s="2422"/>
      <c r="G51" s="3642"/>
      <c r="H51" s="2310" t="s">
        <v>2136</v>
      </c>
      <c r="I51" s="2309"/>
      <c r="J51" s="2520" t="s">
        <v>1347</v>
      </c>
      <c r="K51" s="3634" t="s">
        <v>1348</v>
      </c>
      <c r="L51" s="3634"/>
      <c r="M51" s="2520" t="s">
        <v>1349</v>
      </c>
      <c r="N51" s="2520" t="s">
        <v>1350</v>
      </c>
      <c r="O51" s="2520" t="s">
        <v>1351</v>
      </c>
    </row>
    <row r="52" spans="1:35" ht="24" customHeight="1">
      <c r="A52" s="2333" t="s">
        <v>1352</v>
      </c>
      <c r="B52" s="3570" t="s">
        <v>1353</v>
      </c>
      <c r="C52" s="3570"/>
      <c r="D52" s="1087" t="e">
        <f ca="1">ROUND(D45*'数据-取费表'!B41/(1+'数据-取费表'!C42),0)</f>
        <v>#REF!</v>
      </c>
      <c r="E52" s="2332" t="s">
        <v>1354</v>
      </c>
      <c r="F52" s="2550">
        <f>'数据-取费表'!B41</f>
        <v>5.6000000000000001E-2</v>
      </c>
      <c r="G52" s="2551"/>
      <c r="H52" s="2540"/>
      <c r="I52" s="1807"/>
      <c r="J52" s="2519">
        <v>1</v>
      </c>
      <c r="K52" s="3635" t="s">
        <v>1355</v>
      </c>
      <c r="L52" s="3635"/>
      <c r="M52" s="2521" t="b">
        <f>D48</f>
        <v>0</v>
      </c>
      <c r="N52" s="2519" t="str">
        <f>E48</f>
        <v>销售额×税（费）率</v>
      </c>
      <c r="O52" s="2522">
        <f>F48</f>
        <v>5.6000000000000001E-2</v>
      </c>
    </row>
    <row r="53" spans="1:35" ht="12" customHeight="1">
      <c r="A53" s="2333" t="s">
        <v>1356</v>
      </c>
      <c r="B53" s="3596" t="s">
        <v>2289</v>
      </c>
      <c r="C53" s="3597"/>
      <c r="D53" s="1087" t="e">
        <f ca="1">ROUND(D45*'数据-取费表'!B41/(1+'数据-取费表'!C42),0)</f>
        <v>#REF!</v>
      </c>
      <c r="E53" s="2332" t="s">
        <v>1354</v>
      </c>
      <c r="F53" s="2550">
        <f>'数据-取费表'!B41</f>
        <v>5.6000000000000001E-2</v>
      </c>
      <c r="G53" s="2551"/>
      <c r="H53" s="2540"/>
      <c r="I53" s="1807"/>
      <c r="J53" s="2519">
        <v>2</v>
      </c>
      <c r="K53" s="3635" t="s">
        <v>1357</v>
      </c>
      <c r="L53" s="3635"/>
      <c r="M53" s="2521" t="e">
        <f t="shared" ref="M53:O54" ca="1" si="0">D55</f>
        <v>#REF!</v>
      </c>
      <c r="N53" s="2519" t="str">
        <f t="shared" si="0"/>
        <v>销售额×税（费）率</v>
      </c>
      <c r="O53" s="2522" t="str">
        <f t="shared" si="0"/>
        <v>免征</v>
      </c>
    </row>
    <row r="54" spans="1:35" ht="12" customHeight="1">
      <c r="A54" s="2333" t="s">
        <v>1358</v>
      </c>
      <c r="B54" s="3596" t="s">
        <v>2290</v>
      </c>
      <c r="C54" s="3597"/>
      <c r="D54" s="1087" t="e">
        <f ca="1">C68</f>
        <v>#REF!</v>
      </c>
      <c r="E54" s="327" t="s">
        <v>1359</v>
      </c>
      <c r="F54" s="2550">
        <f>'数据-取费表'!B41</f>
        <v>5.6000000000000001E-2</v>
      </c>
      <c r="G54" s="2551"/>
      <c r="H54" s="2552"/>
      <c r="I54" s="1807"/>
      <c r="J54" s="2519">
        <v>3</v>
      </c>
      <c r="K54" s="3635" t="s">
        <v>1360</v>
      </c>
      <c r="L54" s="3635"/>
      <c r="M54" s="2521" t="e">
        <f t="shared" ca="1" si="0"/>
        <v>#REF!</v>
      </c>
      <c r="N54" s="2519" t="str">
        <f t="shared" si="0"/>
        <v>增值额×税（费）率</v>
      </c>
      <c r="O54" s="2523" t="str">
        <f t="shared" si="0"/>
        <v>免征</v>
      </c>
    </row>
    <row r="55" spans="1:35" ht="24" customHeight="1">
      <c r="A55" s="3585" t="s">
        <v>1361</v>
      </c>
      <c r="B55" s="3586"/>
      <c r="C55" s="3586"/>
      <c r="D55" s="2322" t="e">
        <f ca="1">IF(H55="个人住宅",0,ROUND(D45*I55,0))</f>
        <v>#REF!</v>
      </c>
      <c r="E55" s="2332" t="s">
        <v>1362</v>
      </c>
      <c r="F55" s="2550" t="str">
        <f>IF(H55="正常",I55,"免征")</f>
        <v>免征</v>
      </c>
      <c r="G55" s="2551"/>
      <c r="H55" s="2546"/>
      <c r="I55" s="165">
        <f>'数据-取费表'!B49</f>
        <v>5.0000000000000001E-4</v>
      </c>
      <c r="J55" s="2519">
        <f>IF(H59="非个人房产","",4)</f>
        <v>4</v>
      </c>
      <c r="K55" s="3635" t="str">
        <f>IF(H59="非个人房产","——","个人所得税")</f>
        <v>个人所得税</v>
      </c>
      <c r="L55" s="3635"/>
      <c r="M55" s="2524" t="e">
        <f ca="1">D59</f>
        <v>#REF!</v>
      </c>
      <c r="N55" s="2038" t="str">
        <f>E59</f>
        <v>差额计税</v>
      </c>
      <c r="O55" s="2525">
        <f>F59</f>
        <v>0.01</v>
      </c>
    </row>
    <row r="56" spans="1:35" ht="24.75">
      <c r="A56" s="3585" t="s">
        <v>1363</v>
      </c>
      <c r="B56" s="3586"/>
      <c r="C56" s="3586"/>
      <c r="D56" s="2322" t="e">
        <f ca="1">IF(H56="个人住宅",D57,D58)</f>
        <v>#REF!</v>
      </c>
      <c r="E56" s="2332" t="s">
        <v>1364</v>
      </c>
      <c r="F56" s="2550" t="str">
        <f>IF(H56="正常",F58,"免征")</f>
        <v>免征</v>
      </c>
      <c r="G56" s="2553" t="s">
        <v>1365</v>
      </c>
      <c r="H56" s="2554"/>
      <c r="I56" s="1808"/>
      <c r="J56" s="2519" t="str">
        <f>IF(项目基本情况!K6="上海银行",IF(J55="",4,J55+1),"")</f>
        <v/>
      </c>
      <c r="K56" s="3658" t="str">
        <f>IF(项目基本情况!K6="上海银行","其他处置费用","")</f>
        <v/>
      </c>
      <c r="L56" s="3659"/>
      <c r="M56" s="2521" t="str">
        <f>IF(项目基本情况!K6="上海银行",M69,"")</f>
        <v/>
      </c>
      <c r="N56" s="3658" t="str">
        <f>IF(项目基本情况!K6="上海银行","包含处置中涉及的律师、诉讼、拍卖、评估等费用","")</f>
        <v/>
      </c>
      <c r="O56" s="3661"/>
    </row>
    <row r="57" spans="1:35" ht="12.75">
      <c r="A57" s="2333" t="s">
        <v>1341</v>
      </c>
      <c r="B57" s="3596" t="s">
        <v>1366</v>
      </c>
      <c r="C57" s="3597"/>
      <c r="D57" s="1590">
        <v>0</v>
      </c>
      <c r="E57" s="324" t="s">
        <v>1343</v>
      </c>
      <c r="F57" s="302"/>
      <c r="G57" s="2551"/>
      <c r="H57" s="2555"/>
      <c r="I57" s="1808"/>
      <c r="J57" s="3635">
        <f>IF(AND(J55="",J56=""),4,IF(项目基本情况!K6="上海银行",'结果表-住宅'!J56+1,'结果表-住宅'!J55+1))</f>
        <v>5</v>
      </c>
      <c r="K57" s="3635" t="s">
        <v>1367</v>
      </c>
      <c r="L57" s="2526" t="s">
        <v>1368</v>
      </c>
      <c r="M57" s="2527"/>
      <c r="N57" s="2528">
        <f ca="1">SUMIF(M52:M56,"&lt;9e307")</f>
        <v>0</v>
      </c>
      <c r="O57" s="2529"/>
      <c r="P57" s="2686" t="e">
        <f ca="1">N57/M49</f>
        <v>#VALUE!</v>
      </c>
    </row>
    <row r="58" spans="1:35" ht="24.75">
      <c r="A58" s="2333" t="s">
        <v>1352</v>
      </c>
      <c r="B58" s="3596" t="s">
        <v>1369</v>
      </c>
      <c r="C58" s="3570"/>
      <c r="D58" s="2322" t="e">
        <f ca="1">IF(H58="转让取得",C81,C97)</f>
        <v>#REF!</v>
      </c>
      <c r="E58" s="2332" t="s">
        <v>1364</v>
      </c>
      <c r="F58" s="302" t="s">
        <v>28</v>
      </c>
      <c r="G58" s="2551"/>
      <c r="H58" s="2554"/>
      <c r="I58" s="1808"/>
      <c r="J58" s="3635"/>
      <c r="K58" s="3635"/>
      <c r="L58" s="2526" t="s">
        <v>1370</v>
      </c>
      <c r="M58" s="2530"/>
      <c r="N58" s="2531" t="str">
        <f ca="1">NUMBERSTRING(INT(N57*10000),2)&amp;"元整"</f>
        <v>零元整</v>
      </c>
      <c r="O58" s="2532"/>
    </row>
    <row r="59" spans="1:35" ht="24.75" thickBot="1">
      <c r="A59" s="3638" t="s">
        <v>1371</v>
      </c>
      <c r="B59" s="3639"/>
      <c r="C59" s="3639"/>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636">
        <f>J57+1</f>
        <v>6</v>
      </c>
      <c r="K59" s="3635" t="s">
        <v>1372</v>
      </c>
      <c r="L59" s="2519" t="s">
        <v>1368</v>
      </c>
      <c r="M59" s="2533"/>
      <c r="N59" s="2534" t="e">
        <f ca="1">M49-N57</f>
        <v>#VALUE!</v>
      </c>
      <c r="O59" s="2535"/>
    </row>
    <row r="60" spans="1:35" ht="12" customHeight="1">
      <c r="A60" s="1809"/>
      <c r="B60" s="1747"/>
      <c r="C60" s="1747"/>
      <c r="D60" s="1747"/>
      <c r="E60" s="1578"/>
      <c r="F60" s="1808"/>
      <c r="G60" s="1808"/>
      <c r="H60" s="1810"/>
      <c r="I60" s="129"/>
      <c r="J60" s="3637"/>
      <c r="K60" s="3635"/>
      <c r="L60" s="2526" t="s">
        <v>1370</v>
      </c>
      <c r="M60" s="2530"/>
      <c r="N60" s="2531" t="e">
        <f ca="1">NUMBERSTRING(INT(N59*10000),2)&amp;"元整"</f>
        <v>#VALUE!</v>
      </c>
      <c r="O60" s="2532"/>
    </row>
    <row r="61" spans="1:35" ht="13.5" thickBot="1">
      <c r="A61" s="3583" t="s">
        <v>1373</v>
      </c>
      <c r="B61" s="3583"/>
      <c r="C61" s="3583"/>
      <c r="D61" s="3583"/>
      <c r="E61" s="3583"/>
      <c r="F61" s="1808"/>
      <c r="G61" s="1808"/>
      <c r="H61" s="1810"/>
      <c r="I61" s="129"/>
      <c r="J61" s="2519">
        <f>J59+1</f>
        <v>7</v>
      </c>
      <c r="K61" s="3635" t="s">
        <v>1374</v>
      </c>
      <c r="L61" s="3635"/>
      <c r="M61" s="2536"/>
      <c r="N61" s="2537" t="e">
        <f ca="1">ROUND(N59*10000/'数据-汇总表'!E3,0)</f>
        <v>#VALUE!</v>
      </c>
      <c r="O61" s="2538"/>
    </row>
    <row r="62" spans="1:35" ht="12.75">
      <c r="A62" s="3601" t="s">
        <v>1375</v>
      </c>
      <c r="B62" s="3602"/>
      <c r="C62" s="2019"/>
      <c r="D62" s="2019" t="s">
        <v>1376</v>
      </c>
      <c r="E62" s="166" t="s">
        <v>1377</v>
      </c>
      <c r="F62" s="1808"/>
      <c r="G62" s="1808"/>
      <c r="H62" s="1810"/>
      <c r="I62" s="129"/>
    </row>
    <row r="63" spans="1:35" ht="12.75">
      <c r="A63" s="173" t="s">
        <v>330</v>
      </c>
      <c r="B63" s="167" t="s">
        <v>1378</v>
      </c>
      <c r="C63" s="2560"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660"/>
      <c r="K66" s="1332" t="s">
        <v>1387</v>
      </c>
      <c r="L66" s="1332" t="e">
        <f>M49*0.5%</f>
        <v>#VALUE!</v>
      </c>
      <c r="M66" s="302" t="e">
        <f>IF(L66&gt;0.5,0.5,ROUND(L66,0))</f>
        <v>#VALUE!</v>
      </c>
      <c r="N66" s="2540" t="s">
        <v>1388</v>
      </c>
      <c r="Z66" s="1752"/>
      <c r="AI66" s="1753"/>
    </row>
    <row r="67" spans="1:35" ht="14.25" customHeight="1">
      <c r="A67" s="173" t="s">
        <v>328</v>
      </c>
      <c r="B67" s="174" t="s">
        <v>1389</v>
      </c>
      <c r="C67" s="2564"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t="e">
        <f ca="1">IF(C67&lt;=0,0,ROUND(C67*D68,0))</f>
        <v>#REF!</v>
      </c>
      <c r="D68" s="2566">
        <f>'数据-取费表'!B41</f>
        <v>5.6000000000000001E-2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19"/>
      <c r="D71" s="2019"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t="e">
        <f ca="1">ROUND(D45/(1+'数据-取费表'!C42),0)</f>
        <v>#REF!</v>
      </c>
      <c r="D72" s="170" t="s">
        <v>26</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t="e">
        <f ca="1">ROUND(D45*D78/(1+'数据-取费表'!C42),0)</f>
        <v>#REF!</v>
      </c>
      <c r="D78" s="2573">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t="e">
        <f ca="1">IF(H88="仅含出让金",C87+C90+C91+C92+C93+C94,C87+C91+C92+C93+C94)</f>
        <v>#REF!</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5"/>
      <c r="G88" s="194" t="s">
        <v>1414</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5"/>
      <c r="G90" s="3662" t="s">
        <v>2129</v>
      </c>
      <c r="H90" s="3663"/>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580" t="s">
        <v>1422</v>
      </c>
      <c r="F92" s="3581"/>
      <c r="G92" s="3581"/>
      <c r="H92" s="3590"/>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t="e">
        <f ca="1">ROUND(D45*D93/(1+'数据-取费表'!C42),0)</f>
        <v>#REF!</v>
      </c>
      <c r="D93" s="2573">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1" t="str">
        <f>C4</f>
        <v>成本法 (元)</v>
      </c>
      <c r="D101" s="2582" t="str">
        <f>D4</f>
        <v>比较法-住宅</v>
      </c>
      <c r="E101" s="3657" t="s">
        <v>1431</v>
      </c>
      <c r="F101" s="3614"/>
      <c r="G101" s="1827" t="s">
        <v>1432</v>
      </c>
      <c r="H101" s="2591" t="e">
        <f ca="1">H118</f>
        <v>#REF!</v>
      </c>
      <c r="I101" s="129"/>
    </row>
    <row r="102" spans="1:35" ht="18.75" customHeight="1">
      <c r="A102" s="3616" t="s">
        <v>1433</v>
      </c>
      <c r="B102" s="2580" t="s">
        <v>1432</v>
      </c>
      <c r="C102" s="2581">
        <f ca="1">IF(D32="楼面单价",ROUND(C19,0),C19)</f>
        <v>245.6574</v>
      </c>
      <c r="D102" s="2582">
        <f ca="1">IF(D32="楼面单价",ROUND(D19,0),D19)</f>
        <v>475.47609999999997</v>
      </c>
      <c r="E102" s="3657"/>
      <c r="F102" s="3614"/>
      <c r="G102" s="1827" t="s">
        <v>1434</v>
      </c>
      <c r="H102" s="2551" t="e">
        <f ca="1">I118</f>
        <v>#REF!</v>
      </c>
      <c r="I102" s="129"/>
    </row>
    <row r="103" spans="1:35" ht="42.75" customHeight="1">
      <c r="A103" s="3616"/>
      <c r="B103" s="2580" t="s">
        <v>1434</v>
      </c>
      <c r="C103" s="2583">
        <f ca="1">C20</f>
        <v>27951</v>
      </c>
      <c r="D103" s="2584">
        <f ca="1">D20</f>
        <v>54099</v>
      </c>
      <c r="E103" s="3651" t="s">
        <v>1435</v>
      </c>
      <c r="F103" s="3652"/>
      <c r="G103" s="1828" t="s">
        <v>1436</v>
      </c>
      <c r="H103" s="2591">
        <f>IF(D36="正常操作",H104+H105+H106,H105+H106)</f>
        <v>0</v>
      </c>
      <c r="I103" s="129"/>
    </row>
    <row r="104" spans="1:35" ht="18.75" customHeight="1">
      <c r="A104" s="3616" t="s">
        <v>1437</v>
      </c>
      <c r="B104" s="2585" t="s">
        <v>1432</v>
      </c>
      <c r="C104" s="2586" t="e">
        <f ca="1">H118</f>
        <v>#REF!</v>
      </c>
      <c r="D104" s="2587"/>
      <c r="E104" s="1674" t="s">
        <v>1438</v>
      </c>
      <c r="F104" s="1666"/>
      <c r="G104" s="1828" t="s">
        <v>1436</v>
      </c>
      <c r="H104" s="2592">
        <f>IF(D36="同一抵押权人同一抵押物续贷",C36&amp;"（续贷，未扣减，详见特别提示）",C36)</f>
        <v>0</v>
      </c>
      <c r="I104" s="129"/>
    </row>
    <row r="105" spans="1:35" ht="18.75" customHeight="1" thickBot="1">
      <c r="A105" s="3617"/>
      <c r="B105" s="2588" t="s">
        <v>1434</v>
      </c>
      <c r="C105" s="2589" t="e">
        <f ca="1">I118</f>
        <v>#REF!</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13" t="str">
        <f>IF(项目基本情况!E8="已注销","——","3.房地产抵押价值")</f>
        <v>3.房地产抵押价值</v>
      </c>
      <c r="F107" s="3614"/>
      <c r="G107" s="1827" t="s">
        <v>1432</v>
      </c>
      <c r="H107" s="2591" t="e">
        <f ca="1">IF(E107="——","——",H101-H103)</f>
        <v>#REF!</v>
      </c>
      <c r="I107" s="129"/>
    </row>
    <row r="108" spans="1:35" ht="18.75" customHeight="1">
      <c r="A108" s="129"/>
      <c r="B108" s="129"/>
      <c r="C108" s="129"/>
      <c r="D108" s="129"/>
      <c r="E108" s="3613"/>
      <c r="F108" s="3614"/>
      <c r="G108" s="1827" t="s">
        <v>1434</v>
      </c>
      <c r="H108" s="2551">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4" t="str">
        <f>IF(E109="——","——",H101-H105-H106)</f>
        <v>——</v>
      </c>
      <c r="I109" s="129"/>
    </row>
    <row r="110" spans="1:35" ht="18.75" customHeight="1">
      <c r="A110" s="129"/>
      <c r="B110" s="129"/>
      <c r="C110" s="129"/>
      <c r="D110" s="129"/>
      <c r="E110" s="3613"/>
      <c r="F110" s="3614"/>
      <c r="G110" s="1827" t="s">
        <v>1434</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1" t="str">
        <f>IF(E111="——","——",N59)</f>
        <v>——</v>
      </c>
      <c r="I111" s="129"/>
    </row>
    <row r="112" spans="1:35" ht="18.75" customHeight="1" thickBot="1">
      <c r="A112" s="129"/>
      <c r="B112" s="129"/>
      <c r="C112" s="129"/>
      <c r="D112" s="129"/>
      <c r="E112" s="3646"/>
      <c r="F112" s="3647"/>
      <c r="G112" s="1830" t="s">
        <v>1434</v>
      </c>
      <c r="H112" s="2595"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7" t="s">
        <v>1449</v>
      </c>
      <c r="E117" s="2327" t="s">
        <v>1450</v>
      </c>
      <c r="F117" s="2327" t="s">
        <v>1449</v>
      </c>
      <c r="G117" s="2327" t="s">
        <v>1451</v>
      </c>
      <c r="H117" s="2327" t="s">
        <v>1449</v>
      </c>
      <c r="I117" s="2327" t="s">
        <v>1451</v>
      </c>
    </row>
    <row r="118" spans="1:27" ht="24.75" customHeight="1">
      <c r="A118" s="2596" t="str">
        <f>项目基本情况!S2</f>
        <v>房地产</v>
      </c>
      <c r="B118" s="2327">
        <f>M18</f>
        <v>126.25999999999999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20083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1590607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14062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14062</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87.89</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38.36999999999999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126.25999999999999</v>
      </c>
      <c r="E19" s="211">
        <f>'数据-取费表'!B31</f>
        <v>200</v>
      </c>
      <c r="F19" s="231"/>
      <c r="G19" s="1856"/>
    </row>
    <row r="20" spans="1:7" s="214" customFormat="1" ht="13.5" customHeight="1">
      <c r="A20" s="255" t="s">
        <v>1493</v>
      </c>
      <c r="B20" s="210" t="s">
        <v>1494</v>
      </c>
      <c r="C20" s="232">
        <f ca="1">ROUND((C5+C19)*F20,0)</f>
        <v>281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1381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2726</v>
      </c>
      <c r="D27" s="235">
        <f ca="1">C29</f>
        <v>3.8E-3</v>
      </c>
      <c r="E27" s="236" t="s">
        <v>1514</v>
      </c>
      <c r="F27" s="246">
        <f ca="1">IF(B1="",'数据-取费表'!Q16,INDIRECT("'数据-取费表'!q"&amp;$G$1))</f>
        <v>0.19</v>
      </c>
      <c r="G27" s="247" t="s">
        <v>1515</v>
      </c>
    </row>
    <row r="28" spans="1:7" s="214" customFormat="1" ht="13.5" customHeight="1">
      <c r="A28" s="780" t="s">
        <v>346</v>
      </c>
      <c r="B28" s="248" t="s">
        <v>1516</v>
      </c>
      <c r="C28" s="249">
        <f ca="1">ROUND((C5+C19+C20)*F27*'数据-取费表'!B21/'数据-取费表'!B20,0)</f>
        <v>2726</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20016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3</v>
      </c>
      <c r="D37" s="217">
        <f ca="1">D19</f>
        <v>126.25999999999999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1E-3</v>
      </c>
      <c r="D44" s="238"/>
      <c r="E44" s="238"/>
      <c r="F44" s="239"/>
      <c r="G44" s="3666"/>
    </row>
    <row r="45" spans="1:7" s="214" customFormat="1" ht="13.5" customHeight="1">
      <c r="A45" s="255" t="s">
        <v>1547</v>
      </c>
      <c r="B45" s="244" t="s">
        <v>1513</v>
      </c>
      <c r="C45" s="245">
        <f ca="1">C46</f>
        <v>10</v>
      </c>
      <c r="D45" s="235">
        <f ca="1">C47</f>
        <v>3.8E-3</v>
      </c>
      <c r="E45" s="236" t="s">
        <v>1539</v>
      </c>
      <c r="F45" s="246">
        <f ca="1">F27</f>
        <v>0.19</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67</v>
      </c>
      <c r="D51" s="232"/>
      <c r="E51" s="232"/>
      <c r="F51" s="264"/>
      <c r="G51" s="234" t="s">
        <v>1560</v>
      </c>
    </row>
    <row r="52" spans="1:7" s="208" customFormat="1" ht="16.5" thickBot="1">
      <c r="A52" s="265" t="s">
        <v>1561</v>
      </c>
      <c r="B52" s="266"/>
      <c r="C52" s="267">
        <f ca="1">C31+C51</f>
        <v>20083</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83"/>
  <sheetViews>
    <sheetView view="pageBreakPreview" zoomScale="80" zoomScaleNormal="70" zoomScaleSheetLayoutView="80" workbookViewId="0">
      <selection activeCell="J45" sqref="J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64.349999999999994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185.92179999999999</v>
      </c>
      <c r="C2" s="1387" t="s">
        <v>879</v>
      </c>
      <c r="D2" s="1471">
        <f ca="1">C40+J29+L46</f>
        <v>1859218</v>
      </c>
      <c r="E2" s="1388" t="s">
        <v>880</v>
      </c>
      <c r="F2" s="1389"/>
      <c r="G2" s="2702"/>
      <c r="H2" s="2691"/>
      <c r="I2" s="2691"/>
      <c r="J2" s="2691"/>
      <c r="K2" s="2692"/>
      <c r="L2" s="2691"/>
      <c r="M2" s="2691"/>
    </row>
    <row r="3" spans="1:37" ht="18" customHeight="1" thickBot="1">
      <c r="A3" s="1390" t="s">
        <v>881</v>
      </c>
      <c r="B3" s="1391">
        <f ca="1">IF(ISERROR(D2/F43),0,ROUND(D2/F43,0))</f>
        <v>21154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62778</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62700</v>
      </c>
      <c r="D6" s="155" t="s">
        <v>2106</v>
      </c>
      <c r="E6" s="302" t="s">
        <v>696</v>
      </c>
      <c r="F6" s="303">
        <f ca="1">INDIRECT("'数据-取费表'!u"&amp;$G$1)</f>
        <v>5500</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v>
      </c>
      <c r="G7" s="1384"/>
      <c r="H7" s="304"/>
      <c r="I7" s="3668"/>
      <c r="J7" s="306"/>
      <c r="K7" s="307"/>
      <c r="L7" s="302" t="s">
        <v>697</v>
      </c>
      <c r="M7" s="303">
        <f ca="1">F7</f>
        <v>1</v>
      </c>
    </row>
    <row r="8" spans="1:37" ht="18" customHeight="1">
      <c r="A8" s="304"/>
      <c r="B8" s="3668"/>
      <c r="C8" s="306"/>
      <c r="D8" s="307"/>
      <c r="E8" s="302" t="s">
        <v>698</v>
      </c>
      <c r="F8" s="303">
        <f ca="1">INDIRECT("'数据-取费表'!ai"&amp;$G$1)</f>
        <v>12</v>
      </c>
      <c r="G8" s="1384"/>
      <c r="H8" s="304"/>
      <c r="I8" s="3668"/>
      <c r="J8" s="306"/>
      <c r="K8" s="307"/>
      <c r="L8" s="302" t="s">
        <v>698</v>
      </c>
      <c r="M8" s="303">
        <f ca="1">INDIRECT("'数据-取费表'!ai"&amp;$G$1)</f>
        <v>12</v>
      </c>
    </row>
    <row r="9" spans="1:37" ht="18" customHeight="1">
      <c r="A9" s="304"/>
      <c r="B9" s="3669"/>
      <c r="C9" s="306"/>
      <c r="D9" s="307"/>
      <c r="E9" s="302" t="s">
        <v>699</v>
      </c>
      <c r="F9" s="312">
        <f ca="1">INDIRECT("'数据-取费表'!w"&amp;$G$1)</f>
        <v>0.05</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78</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494168</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307615</v>
      </c>
      <c r="D14" s="1345" t="s">
        <v>708</v>
      </c>
      <c r="E14" s="1342"/>
      <c r="F14" s="319"/>
      <c r="G14" s="1384"/>
      <c r="H14" s="982" t="s">
        <v>398</v>
      </c>
      <c r="I14" s="302" t="s">
        <v>709</v>
      </c>
      <c r="J14" s="21">
        <f ca="1">C29</f>
        <v>509452</v>
      </c>
      <c r="K14" s="12"/>
      <c r="L14" s="807"/>
      <c r="M14" s="808"/>
    </row>
    <row r="15" spans="1:37" s="1397" customFormat="1" ht="18" customHeight="1" thickBot="1">
      <c r="A15" s="982" t="s">
        <v>399</v>
      </c>
      <c r="B15" s="302" t="s">
        <v>710</v>
      </c>
      <c r="C15" s="21">
        <f ca="1">ROUND(C14*F15,0)</f>
        <v>9228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15381</v>
      </c>
      <c r="D16" s="302" t="s">
        <v>711</v>
      </c>
      <c r="E16" s="302" t="s">
        <v>712</v>
      </c>
      <c r="F16" s="322">
        <f ca="1">IF(INDIRECT("'数据-取费表'!c"&amp;$G$1)="住宅",'数据-取费表'!B34,0)</f>
        <v>0.05</v>
      </c>
      <c r="G16" s="1384"/>
      <c r="H16" s="1079" t="s">
        <v>393</v>
      </c>
      <c r="I16" s="1080" t="s">
        <v>714</v>
      </c>
      <c r="J16" s="310">
        <f ca="1">ROUND(J17+J22+J23+J24,0)</f>
        <v>5095</v>
      </c>
      <c r="K16" s="1087" t="s">
        <v>715</v>
      </c>
      <c r="L16" s="1088"/>
      <c r="M16" s="1072"/>
    </row>
    <row r="17" spans="1:37" s="1397" customFormat="1" ht="18" customHeight="1">
      <c r="A17" s="982" t="s">
        <v>681</v>
      </c>
      <c r="B17" s="302" t="s">
        <v>716</v>
      </c>
      <c r="C17" s="21">
        <f ca="1">ROUND(F17*(F43+INDIRECT("'数据-取费表'!S"&amp;$G$1)),0)</f>
        <v>17578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354416</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7088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5095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17172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-5095</v>
      </c>
      <c r="K25" s="1095" t="s">
        <v>753</v>
      </c>
      <c r="L25" s="1096"/>
      <c r="M25" s="1097"/>
    </row>
    <row r="26" spans="1:37" ht="18" customHeight="1">
      <c r="A26" s="982" t="s">
        <v>397</v>
      </c>
      <c r="B26" s="302" t="s">
        <v>754</v>
      </c>
      <c r="C26" s="21">
        <f ca="1">ROUND((C19+C20)*F26,0)</f>
        <v>90376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509452</v>
      </c>
      <c r="D29" s="1092"/>
      <c r="E29" s="1090"/>
      <c r="F29" s="1093"/>
      <c r="G29" s="1396"/>
      <c r="H29" s="334" t="s">
        <v>396</v>
      </c>
      <c r="I29" s="335" t="s">
        <v>768</v>
      </c>
      <c r="J29" s="336">
        <f ca="1">ROUND(J26/(1+F40)^F41,0)</f>
        <v>0</v>
      </c>
      <c r="K29" s="337" t="s">
        <v>769</v>
      </c>
      <c r="L29" s="338"/>
      <c r="M29" s="339">
        <f ca="1">INDIRECT("'数据-取费表'!k"&amp;$G$1)</f>
        <v>87.89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16727</v>
      </c>
      <c r="D30" s="1087" t="s">
        <v>715</v>
      </c>
      <c r="E30" s="1088"/>
      <c r="F30" s="1072"/>
      <c r="G30" s="1384"/>
      <c r="H30" s="2693"/>
      <c r="I30" s="1398"/>
      <c r="J30" s="1399"/>
      <c r="K30" s="2472"/>
      <c r="L30" s="2694"/>
      <c r="M30" s="2695"/>
    </row>
    <row r="31" spans="1:37" ht="18" customHeight="1">
      <c r="A31" s="982" t="s">
        <v>398</v>
      </c>
      <c r="B31" s="302" t="s">
        <v>719</v>
      </c>
      <c r="C31" s="2314">
        <f ca="1">ROUND(IF(AND(项目基本情况!B11="自然人",项目基本情况!B10="北京市"),C6*F31/(1+'数据-取费表'!C42),C32+C33+C34),0)</f>
        <v>10510</v>
      </c>
      <c r="D31" s="1345" t="s">
        <v>720</v>
      </c>
      <c r="E31" s="1344" t="s">
        <v>770</v>
      </c>
      <c r="F31" s="2313">
        <f ca="1">IF(项目基本情况!B11="企业","——",IF(M47="住宅",IF(F6*F7*F8/12/(1+'数据-取费表'!F30)&gt;100000,4%,2.5%),IF(F6*F7*F8/12/(1+'数据-取费表'!F30)&gt;100000,12%,7%)))</f>
        <v>2.5000000000000001E-2</v>
      </c>
      <c r="G31" s="1384"/>
      <c r="H31" s="2804" t="s">
        <v>2308</v>
      </c>
      <c r="I31" s="1398"/>
      <c r="J31" s="1399"/>
      <c r="K31" s="2472"/>
      <c r="L31" s="2694"/>
      <c r="M31" s="2695"/>
    </row>
    <row r="32" spans="1:37" ht="18" customHeight="1">
      <c r="A32" s="982" t="s">
        <v>397</v>
      </c>
      <c r="B32" s="302" t="s">
        <v>723</v>
      </c>
      <c r="C32" s="21">
        <f ca="1">IF(项目基本情况!B11="自然人","——",ROUND(C6*F32/(1+'数据-取费表'!C42),0))</f>
        <v>3344</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7166</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5095</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494</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628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46051</v>
      </c>
      <c r="D39" s="1095" t="s">
        <v>773</v>
      </c>
      <c r="E39" s="1096"/>
      <c r="F39" s="1097"/>
      <c r="G39" s="1384"/>
      <c r="H39" s="2696"/>
      <c r="I39" s="1398"/>
      <c r="J39" s="1399"/>
      <c r="K39" s="2700"/>
      <c r="L39" s="2696"/>
      <c r="M39" s="2696"/>
    </row>
    <row r="40" spans="1:18" ht="18" customHeight="1">
      <c r="A40" s="299" t="s">
        <v>395</v>
      </c>
      <c r="B40" s="300" t="s">
        <v>774</v>
      </c>
      <c r="C40" s="301">
        <f ca="1">ROUND(C39*(1-((1+F42)/(1+F40))^F41)/(F40-F42),0)</f>
        <v>1859218</v>
      </c>
      <c r="D40" s="324" t="s">
        <v>758</v>
      </c>
      <c r="E40" s="302" t="s">
        <v>759</v>
      </c>
      <c r="F40" s="312">
        <f ca="1">INDIRECT("'数据-取费表'!I"&amp;$G$1)</f>
        <v>4.4999999999999998E-2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64.349999999999994</v>
      </c>
      <c r="G41" s="1384"/>
      <c r="H41" s="1191"/>
      <c r="I41" s="1398"/>
      <c r="J41" s="1399"/>
      <c r="K41" s="2540"/>
      <c r="L41" s="1191"/>
      <c r="M41" s="1191"/>
    </row>
    <row r="42" spans="1:18" ht="18" customHeight="1">
      <c r="A42" s="308"/>
      <c r="B42" s="309"/>
      <c r="C42" s="310"/>
      <c r="D42" s="327"/>
      <c r="E42" s="302" t="s">
        <v>766</v>
      </c>
      <c r="F42" s="312">
        <f ca="1">INDIRECT("'数据-取费表'!v"&amp;$G$1)</f>
        <v>0.03</v>
      </c>
      <c r="G42" s="1384"/>
      <c r="H42" s="1191"/>
      <c r="I42" s="1398"/>
      <c r="J42" s="1399"/>
      <c r="K42" s="2540"/>
      <c r="L42" s="1191"/>
      <c r="M42" s="1191"/>
    </row>
    <row r="43" spans="1:18" ht="18" customHeight="1" thickBot="1">
      <c r="A43" s="334" t="s">
        <v>396</v>
      </c>
      <c r="B43" s="335" t="s">
        <v>776</v>
      </c>
      <c r="C43" s="336">
        <f ca="1">ROUND(C40/F43,0)</f>
        <v>21154</v>
      </c>
      <c r="D43" s="337" t="s">
        <v>777</v>
      </c>
      <c r="E43" s="338" t="s">
        <v>778</v>
      </c>
      <c r="F43" s="339">
        <f ca="1">INDIRECT("'数据-取费表'!k"&amp;$G$1)</f>
        <v>87.89</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3355</v>
      </c>
      <c r="B45" s="1400"/>
      <c r="C45" s="1472">
        <f ca="1">ROUND((C68-C40)/10000,4)</f>
        <v>-197.61070000000001</v>
      </c>
      <c r="D45" s="3428" t="s">
        <v>3356</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70</v>
      </c>
      <c r="M47" s="1380" t="str">
        <f>IF(ISNUMBER(FIND("住宅",C1)),"住宅","非住宅")</f>
        <v>住宅</v>
      </c>
      <c r="O47" s="1418" t="s">
        <v>403</v>
      </c>
      <c r="P47" s="1419" t="s">
        <v>817</v>
      </c>
      <c r="Q47" s="1420">
        <f ca="1">C40+J29</f>
        <v>1859218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64.349999999999994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509452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308658</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64.349999999999994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64.349999999999994</v>
      </c>
      <c r="K53" s="3670" t="s">
        <v>837</v>
      </c>
      <c r="L53" s="3671"/>
      <c r="O53" s="1418" t="s">
        <v>409</v>
      </c>
      <c r="P53" s="1419" t="s">
        <v>838</v>
      </c>
      <c r="Q53" s="1420">
        <f ca="1">Q47+Q48</f>
        <v>1859218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494168</v>
      </c>
      <c r="D56" s="1447"/>
      <c r="E56" s="1448"/>
      <c r="F56" s="1440"/>
      <c r="I56" s="1449" t="s">
        <v>842</v>
      </c>
      <c r="J56" s="1450" t="s">
        <v>3381</v>
      </c>
      <c r="K56" s="1421" t="s">
        <v>843</v>
      </c>
      <c r="L56" s="1424">
        <f ca="1">IF(L48&lt;J51,"——",L48-J51)</f>
        <v>6.3499999999999943</v>
      </c>
      <c r="O56" s="1418" t="s">
        <v>403</v>
      </c>
      <c r="P56" s="1419" t="s">
        <v>817</v>
      </c>
      <c r="Q56" s="1420">
        <f ca="1">C40+J29</f>
        <v>1859218</v>
      </c>
      <c r="R56" s="1420" t="s">
        <v>818</v>
      </c>
    </row>
    <row r="57" spans="1:18" s="1384" customFormat="1" ht="24.75" thickBot="1">
      <c r="A57" s="1451"/>
      <c r="B57" s="950" t="s">
        <v>767</v>
      </c>
      <c r="C57" s="238">
        <f ca="1">C29</f>
        <v>509452</v>
      </c>
      <c r="D57" s="1452"/>
      <c r="E57" s="1453"/>
      <c r="F57" s="1454"/>
      <c r="I57" s="1455" t="s">
        <v>844</v>
      </c>
      <c r="J57" s="1456" t="str">
        <f ca="1">IF(OR(M47="住宅",J51&lt;L48,J56="是"),"——",J51-L48)</f>
        <v>——</v>
      </c>
      <c r="K57" s="1421" t="s">
        <v>892</v>
      </c>
      <c r="L57" s="1424">
        <f ca="1">IF(L48&lt;J51,"——",IF(L55="比较法",L49,IF(L55="基准地价",L50,L51)))</f>
        <v>308658</v>
      </c>
      <c r="O57" s="1418" t="s">
        <v>404</v>
      </c>
      <c r="P57" s="1419" t="s">
        <v>893</v>
      </c>
      <c r="Q57" s="1420">
        <f ca="1">L60</f>
        <v>0</v>
      </c>
      <c r="R57" s="1420" t="s">
        <v>894</v>
      </c>
    </row>
    <row r="58" spans="1:18" s="1384" customFormat="1" ht="24.75" thickBot="1">
      <c r="A58" s="315" t="s">
        <v>393</v>
      </c>
      <c r="B58" s="958" t="s">
        <v>714</v>
      </c>
      <c r="C58" s="316">
        <f ca="1">ROUND(C59+C64+C65+C66,0)</f>
        <v>5589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1859218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5095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494</v>
      </c>
      <c r="D65" s="964" t="s">
        <v>743</v>
      </c>
      <c r="E65" s="950" t="s">
        <v>744</v>
      </c>
      <c r="F65" s="330">
        <f t="shared" ca="1" si="0"/>
        <v>1E-3</v>
      </c>
      <c r="I65" s="1462" t="s">
        <v>867</v>
      </c>
      <c r="J65" s="1463">
        <v>40</v>
      </c>
      <c r="K65" s="1463">
        <v>30</v>
      </c>
      <c r="L65" s="1463">
        <v>50</v>
      </c>
      <c r="M65" s="1465">
        <v>0.02</v>
      </c>
      <c r="O65" s="1418" t="s">
        <v>403</v>
      </c>
      <c r="P65" s="1419" t="s">
        <v>868</v>
      </c>
      <c r="Q65" s="1420">
        <f ca="1">C40+J29</f>
        <v>1859218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-5589</v>
      </c>
      <c r="D67" s="963" t="s">
        <v>753</v>
      </c>
      <c r="E67" s="968"/>
      <c r="F67" s="969"/>
      <c r="O67" s="1428" t="s">
        <v>405</v>
      </c>
      <c r="P67" s="1419" t="s">
        <v>850</v>
      </c>
      <c r="Q67" s="1466">
        <f ca="1">L51</f>
        <v>308658</v>
      </c>
      <c r="R67" s="1420" t="s">
        <v>870</v>
      </c>
    </row>
    <row r="68" spans="1:18" s="1384" customFormat="1" ht="16.5" thickBot="1">
      <c r="A68" s="947" t="s">
        <v>395</v>
      </c>
      <c r="B68" s="948" t="s">
        <v>774</v>
      </c>
      <c r="C68" s="301">
        <f ca="1">ROUND(C67*(1-((1+F70)/(1+F68))^F69)/(F68-F70),0)</f>
        <v>-116889</v>
      </c>
      <c r="D68" s="965" t="s">
        <v>758</v>
      </c>
      <c r="E68" s="950" t="s">
        <v>759</v>
      </c>
      <c r="F68" s="312">
        <f ca="1">F40</f>
        <v>4.4999999999999998E-2</v>
      </c>
      <c r="O68" s="1428" t="s">
        <v>406</v>
      </c>
      <c r="P68" s="1467" t="s">
        <v>871</v>
      </c>
      <c r="Q68" s="1420">
        <f ca="1">ROUND(Q69-Q70*Q71,0)</f>
        <v>16401</v>
      </c>
      <c r="R68" s="1420" t="s">
        <v>414</v>
      </c>
    </row>
    <row r="69" spans="1:18" s="1384" customFormat="1" ht="13.5" thickBot="1">
      <c r="A69" s="951"/>
      <c r="B69" s="952"/>
      <c r="C69" s="306"/>
      <c r="D69" s="970" t="s">
        <v>762</v>
      </c>
      <c r="E69" s="950" t="s">
        <v>763</v>
      </c>
      <c r="F69" s="333">
        <f ca="1">F41</f>
        <v>64.349999999999994</v>
      </c>
      <c r="O69" s="1428" t="s">
        <v>411</v>
      </c>
      <c r="P69" s="1467" t="s">
        <v>872</v>
      </c>
      <c r="Q69" s="1420">
        <f ca="1">C39</f>
        <v>46051</v>
      </c>
      <c r="R69" s="1420" t="s">
        <v>818</v>
      </c>
    </row>
    <row r="70" spans="1:18" s="1384" customFormat="1" ht="13.5" thickBot="1">
      <c r="A70" s="954"/>
      <c r="B70" s="955"/>
      <c r="C70" s="310"/>
      <c r="D70" s="966"/>
      <c r="E70" s="950" t="s">
        <v>766</v>
      </c>
      <c r="F70" s="1054"/>
      <c r="O70" s="1428" t="s">
        <v>412</v>
      </c>
      <c r="P70" s="1467" t="s">
        <v>873</v>
      </c>
      <c r="Q70" s="1420">
        <f ca="1">C13</f>
        <v>494168</v>
      </c>
      <c r="R70" s="1420" t="s">
        <v>818</v>
      </c>
    </row>
    <row r="71" spans="1:18" s="1384" customFormat="1" ht="13.5" thickBot="1">
      <c r="A71" s="971" t="s">
        <v>396</v>
      </c>
      <c r="B71" s="972" t="s">
        <v>776</v>
      </c>
      <c r="C71" s="336">
        <f ca="1">ROUND(C68/F71,0)</f>
        <v>-1330</v>
      </c>
      <c r="D71" s="973" t="s">
        <v>777</v>
      </c>
      <c r="E71" s="974" t="s">
        <v>778</v>
      </c>
      <c r="F71" s="339">
        <f ca="1">F43</f>
        <v>87.89</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29650</v>
      </c>
      <c r="D75" s="1384"/>
      <c r="E75" s="1384"/>
      <c r="F75" s="1384"/>
      <c r="K75" s="1402"/>
      <c r="L75" s="1384"/>
      <c r="O75" s="1418" t="s">
        <v>409</v>
      </c>
      <c r="P75" s="1419" t="s">
        <v>838</v>
      </c>
      <c r="Q75" s="1420">
        <f ca="1">Q65+Q66</f>
        <v>1859218</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0.35599999999999998</v>
      </c>
    </row>
    <row r="80" spans="1:18">
      <c r="B80" s="340" t="s">
        <v>800</v>
      </c>
      <c r="C80" s="274">
        <f ca="1">ROUND(C75/C39,3)</f>
        <v>0.64400000000000002</v>
      </c>
    </row>
    <row r="81" spans="2:3">
      <c r="B81" s="270" t="s">
        <v>801</v>
      </c>
      <c r="C81" s="238"/>
    </row>
    <row r="82" spans="2:3">
      <c r="B82" s="273" t="s">
        <v>802</v>
      </c>
      <c r="C82" s="275">
        <f ca="1">1-C83</f>
        <v>0.73399999999999999</v>
      </c>
    </row>
    <row r="83" spans="2:3">
      <c r="B83" s="273" t="s">
        <v>803</v>
      </c>
      <c r="C83" s="274">
        <f ca="1">ROUND(C13/C40,3)</f>
        <v>0.26600000000000001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xr:uid="{00000000-0002-0000-1300-000000000000}">
      <formula1>"比较法,基准地价,收益还原"</formula1>
    </dataValidation>
    <dataValidation type="list" allowBlank="1" showInputMessage="1" showErrorMessage="1" sqref="J56" xr:uid="{00000000-0002-0000-1300-000001000000}">
      <formula1>估价范围判定</formula1>
    </dataValidation>
    <dataValidation type="list" allowBlank="1" showInputMessage="1" showErrorMessage="1" sqref="J48" xr:uid="{00000000-0002-0000-1300-000002000000}">
      <formula1>"非生产用房,生产用房,受腐蚀的生产用房"</formula1>
    </dataValidation>
    <dataValidation type="list" allowBlank="1" showInputMessage="1" showErrorMessage="1" sqref="J47" xr:uid="{00000000-0002-0000-1300-000003000000}">
      <formula1>"钢,钢混,砖混"</formula1>
    </dataValidation>
    <dataValidation type="list" allowBlank="1" showInputMessage="1" showErrorMessage="1" sqref="C1" xr:uid="{00000000-0002-0000-1300-000004000000}">
      <formula1>项目类型</formula1>
    </dataValidation>
    <dataValidation type="list" allowBlank="1" showInputMessage="1" showErrorMessage="1" sqref="D33 D61" xr:uid="{00000000-0002-0000-1300-000005000000}">
      <formula1>"按租金收入计税,按房产原值计税,按票据"</formula1>
    </dataValidation>
    <dataValidation type="list" allowBlank="1" showInputMessage="1" showErrorMessage="1" sqref="K19" xr:uid="{00000000-0002-0000-1300-000006000000}">
      <formula1>"按租金收入计税,按房产原值计税"</formula1>
    </dataValidation>
    <dataValidation type="list" allowBlank="1" showInputMessage="1" showErrorMessage="1" sqref="F10 F53 M10"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11" zoomScale="85" zoomScaleNormal="60" zoomScaleSheetLayoutView="85" workbookViewId="0">
      <selection activeCell="C19" sqref="C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3377</v>
      </c>
      <c r="E1" s="3422" t="s">
        <v>3401</v>
      </c>
      <c r="F1" s="1879" t="s">
        <v>3402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f>IF(E1="项目模式",IF(C2="——",ROUND(C49*D3/10000,0),ROUND(C49*D3/10000,0)-D2),IF(E1="单套模式",IF(C2="——",ROUND(C49*D3/10000,4),ROUND(C49*D3/10000,4)-D2)))</f>
        <v>475.47609999999997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54099</v>
      </c>
      <c r="C3" s="354" t="s">
        <v>1665</v>
      </c>
      <c r="D3" s="353">
        <f>IF(D1="",'数据-汇总表'!E3,SUMIF('数据-汇总表'!$C19:$C33,D1,'数据-汇总表'!$E19:$E33))</f>
        <v>87.89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1"/>
      <c r="M4" s="2712"/>
      <c r="N4" s="2712"/>
      <c r="O4" s="2712"/>
      <c r="P4" s="3694" t="s">
        <v>1672</v>
      </c>
      <c r="Q4" s="3695"/>
      <c r="R4" s="3700" t="s">
        <v>1668</v>
      </c>
      <c r="S4" s="3701"/>
      <c r="T4" s="3700" t="s">
        <v>1669</v>
      </c>
      <c r="U4" s="3701"/>
      <c r="V4" s="3706" t="s">
        <v>1670</v>
      </c>
      <c r="W4" s="3706"/>
      <c r="X4" s="1355"/>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90"/>
      <c r="L5" s="2711"/>
      <c r="M5" s="2712"/>
      <c r="N5" s="2712"/>
      <c r="O5" s="2712"/>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1890" t="s">
        <v>1678</v>
      </c>
      <c r="L6" s="2711"/>
      <c r="M6" s="2712"/>
      <c r="N6" s="2712"/>
      <c r="O6" s="2712"/>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45162</v>
      </c>
      <c r="D7" s="365">
        <v>100</v>
      </c>
      <c r="E7" s="366">
        <v>45108</v>
      </c>
      <c r="F7" s="367">
        <f>SUMIF(58:58,YEAR(E7)&amp;"-"&amp;MONTH(E7),59:59)</f>
        <v>100</v>
      </c>
      <c r="G7" s="366">
        <v>45108</v>
      </c>
      <c r="H7" s="365">
        <f>SUMIF(58:58,YEAR(G7)&amp;"-"&amp;MONTH(G7),59:59)</f>
        <v>100</v>
      </c>
      <c r="I7" s="366">
        <v>44927</v>
      </c>
      <c r="J7" s="365">
        <f>SUMIF(58:58,YEAR(I7)&amp;"-"&amp;MONTH(I7),59:59)</f>
        <v>100</v>
      </c>
      <c r="K7" s="1891"/>
      <c r="L7" s="2713"/>
      <c r="M7" s="2714"/>
      <c r="N7" s="2714"/>
      <c r="O7" s="2714"/>
      <c r="P7" s="3711" t="s">
        <v>1680</v>
      </c>
      <c r="Q7" s="3713"/>
      <c r="R7" s="701" t="s">
        <v>20</v>
      </c>
      <c r="S7" s="702">
        <f t="shared" ref="S7:S15" si="0">F7</f>
        <v>100</v>
      </c>
      <c r="T7" s="701" t="s">
        <v>20</v>
      </c>
      <c r="U7" s="702">
        <f t="shared" ref="U7:U15" si="1">H7</f>
        <v>100</v>
      </c>
      <c r="V7" s="701" t="s">
        <v>20</v>
      </c>
      <c r="W7" s="702">
        <f t="shared" ref="W7:W15" si="2">J7</f>
        <v>100</v>
      </c>
      <c r="X7" s="703"/>
      <c r="Y7" s="3711" t="s">
        <v>1680</v>
      </c>
      <c r="Z7" s="3712"/>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8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8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86"/>
      <c r="Q11" s="1343" t="str">
        <f t="shared" si="6"/>
        <v>容积率</v>
      </c>
      <c r="R11" s="701" t="s">
        <v>18</v>
      </c>
      <c r="S11" s="702">
        <f t="shared" si="0"/>
        <v>100</v>
      </c>
      <c r="T11" s="701" t="s">
        <v>18</v>
      </c>
      <c r="U11" s="702">
        <f t="shared" si="1"/>
        <v>100</v>
      </c>
      <c r="V11" s="701" t="s">
        <v>18</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86"/>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86"/>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86"/>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周边有翡翠山晓家园、和煦小区、炮厂小区等住宅项目，住宅社区成熟度一般。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84" t="s">
        <v>1691</v>
      </c>
      <c r="Q15" s="1352" t="str">
        <f t="shared" si="6"/>
        <v>居住社区成熟度</v>
      </c>
      <c r="R15" s="705" t="s">
        <v>18</v>
      </c>
      <c r="S15" s="706">
        <f t="shared" si="0"/>
        <v>100</v>
      </c>
      <c r="T15" s="705" t="s">
        <v>18</v>
      </c>
      <c r="U15" s="706">
        <f t="shared" si="1"/>
        <v>100</v>
      </c>
      <c r="V15" s="705" t="s">
        <v>18</v>
      </c>
      <c r="W15" s="706">
        <f t="shared" si="2"/>
        <v>100</v>
      </c>
      <c r="X15" s="1355"/>
      <c r="Y15" s="3677" t="s">
        <v>1691</v>
      </c>
      <c r="Z15" s="1356" t="str">
        <f t="shared" si="7"/>
        <v>居住社区成熟度</v>
      </c>
      <c r="AA15" s="1353">
        <f t="shared" si="3"/>
        <v>1</v>
      </c>
      <c r="AB15" s="1353">
        <f t="shared" si="4"/>
        <v>1</v>
      </c>
      <c r="AC15" s="1353">
        <f t="shared" si="5"/>
        <v>1</v>
      </c>
    </row>
    <row r="16" spans="1:29" ht="15">
      <c r="A16" s="379"/>
      <c r="B16" s="397"/>
      <c r="C16" s="398" t="s">
        <v>3394</v>
      </c>
      <c r="D16" s="399"/>
      <c r="E16" s="398" t="s">
        <v>3394</v>
      </c>
      <c r="F16" s="399"/>
      <c r="G16" s="398" t="s">
        <v>3394</v>
      </c>
      <c r="H16" s="401"/>
      <c r="I16" s="398" t="s">
        <v>3394</v>
      </c>
      <c r="J16" s="399"/>
      <c r="K16" s="1899"/>
      <c r="L16" s="2718"/>
      <c r="M16" s="2712"/>
      <c r="N16" s="2712"/>
      <c r="O16" s="2712"/>
      <c r="P16" s="3685"/>
      <c r="Q16" s="1352"/>
      <c r="R16" s="705"/>
      <c r="S16" s="706"/>
      <c r="T16" s="705"/>
      <c r="U16" s="706"/>
      <c r="V16" s="705"/>
      <c r="W16" s="706"/>
      <c r="X16" s="1355"/>
      <c r="Y16" s="3678"/>
      <c r="Z16" s="1356"/>
      <c r="AA16" s="1353">
        <v>1</v>
      </c>
      <c r="AB16" s="1353">
        <v>1</v>
      </c>
      <c r="AC16" s="1353">
        <v>1</v>
      </c>
    </row>
    <row r="17" spans="1:29" ht="71.25">
      <c r="A17" s="379"/>
      <c r="B17" s="402" t="s">
        <v>1259</v>
      </c>
      <c r="C17" s="1900" t="str">
        <f>估价对象房地状况!C6</f>
        <v>周边有358路、489路、597路等多条公交线路经过并设站，周边3公里内无地铁，交通便捷度一般。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85"/>
      <c r="Q17" s="1352" t="str">
        <f>B17</f>
        <v>交通便捷度</v>
      </c>
      <c r="R17" s="705" t="s">
        <v>18</v>
      </c>
      <c r="S17" s="706">
        <f>F17</f>
        <v>100</v>
      </c>
      <c r="T17" s="705" t="s">
        <v>18</v>
      </c>
      <c r="U17" s="706">
        <f>H17</f>
        <v>100</v>
      </c>
      <c r="V17" s="705" t="s">
        <v>18</v>
      </c>
      <c r="W17" s="706">
        <f>J17</f>
        <v>100</v>
      </c>
      <c r="X17" s="1355"/>
      <c r="Y17" s="3678"/>
      <c r="Z17" s="1356" t="str">
        <f>Q17</f>
        <v>交通便捷度</v>
      </c>
      <c r="AA17" s="1353">
        <f t="shared" si="3"/>
        <v>1</v>
      </c>
      <c r="AB17" s="1353">
        <f t="shared" si="4"/>
        <v>1</v>
      </c>
      <c r="AC17" s="1353">
        <f t="shared" si="5"/>
        <v>1</v>
      </c>
    </row>
    <row r="18" spans="1:29" ht="15">
      <c r="A18" s="379"/>
      <c r="B18" s="407"/>
      <c r="C18" s="1901" t="s">
        <v>3394</v>
      </c>
      <c r="D18" s="401"/>
      <c r="E18" s="398" t="s">
        <v>3394</v>
      </c>
      <c r="F18" s="401"/>
      <c r="G18" s="398" t="s">
        <v>3394</v>
      </c>
      <c r="H18" s="399"/>
      <c r="I18" s="398" t="s">
        <v>3394</v>
      </c>
      <c r="J18" s="399"/>
      <c r="K18" s="1899"/>
      <c r="L18" s="2718"/>
      <c r="M18" s="2712"/>
      <c r="N18" s="2712"/>
      <c r="O18" s="2712"/>
      <c r="P18" s="3685"/>
      <c r="Q18" s="1352"/>
      <c r="R18" s="705"/>
      <c r="S18" s="706"/>
      <c r="T18" s="705"/>
      <c r="U18" s="706"/>
      <c r="V18" s="705"/>
      <c r="W18" s="706"/>
      <c r="X18" s="1355"/>
      <c r="Y18" s="3678"/>
      <c r="Z18" s="1356"/>
      <c r="AA18" s="1353">
        <v>1</v>
      </c>
      <c r="AB18" s="1353">
        <v>1</v>
      </c>
      <c r="AC18" s="1353">
        <v>1</v>
      </c>
    </row>
    <row r="19" spans="1:29" ht="42.75">
      <c r="A19" s="379"/>
      <c r="B19" s="402" t="s">
        <v>1258</v>
      </c>
      <c r="C19" s="1900" t="str">
        <f>估价对象房地状况!C7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85"/>
      <c r="Q19" s="1352" t="str">
        <f>B19</f>
        <v>公共配套设施</v>
      </c>
      <c r="R19" s="705" t="s">
        <v>18</v>
      </c>
      <c r="S19" s="706">
        <f>F19</f>
        <v>100</v>
      </c>
      <c r="T19" s="705" t="s">
        <v>18</v>
      </c>
      <c r="U19" s="706">
        <f>H19</f>
        <v>100</v>
      </c>
      <c r="V19" s="705" t="s">
        <v>18</v>
      </c>
      <c r="W19" s="706">
        <f>J19</f>
        <v>100</v>
      </c>
      <c r="X19" s="1355"/>
      <c r="Y19" s="3678"/>
      <c r="Z19" s="1356" t="str">
        <f>Q19</f>
        <v>公共配套设施</v>
      </c>
      <c r="AA19" s="1353">
        <f t="shared" si="3"/>
        <v>1</v>
      </c>
      <c r="AB19" s="1353">
        <f t="shared" si="4"/>
        <v>1</v>
      </c>
      <c r="AC19" s="1353">
        <f t="shared" si="5"/>
        <v>1</v>
      </c>
    </row>
    <row r="20" spans="1:29" ht="15">
      <c r="A20" s="379"/>
      <c r="B20" s="407"/>
      <c r="C20" s="398" t="s">
        <v>3394</v>
      </c>
      <c r="D20" s="399"/>
      <c r="E20" s="398" t="s">
        <v>3394</v>
      </c>
      <c r="F20" s="399"/>
      <c r="G20" s="398" t="s">
        <v>3394</v>
      </c>
      <c r="H20" s="399"/>
      <c r="I20" s="398" t="s">
        <v>3394</v>
      </c>
      <c r="J20" s="399"/>
      <c r="K20" s="1899"/>
      <c r="L20" s="2718"/>
      <c r="M20" s="2712"/>
      <c r="N20" s="2712"/>
      <c r="O20" s="2712"/>
      <c r="P20" s="3685"/>
      <c r="Q20" s="1352"/>
      <c r="R20" s="705"/>
      <c r="S20" s="706"/>
      <c r="T20" s="705"/>
      <c r="U20" s="706"/>
      <c r="V20" s="705"/>
      <c r="W20" s="706"/>
      <c r="X20" s="1355"/>
      <c r="Y20" s="367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t="s">
        <v>3841</v>
      </c>
      <c r="D22" s="399"/>
      <c r="E22" s="1901" t="s">
        <v>3841</v>
      </c>
      <c r="F22" s="399"/>
      <c r="G22" s="1901" t="s">
        <v>3841</v>
      </c>
      <c r="H22" s="399"/>
      <c r="I22" s="1901" t="s">
        <v>3841</v>
      </c>
      <c r="J22" s="399"/>
      <c r="K22" s="1905"/>
      <c r="L22" s="2718"/>
      <c r="M22" s="2712"/>
      <c r="N22" s="2712"/>
      <c r="O22" s="2712"/>
      <c r="P22" s="3685"/>
      <c r="Q22" s="1352"/>
      <c r="R22" s="705"/>
      <c r="S22" s="706"/>
      <c r="T22" s="705"/>
      <c r="U22" s="706"/>
      <c r="V22" s="705"/>
      <c r="W22" s="706"/>
      <c r="X22" s="1355"/>
      <c r="Y22" s="3678"/>
      <c r="Z22" s="1356"/>
      <c r="AA22" s="1353">
        <v>1</v>
      </c>
      <c r="AB22" s="1353">
        <v>1</v>
      </c>
      <c r="AC22" s="1353">
        <v>1</v>
      </c>
    </row>
    <row r="23" spans="1:29" ht="42.75">
      <c r="A23" s="379"/>
      <c r="B23" s="402" t="s">
        <v>1261</v>
      </c>
      <c r="C23" s="1900" t="str">
        <f>估价对象房地状况!C9</f>
        <v>估价对象周边有炮山城市森林公园、锦绣公园、青山公园、永定河引水渠等自然人文景观，总体自然人文环境较好。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85"/>
      <c r="Q23" s="1352" t="str">
        <f>B23</f>
        <v>自然及人文环境</v>
      </c>
      <c r="R23" s="705" t="s">
        <v>18</v>
      </c>
      <c r="S23" s="706">
        <f>F23</f>
        <v>100</v>
      </c>
      <c r="T23" s="705" t="s">
        <v>18</v>
      </c>
      <c r="U23" s="706">
        <f>H23</f>
        <v>100</v>
      </c>
      <c r="V23" s="705" t="s">
        <v>18</v>
      </c>
      <c r="W23" s="706">
        <f>J23</f>
        <v>100</v>
      </c>
      <c r="X23" s="1355"/>
      <c r="Y23" s="3678"/>
      <c r="Z23" s="1356" t="str">
        <f>Q23</f>
        <v>自然及人文环境</v>
      </c>
      <c r="AA23" s="1353">
        <f>D23/F23</f>
        <v>1</v>
      </c>
      <c r="AB23" s="1353">
        <f>D23/H23</f>
        <v>1</v>
      </c>
      <c r="AC23" s="1353">
        <f>D23/J23</f>
        <v>1</v>
      </c>
    </row>
    <row r="24" spans="1:29" ht="15">
      <c r="A24" s="379"/>
      <c r="B24" s="407"/>
      <c r="C24" s="398" t="s">
        <v>3395</v>
      </c>
      <c r="D24" s="399"/>
      <c r="E24" s="398" t="s">
        <v>3395</v>
      </c>
      <c r="F24" s="399"/>
      <c r="G24" s="398" t="s">
        <v>3395</v>
      </c>
      <c r="H24" s="399"/>
      <c r="I24" s="398" t="s">
        <v>3395</v>
      </c>
      <c r="J24" s="399"/>
      <c r="K24" s="1899"/>
      <c r="L24" s="2718"/>
      <c r="M24" s="2712"/>
      <c r="N24" s="2712"/>
      <c r="O24" s="2712"/>
      <c r="P24" s="3685"/>
      <c r="Q24" s="1352"/>
      <c r="R24" s="705"/>
      <c r="S24" s="706"/>
      <c r="T24" s="705"/>
      <c r="U24" s="706"/>
      <c r="V24" s="705"/>
      <c r="W24" s="706"/>
      <c r="X24" s="1355"/>
      <c r="Y24" s="367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85"/>
      <c r="Q26" s="1352" t="str">
        <f t="shared" si="11"/>
        <v>朝向</v>
      </c>
      <c r="R26" s="705" t="s">
        <v>18</v>
      </c>
      <c r="S26" s="706">
        <f t="shared" si="12"/>
        <v>100</v>
      </c>
      <c r="T26" s="705" t="s">
        <v>18</v>
      </c>
      <c r="U26" s="706">
        <f t="shared" si="13"/>
        <v>100</v>
      </c>
      <c r="V26" s="705" t="s">
        <v>18</v>
      </c>
      <c r="W26" s="706">
        <f t="shared" si="14"/>
        <v>100</v>
      </c>
      <c r="X26" s="1355"/>
      <c r="Y26" s="3678"/>
      <c r="Z26" s="1356" t="str">
        <f>Q26</f>
        <v>朝向</v>
      </c>
      <c r="AA26" s="1353">
        <f t="shared" si="15"/>
        <v>1</v>
      </c>
      <c r="AB26" s="1353">
        <f t="shared" si="16"/>
        <v>1</v>
      </c>
      <c r="AC26" s="1353">
        <f t="shared" si="17"/>
        <v>1</v>
      </c>
    </row>
    <row r="27" spans="1:29" s="108" customFormat="1" ht="15">
      <c r="A27" s="382"/>
      <c r="B27" s="3830" t="s">
        <v>3833</v>
      </c>
      <c r="C27" s="416" t="s">
        <v>3846</v>
      </c>
      <c r="D27" s="413">
        <v>100</v>
      </c>
      <c r="E27" s="416" t="s">
        <v>3843</v>
      </c>
      <c r="F27" s="413">
        <f>SUMIF(90:90,E27,91:91)-SUMIF(90:90,C27,91:91)+100</f>
        <v>99</v>
      </c>
      <c r="G27" s="416" t="s">
        <v>3843</v>
      </c>
      <c r="H27" s="413">
        <f>SUMIF(90:90,G27,91:91)-SUMIF(90:90,C27,91:91)+100</f>
        <v>99</v>
      </c>
      <c r="I27" s="416" t="s">
        <v>3844</v>
      </c>
      <c r="J27" s="413">
        <f>SUMIF(90:90,I27,91:91)-SUMIF(90:90,C27,91:91)+100</f>
        <v>100</v>
      </c>
      <c r="K27" s="1894"/>
      <c r="L27" s="2713"/>
      <c r="M27" s="2714"/>
      <c r="N27" s="2714"/>
      <c r="O27" s="2714"/>
      <c r="P27" s="3685"/>
      <c r="Q27" s="1343" t="str">
        <f t="shared" si="11"/>
        <v>楼层</v>
      </c>
      <c r="R27" s="701" t="s">
        <v>18</v>
      </c>
      <c r="S27" s="702">
        <f t="shared" si="12"/>
        <v>99</v>
      </c>
      <c r="T27" s="701" t="s">
        <v>18</v>
      </c>
      <c r="U27" s="702">
        <f t="shared" si="13"/>
        <v>99</v>
      </c>
      <c r="V27" s="701" t="s">
        <v>18</v>
      </c>
      <c r="W27" s="702">
        <f t="shared" si="14"/>
        <v>100</v>
      </c>
      <c r="X27" s="703"/>
      <c r="Y27" s="3678"/>
      <c r="Z27" s="52" t="str">
        <f>Q27</f>
        <v>楼层</v>
      </c>
      <c r="AA27" s="1353">
        <f t="shared" si="15"/>
        <v>1.0101010101010102</v>
      </c>
      <c r="AB27" s="1353">
        <f t="shared" si="16"/>
        <v>1.0101010101010102</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85"/>
      <c r="Q28" s="1352">
        <f t="shared" si="11"/>
        <v>111</v>
      </c>
      <c r="R28" s="705" t="s">
        <v>18</v>
      </c>
      <c r="S28" s="706">
        <f t="shared" si="12"/>
        <v>100</v>
      </c>
      <c r="T28" s="705" t="s">
        <v>18</v>
      </c>
      <c r="U28" s="706">
        <f t="shared" si="13"/>
        <v>100</v>
      </c>
      <c r="V28" s="705" t="s">
        <v>18</v>
      </c>
      <c r="W28" s="706">
        <f t="shared" si="14"/>
        <v>100</v>
      </c>
      <c r="X28" s="1355"/>
      <c r="Y28" s="36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85"/>
      <c r="Q29" s="1352">
        <f t="shared" si="11"/>
        <v>111</v>
      </c>
      <c r="R29" s="705" t="s">
        <v>18</v>
      </c>
      <c r="S29" s="706">
        <f t="shared" si="12"/>
        <v>100</v>
      </c>
      <c r="T29" s="705" t="s">
        <v>18</v>
      </c>
      <c r="U29" s="706">
        <f t="shared" si="13"/>
        <v>100</v>
      </c>
      <c r="V29" s="705" t="s">
        <v>18</v>
      </c>
      <c r="W29" s="706">
        <f t="shared" si="14"/>
        <v>100</v>
      </c>
      <c r="X29" s="1355"/>
      <c r="Y29" s="36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85"/>
      <c r="Q30" s="1352">
        <f t="shared" si="11"/>
        <v>111</v>
      </c>
      <c r="R30" s="705" t="s">
        <v>18</v>
      </c>
      <c r="S30" s="706">
        <f t="shared" si="12"/>
        <v>100</v>
      </c>
      <c r="T30" s="705" t="s">
        <v>18</v>
      </c>
      <c r="U30" s="706">
        <f t="shared" si="13"/>
        <v>100</v>
      </c>
      <c r="V30" s="705" t="s">
        <v>18</v>
      </c>
      <c r="W30" s="706">
        <f t="shared" si="14"/>
        <v>100</v>
      </c>
      <c r="X30" s="1355"/>
      <c r="Y30" s="367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85"/>
      <c r="Q31" s="1352">
        <f t="shared" si="11"/>
        <v>111</v>
      </c>
      <c r="R31" s="705" t="s">
        <v>18</v>
      </c>
      <c r="S31" s="706">
        <f t="shared" si="12"/>
        <v>100</v>
      </c>
      <c r="T31" s="705" t="s">
        <v>18</v>
      </c>
      <c r="U31" s="706">
        <f t="shared" si="13"/>
        <v>100</v>
      </c>
      <c r="V31" s="705" t="s">
        <v>18</v>
      </c>
      <c r="W31" s="706">
        <f t="shared" si="14"/>
        <v>100</v>
      </c>
      <c r="X31" s="1355"/>
      <c r="Y31" s="3678"/>
      <c r="Z31" s="1356">
        <f t="shared" si="18"/>
        <v>111</v>
      </c>
      <c r="AA31" s="1353">
        <f t="shared" si="15"/>
        <v>1</v>
      </c>
      <c r="AB31" s="1353">
        <f t="shared" si="16"/>
        <v>1</v>
      </c>
      <c r="AC31" s="1353">
        <f t="shared" si="17"/>
        <v>1</v>
      </c>
    </row>
    <row r="32" spans="1:29" ht="15">
      <c r="A32" s="391" t="s">
        <v>1694</v>
      </c>
      <c r="B32" s="63" t="s">
        <v>1695</v>
      </c>
      <c r="C32" s="1910" t="s">
        <v>3834</v>
      </c>
      <c r="D32" s="418">
        <v>100</v>
      </c>
      <c r="E32" s="1910" t="s">
        <v>3834</v>
      </c>
      <c r="F32" s="412">
        <f>SUMIF(100:100,E32,101:101)-SUMIF(100:100,C32,101:101)+100</f>
        <v>100</v>
      </c>
      <c r="G32" s="1910" t="s">
        <v>3834</v>
      </c>
      <c r="H32" s="418">
        <f>SUMIF(100:100,G32,101:101)-SUMIF(100:100,C32,101:101)+100</f>
        <v>100</v>
      </c>
      <c r="I32" s="1910" t="s">
        <v>3834</v>
      </c>
      <c r="J32" s="386">
        <f>SUMIF(100:100,I32,101:101)-SUMIF(100:100,C32,101:101)+100</f>
        <v>100</v>
      </c>
      <c r="K32" s="377"/>
      <c r="L32" s="2718"/>
      <c r="M32" s="2712"/>
      <c r="N32" s="2712"/>
      <c r="O32" s="2712"/>
      <c r="P32" s="3679"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87.89</v>
      </c>
      <c r="D33" s="127">
        <v>100</v>
      </c>
      <c r="E33" s="381">
        <f>Sheet1!T48</f>
        <v>88</v>
      </c>
      <c r="F33" s="376">
        <f>LOOKUP(E33,103:103,104:104)-LOOKUP(C33,103:103,104:104)+100</f>
        <v>100</v>
      </c>
      <c r="G33" s="380">
        <f>Sheet1!T49</f>
        <v>89</v>
      </c>
      <c r="H33" s="127">
        <f>LOOKUP(G33,103:103,104:104)-LOOKUP(C33,103:103,104:104)+100</f>
        <v>100</v>
      </c>
      <c r="I33" s="381">
        <f>Sheet1!T50</f>
        <v>88</v>
      </c>
      <c r="J33" s="127">
        <f>LOOKUP(I33,103:103,104:104)-LOOKUP(C33,103:103,104:104)+100</f>
        <v>100</v>
      </c>
      <c r="K33" s="1894"/>
      <c r="L33" s="2717"/>
      <c r="M33" s="2719"/>
      <c r="N33" s="2719"/>
      <c r="O33" s="2719"/>
      <c r="P33" s="3680"/>
      <c r="Q33" s="707" t="str">
        <f t="shared" si="11"/>
        <v>项目建筑规模</v>
      </c>
      <c r="R33" s="708" t="s">
        <v>18</v>
      </c>
      <c r="S33" s="709">
        <f t="shared" si="12"/>
        <v>100</v>
      </c>
      <c r="T33" s="708" t="s">
        <v>18</v>
      </c>
      <c r="U33" s="709">
        <f t="shared" si="13"/>
        <v>100</v>
      </c>
      <c r="V33" s="708" t="s">
        <v>18</v>
      </c>
      <c r="W33" s="709">
        <f t="shared" si="14"/>
        <v>100</v>
      </c>
      <c r="X33" s="710"/>
      <c r="Y33" s="3682"/>
      <c r="Z33" s="711" t="str">
        <f t="shared" si="18"/>
        <v>项目建筑规模</v>
      </c>
      <c r="AA33" s="1353">
        <f t="shared" si="15"/>
        <v>1</v>
      </c>
      <c r="AB33" s="1353">
        <f t="shared" si="16"/>
        <v>1</v>
      </c>
      <c r="AC33" s="1353">
        <f t="shared" si="17"/>
        <v>1</v>
      </c>
    </row>
    <row r="34" spans="1:29" ht="15">
      <c r="A34" s="423"/>
      <c r="B34" s="375" t="s">
        <v>1698</v>
      </c>
      <c r="C34" s="1911" t="s">
        <v>3387</v>
      </c>
      <c r="D34" s="386">
        <v>100</v>
      </c>
      <c r="E34" s="1911" t="s">
        <v>3387</v>
      </c>
      <c r="F34" s="412">
        <f>SUMIF(105:105,E34,106:106)-SUMIF(105:105,C34,106:106)+100</f>
        <v>100</v>
      </c>
      <c r="G34" s="1911" t="s">
        <v>3387</v>
      </c>
      <c r="H34" s="386">
        <f>SUMIF(105:105,G34,106:106)-SUMIF(105:105,C34,106:106)+100</f>
        <v>100</v>
      </c>
      <c r="I34" s="1911" t="s">
        <v>3387</v>
      </c>
      <c r="J34" s="386">
        <f>SUMIF(105:105,I34,106:106)-SUMIF(105:105,C34,106:106)+100</f>
        <v>100</v>
      </c>
      <c r="K34" s="377"/>
      <c r="L34" s="2718"/>
      <c r="M34" s="2712"/>
      <c r="N34" s="2712"/>
      <c r="O34" s="2712"/>
      <c r="P34" s="3680"/>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18"/>
      <c r="M35" s="2712"/>
      <c r="N35" s="2712"/>
      <c r="O35" s="2712"/>
      <c r="P35" s="3680"/>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t="s">
        <v>3837</v>
      </c>
      <c r="D36" s="386">
        <v>100</v>
      </c>
      <c r="E36" s="1906" t="s">
        <v>3837</v>
      </c>
      <c r="F36" s="412">
        <f>SUMIF(109:109,E36,110:110)-SUMIF(109:109,C36,110:110)+100</f>
        <v>100</v>
      </c>
      <c r="G36" s="1906" t="s">
        <v>3837</v>
      </c>
      <c r="H36" s="386">
        <f>SUMIF(109:109,G36,110:110)-SUMIF(109:109,C36,110:110)+100</f>
        <v>100</v>
      </c>
      <c r="I36" s="1906" t="s">
        <v>3837</v>
      </c>
      <c r="J36" s="386">
        <f>SUMIF(109:109,I36,110:110)-SUMIF(109:109,C36,110:110)+100</f>
        <v>100</v>
      </c>
      <c r="K36" s="377"/>
      <c r="L36" s="2718"/>
      <c r="M36" s="2712"/>
      <c r="N36" s="2712"/>
      <c r="O36" s="2712"/>
      <c r="P36" s="3680"/>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f>'数据-取费表'!N6</f>
        <v>0.97</v>
      </c>
      <c r="D37" s="127">
        <v>100</v>
      </c>
      <c r="E37" s="425">
        <f>C37</f>
        <v>0.97</v>
      </c>
      <c r="F37" s="376">
        <f>LOOKUP(E37,112:112,113:113)-LOOKUP(C37,112:112,113:113)+100</f>
        <v>100</v>
      </c>
      <c r="G37" s="425">
        <f>C37</f>
        <v>0.97</v>
      </c>
      <c r="H37" s="127">
        <f>LOOKUP(G37,112:112,113:113)-LOOKUP(C37,112:112,113:113)+100</f>
        <v>100</v>
      </c>
      <c r="I37" s="425">
        <f>C37</f>
        <v>0.97</v>
      </c>
      <c r="J37" s="127">
        <f>LOOKUP(I37,112:112,113:113)-LOOKUP(C37,112:112,113:113)+100</f>
        <v>100</v>
      </c>
      <c r="K37" s="377"/>
      <c r="L37" s="2713"/>
      <c r="M37" s="2714"/>
      <c r="N37" s="2714"/>
      <c r="O37" s="2714"/>
      <c r="P37" s="3680"/>
      <c r="Q37" s="1343" t="str">
        <f t="shared" si="11"/>
        <v>成新度</v>
      </c>
      <c r="R37" s="701" t="s">
        <v>18</v>
      </c>
      <c r="S37" s="702">
        <f t="shared" si="12"/>
        <v>100</v>
      </c>
      <c r="T37" s="701" t="s">
        <v>18</v>
      </c>
      <c r="U37" s="702">
        <f t="shared" si="13"/>
        <v>100</v>
      </c>
      <c r="V37" s="701" t="s">
        <v>18</v>
      </c>
      <c r="W37" s="702">
        <f t="shared" si="14"/>
        <v>100</v>
      </c>
      <c r="X37" s="703"/>
      <c r="Y37" s="3682"/>
      <c r="Z37" s="52" t="str">
        <f t="shared" si="18"/>
        <v>成新度</v>
      </c>
      <c r="AA37" s="704">
        <f t="shared" si="15"/>
        <v>1</v>
      </c>
      <c r="AB37" s="704">
        <f t="shared" si="16"/>
        <v>1</v>
      </c>
      <c r="AC37" s="704">
        <f t="shared" si="17"/>
        <v>1</v>
      </c>
    </row>
    <row r="38" spans="1:29" ht="15">
      <c r="A38" s="423"/>
      <c r="B38" s="375" t="s">
        <v>1702</v>
      </c>
      <c r="C38" s="1906" t="s">
        <v>3839</v>
      </c>
      <c r="D38" s="386">
        <v>100</v>
      </c>
      <c r="E38" s="1906" t="s">
        <v>3839</v>
      </c>
      <c r="F38" s="412">
        <f>SUMIF(114:114,E38,115:115)-SUMIF(114:114,C38,115:115)+100</f>
        <v>100</v>
      </c>
      <c r="G38" s="1906" t="s">
        <v>3839</v>
      </c>
      <c r="H38" s="386">
        <f>SUMIF(114:114,G38,115:115)-SUMIF(114:114,C38,115:115)+100</f>
        <v>100</v>
      </c>
      <c r="I38" s="1906" t="s">
        <v>3839</v>
      </c>
      <c r="J38" s="386">
        <f>SUMIF(114:114,I38,115:115)-SUMIF(114:114,C38,115:115)+100</f>
        <v>100</v>
      </c>
      <c r="K38" s="377"/>
      <c r="L38" s="2718"/>
      <c r="M38" s="2712"/>
      <c r="N38" s="2712"/>
      <c r="O38" s="2712"/>
      <c r="P38" s="3680"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t="s">
        <v>3841</v>
      </c>
      <c r="D39" s="386">
        <v>100</v>
      </c>
      <c r="E39" s="1906" t="s">
        <v>3841</v>
      </c>
      <c r="F39" s="412">
        <f>SUMIF(116:116,E39,117:117)-SUMIF(116:116,C39,117:117)+100</f>
        <v>100</v>
      </c>
      <c r="G39" s="1906" t="s">
        <v>3841</v>
      </c>
      <c r="H39" s="386">
        <f>SUMIF(116:116,G39,117:117)-SUMIF(116:116,C39,117:117)+100</f>
        <v>100</v>
      </c>
      <c r="I39" s="1906" t="s">
        <v>3841</v>
      </c>
      <c r="J39" s="386">
        <f>SUMIF(116:116,I39,117:117)-SUMIF(116:116,C39,117:117)+100</f>
        <v>100</v>
      </c>
      <c r="K39" s="377"/>
      <c r="L39" s="2718"/>
      <c r="M39" s="2712"/>
      <c r="N39" s="2712"/>
      <c r="O39" s="2712"/>
      <c r="P39" s="3680"/>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8"/>
      <c r="M40" s="2712"/>
      <c r="N40" s="2712"/>
      <c r="O40" s="2712"/>
      <c r="P40" s="3680"/>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7"/>
      <c r="M41" s="2719"/>
      <c r="N41" s="2719"/>
      <c r="O41" s="2719"/>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t="s">
        <v>3837</v>
      </c>
      <c r="D42" s="386">
        <v>100</v>
      </c>
      <c r="E42" s="1906" t="s">
        <v>3837</v>
      </c>
      <c r="F42" s="412">
        <f>SUMIF(122:122,E42,123:123)-SUMIF(122:122,C42,123:123)+100</f>
        <v>100</v>
      </c>
      <c r="G42" s="1906" t="s">
        <v>3837</v>
      </c>
      <c r="H42" s="386">
        <f>SUMIF(122:122,G42,123:123)-SUMIF(122:122,C42,123:123)+100</f>
        <v>100</v>
      </c>
      <c r="I42" s="1906" t="s">
        <v>3837</v>
      </c>
      <c r="J42" s="386">
        <f>SUMIF(122:122,I42,123:123)-SUMIF(122:122,C42,123:123)+100</f>
        <v>100</v>
      </c>
      <c r="K42" s="377"/>
      <c r="L42" s="2718"/>
      <c r="M42" s="2712"/>
      <c r="N42" s="2712"/>
      <c r="O42" s="2712"/>
      <c r="P42" s="3680"/>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t="s">
        <v>3395</v>
      </c>
      <c r="D43" s="386">
        <v>100</v>
      </c>
      <c r="E43" s="1906" t="s">
        <v>3395</v>
      </c>
      <c r="F43" s="412">
        <f>SUMIF(124:124,E43,125:125)-SUMIF(124:124,C43,125:125)+100</f>
        <v>100</v>
      </c>
      <c r="G43" s="1906" t="s">
        <v>3395</v>
      </c>
      <c r="H43" s="386">
        <f>SUMIF(124:124,G43,125:125)-SUMIF(124:124,C43,125:125)+100</f>
        <v>100</v>
      </c>
      <c r="I43" s="1906" t="s">
        <v>3395</v>
      </c>
      <c r="J43" s="386">
        <f>SUMIF(124:124,I43,125:125)-SUMIF(124:124,C43,125:125)+100</f>
        <v>100</v>
      </c>
      <c r="K43" s="377"/>
      <c r="L43" s="2718"/>
      <c r="M43" s="2712"/>
      <c r="N43" s="2712"/>
      <c r="O43" s="2712"/>
      <c r="P43" s="3680"/>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80"/>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80"/>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81"/>
      <c r="Q46" s="1352">
        <f t="shared" si="11"/>
        <v>111</v>
      </c>
      <c r="R46" s="705" t="s">
        <v>17</v>
      </c>
      <c r="S46" s="706">
        <f t="shared" si="12"/>
        <v>100</v>
      </c>
      <c r="T46" s="705" t="s">
        <v>17</v>
      </c>
      <c r="U46" s="706">
        <f t="shared" si="13"/>
        <v>100</v>
      </c>
      <c r="V46" s="705" t="s">
        <v>17</v>
      </c>
      <c r="W46" s="706">
        <f t="shared" si="14"/>
        <v>100</v>
      </c>
      <c r="X46" s="1355"/>
      <c r="Y46" s="3683"/>
      <c r="Z46" s="1356">
        <f t="shared" si="18"/>
        <v>111</v>
      </c>
      <c r="AA46" s="1353">
        <f t="shared" si="15"/>
        <v>1</v>
      </c>
      <c r="AB46" s="1353">
        <f t="shared" si="16"/>
        <v>1</v>
      </c>
      <c r="AC46" s="1353">
        <f t="shared" si="17"/>
        <v>1</v>
      </c>
    </row>
    <row r="47" spans="1:29" ht="15">
      <c r="A47" s="430" t="s">
        <v>1708</v>
      </c>
      <c r="B47" s="431"/>
      <c r="C47" s="1154" t="s">
        <v>16</v>
      </c>
      <c r="D47" s="1155"/>
      <c r="E47" s="1156">
        <f>Sheet1!U48</f>
        <v>54625</v>
      </c>
      <c r="F47" s="1157"/>
      <c r="G47" s="1158">
        <f>Sheet1!U49</f>
        <v>54625</v>
      </c>
      <c r="H47" s="1159"/>
      <c r="I47" s="1156">
        <f>Sheet1!U50</f>
        <v>51943</v>
      </c>
      <c r="J47" s="1159"/>
      <c r="K47" s="1912"/>
      <c r="L47" s="2720"/>
      <c r="M47" s="2721"/>
      <c r="N47" s="2712"/>
      <c r="O47" s="2721"/>
      <c r="P47" s="3675" t="str">
        <f>A47</f>
        <v>成交单价（元/平方米）</v>
      </c>
      <c r="Q47" s="3675"/>
      <c r="R47" s="3676">
        <f>E47</f>
        <v>54625</v>
      </c>
      <c r="S47" s="3676"/>
      <c r="T47" s="3676">
        <f>G47</f>
        <v>54625</v>
      </c>
      <c r="U47" s="3676"/>
      <c r="V47" s="3676">
        <f>I47</f>
        <v>51943</v>
      </c>
      <c r="W47" s="3676"/>
      <c r="X47" s="690"/>
      <c r="Y47" s="712"/>
      <c r="Z47" s="690"/>
      <c r="AA47" s="690"/>
      <c r="AB47" s="690"/>
      <c r="AC47" s="690"/>
    </row>
    <row r="48" spans="1:29" ht="15.75" thickBot="1">
      <c r="A48" s="437" t="s">
        <v>1709</v>
      </c>
      <c r="B48" s="438"/>
      <c r="C48" s="1160">
        <f>R49</f>
        <v>54099</v>
      </c>
      <c r="D48" s="2315" t="s">
        <v>2138</v>
      </c>
      <c r="E48" s="1161">
        <f>R48</f>
        <v>55177</v>
      </c>
      <c r="F48" s="2316"/>
      <c r="G48" s="1160">
        <f>T48</f>
        <v>55177</v>
      </c>
      <c r="H48" s="2316"/>
      <c r="I48" s="1161">
        <f>V48</f>
        <v>51943</v>
      </c>
      <c r="J48" s="2316"/>
      <c r="K48" s="2317">
        <f>F48+H48+J48</f>
        <v>0</v>
      </c>
      <c r="L48" s="2720"/>
      <c r="M48" s="2721"/>
      <c r="N48" s="2721"/>
      <c r="O48" s="2721"/>
      <c r="P48" s="3675" t="str">
        <f>A48</f>
        <v>比较价值（元/平方米）</v>
      </c>
      <c r="Q48" s="3675"/>
      <c r="R48" s="3676">
        <f>IF(F1="售价",ROUND(PRODUCT(R47,AA7:AA46),0),ROUND(PRODUCT(R47,AA7:AA46),1))</f>
        <v>55177</v>
      </c>
      <c r="S48" s="3676"/>
      <c r="T48" s="3676">
        <f>IF(F1="售价",ROUND(PRODUCT(T47,AB7:AB46),0),ROUND(PRODUCT(T47,AB7:AB46),1))</f>
        <v>55177</v>
      </c>
      <c r="U48" s="3676"/>
      <c r="V48" s="3676">
        <f>IF(F1="售价",ROUND(PRODUCT(V47,AC7:AC46),0),ROUND(PRODUCT(V47,AC7:AC46),1))</f>
        <v>51943</v>
      </c>
      <c r="W48" s="3676"/>
      <c r="X48" s="690"/>
      <c r="Y48" s="690"/>
      <c r="Z48" s="690"/>
      <c r="AA48" s="690"/>
      <c r="AB48" s="690"/>
      <c r="AC48" s="690"/>
    </row>
    <row r="49" spans="1:29" ht="15.75" thickBot="1">
      <c r="A49" s="441" t="s">
        <v>1710</v>
      </c>
      <c r="B49" s="442"/>
      <c r="C49" s="1162">
        <f>R49</f>
        <v>54099</v>
      </c>
      <c r="D49" s="1163"/>
      <c r="E49" s="1163"/>
      <c r="F49" s="1163"/>
      <c r="G49" s="1163"/>
      <c r="H49" s="1163"/>
      <c r="I49" s="1163"/>
      <c r="J49" s="1163"/>
      <c r="K49" s="1913"/>
      <c r="L49" s="2720"/>
      <c r="M49" s="2721"/>
      <c r="N49" s="2721"/>
      <c r="O49" s="2721"/>
      <c r="P49" s="3672" t="str">
        <f>A49</f>
        <v>估价对象XX用房的比较价值（楼面单价，元/平方米）</v>
      </c>
      <c r="Q49" s="3673"/>
      <c r="R49" s="3674">
        <f>IF(F1="售价",ROUND(IF(D48="简单平均",AVERAGE(R48:V48),R48*F48+T48*H48+V48*J48),0),ROUND(IF(D48="简单平均",AVERAGE(R48:V48),R48*F48+T48*H48+V48*J48),1))</f>
        <v>54099</v>
      </c>
      <c r="S49" s="3674"/>
      <c r="T49" s="3674"/>
      <c r="U49" s="3674"/>
      <c r="V49" s="3674"/>
      <c r="W49" s="367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1.0105263157894839E-2</v>
      </c>
      <c r="F52" s="449" t="str">
        <f>IF(OR(E52&gt;=0.3,E52&lt;=-0.3),"超过30%","")</f>
        <v/>
      </c>
      <c r="G52" s="448">
        <f>IF(G47&lt;G48,G48/G47-1,G47/G48-1)</f>
        <v>1.0105263157894839E-2</v>
      </c>
      <c r="H52" s="449" t="str">
        <f>IF(OR(G52&gt;=0.3,G52&lt;=-0.3),"超过30%","")</f>
        <v/>
      </c>
      <c r="I52" s="448">
        <f>IF(I47&lt;I48,I48/I47-1,I47/I48-1)</f>
        <v>0</v>
      </c>
      <c r="J52" s="449" t="str">
        <f>IF(OR(I52&gt;=0.3,I52&lt;=-0.3),"超过30%","")</f>
        <v/>
      </c>
      <c r="K52" s="2726"/>
      <c r="L52" s="2722"/>
      <c r="M52" s="2721"/>
      <c r="N52" s="2721"/>
      <c r="O52" s="2721"/>
    </row>
    <row r="53" spans="1:29" ht="13.5" customHeight="1">
      <c r="A53" s="2721"/>
      <c r="B53" s="2721"/>
      <c r="C53" s="446" t="s">
        <v>1712</v>
      </c>
      <c r="D53" s="450"/>
      <c r="E53" s="448">
        <f>IF(E48&lt;G48,G48/E48-1,E48/G48-1)</f>
        <v>0</v>
      </c>
      <c r="F53" s="449" t="str">
        <f>IF(OR(E53&gt;=0.2,E53&lt;=-0.2),"超过20%","")</f>
        <v/>
      </c>
      <c r="G53" s="448">
        <f>IF(G48&lt;I48,I48/G48-1,G48/I48-1)</f>
        <v>6.2260554838958093E-2</v>
      </c>
      <c r="H53" s="449" t="str">
        <f>IF(OR(G53&gt;=0.2,G53&lt;=-0.2),"超过20%","")</f>
        <v/>
      </c>
      <c r="I53" s="448">
        <f>IF(I48&lt;E48,E48/I48-1,I48/E48-1)</f>
        <v>6.2260554838958093E-2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v>
      </c>
      <c r="F54" s="449" t="str">
        <f>IF(OR(E54&gt;=0.3,E54&lt;=-0.3),"超过30%","")</f>
        <v/>
      </c>
      <c r="G54" s="448">
        <f>IF(G47&lt;I47,I47/G47-1,G47/I47-1)</f>
        <v>5.1633521359952361E-2</v>
      </c>
      <c r="H54" s="449" t="str">
        <f>IF(OR(G54&gt;=0.3,G54&lt;=-0.3),"超过30%","")</f>
        <v/>
      </c>
      <c r="I54" s="448">
        <f>IF(I47&lt;E47,E47/I47-1,I47/E47-1)</f>
        <v>5.1633521359952361E-2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7"/>
      <c r="C59" s="1183">
        <v>100</v>
      </c>
      <c r="D59" s="460">
        <v>100</v>
      </c>
      <c r="E59" s="461">
        <v>100</v>
      </c>
      <c r="F59" s="461">
        <v>100</v>
      </c>
      <c r="G59" s="461">
        <v>100</v>
      </c>
      <c r="H59" s="461">
        <v>100</v>
      </c>
      <c r="I59" s="461">
        <v>100</v>
      </c>
      <c r="J59" s="461">
        <v>100</v>
      </c>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t="str">
        <f>B27</f>
        <v>楼层</v>
      </c>
      <c r="C90" s="3832" t="s">
        <v>3843</v>
      </c>
      <c r="D90" s="3832" t="s">
        <v>3844</v>
      </c>
      <c r="E90" s="3832" t="s">
        <v>3845</v>
      </c>
      <c r="F90" s="3832" t="s">
        <v>3846</v>
      </c>
      <c r="G90" s="3832" t="s">
        <v>3847</v>
      </c>
      <c r="H90" s="3832"/>
      <c r="I90" s="504"/>
      <c r="J90" s="504"/>
      <c r="K90" s="504"/>
      <c r="L90" s="505"/>
      <c r="M90" s="506"/>
      <c r="N90" s="935"/>
      <c r="O90" s="935"/>
      <c r="P90" s="1921"/>
      <c r="Q90" s="508"/>
    </row>
    <row r="91" spans="1:17" s="422" customFormat="1" ht="15.75" thickBot="1">
      <c r="A91" s="502"/>
      <c r="B91" s="492"/>
      <c r="C91" s="509">
        <v>100</v>
      </c>
      <c r="D91" s="509">
        <v>101</v>
      </c>
      <c r="E91" s="509">
        <v>102</v>
      </c>
      <c r="F91" s="509">
        <v>101</v>
      </c>
      <c r="G91" s="509">
        <v>100</v>
      </c>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71" t="s">
        <v>3835</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4"/>
      <c r="O104" s="934"/>
      <c r="P104" s="1921"/>
      <c r="Q104" s="508"/>
    </row>
    <row r="105" spans="1:17" ht="15" thickTop="1">
      <c r="A105" s="548"/>
      <c r="B105" s="487" t="s">
        <v>1738</v>
      </c>
      <c r="C105" s="3831" t="s">
        <v>3836</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831" t="s">
        <v>3838</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831" t="s">
        <v>3840</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831" t="s">
        <v>3842</v>
      </c>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831" t="s">
        <v>3838</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K57"/>
  <sheetViews>
    <sheetView view="pageBreakPreview" zoomScale="90" zoomScaleNormal="70" zoomScaleSheetLayoutView="90" workbookViewId="0">
      <selection activeCell="E3" sqref="E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9" width="9" style="251" customWidth="1"/>
    <col min="10" max="10" width="11.875" style="251" customWidth="1"/>
    <col min="11" max="254" width="9" style="251" customWidth="1"/>
    <col min="255" max="16384" width="8.375" style="251"/>
  </cols>
  <sheetData>
    <row r="1" spans="1:11" s="200" customFormat="1" ht="20.25">
      <c r="A1" s="196" t="s">
        <v>1461</v>
      </c>
      <c r="B1" s="1470" t="s">
        <v>3377</v>
      </c>
      <c r="C1" s="1859" t="s">
        <v>1563</v>
      </c>
      <c r="D1" s="198"/>
      <c r="E1" s="198"/>
      <c r="F1" s="198"/>
      <c r="G1" s="1126">
        <f>MATCH(B1,'数据-取费表'!A6:A16,0)+5</f>
        <v>6</v>
      </c>
      <c r="H1" s="1061" t="str">
        <f>IF(ISERROR(FIND("住宅",B1)),"非住宅","住宅")</f>
        <v>住宅</v>
      </c>
    </row>
    <row r="2" spans="1:11" s="200" customFormat="1" ht="18" customHeight="1">
      <c r="A2" s="201" t="s">
        <v>1462</v>
      </c>
      <c r="B2" s="3420">
        <f ca="1">ROUND(IF(D2="——",C52/10000,C52/10000-E2),4)</f>
        <v>245.6574</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27951</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1315743</v>
      </c>
      <c r="D5" s="211" t="s">
        <v>1469</v>
      </c>
      <c r="E5" s="212" t="s">
        <v>1470</v>
      </c>
      <c r="F5" s="212" t="s">
        <v>1471</v>
      </c>
      <c r="G5" s="213"/>
    </row>
    <row r="6" spans="1:11" s="214" customFormat="1" ht="13.5" customHeight="1">
      <c r="A6" s="778" t="s">
        <v>1472</v>
      </c>
      <c r="B6" s="215" t="s">
        <v>1473</v>
      </c>
      <c r="C6" s="216">
        <f>ROUND(基准地价修正!C33*基准地价修正!D33,0)</f>
        <v>1263155</v>
      </c>
      <c r="D6" s="217"/>
      <c r="E6" s="218"/>
      <c r="F6" s="218"/>
      <c r="G6" s="219"/>
    </row>
    <row r="7" spans="1:11" s="214" customFormat="1" ht="13.5" customHeight="1">
      <c r="A7" s="778" t="s">
        <v>1474</v>
      </c>
      <c r="B7" s="215" t="s">
        <v>1475</v>
      </c>
      <c r="C7" s="220">
        <f>ROUND(C6*F7,0)</f>
        <v>38526</v>
      </c>
      <c r="D7" s="220"/>
      <c r="E7" s="218"/>
      <c r="F7" s="221">
        <f>IF(项目基本情况!B8="出让",0,'数据-取费表'!B48+'数据-取费表'!B49)</f>
        <v>3.0499999999999999E-2</v>
      </c>
      <c r="G7" s="219"/>
      <c r="I7" s="214">
        <v>24720</v>
      </c>
      <c r="J7" s="3475">
        <v>43046</v>
      </c>
    </row>
    <row r="8" spans="1:11" s="223" customFormat="1">
      <c r="A8" s="778" t="s">
        <v>1476</v>
      </c>
      <c r="B8" s="215" t="s">
        <v>1477</v>
      </c>
      <c r="C8" s="220">
        <f ca="1">IF(G8="已包含在土地购买价格中",0,C9+C10)</f>
        <v>14062</v>
      </c>
      <c r="D8" s="222"/>
      <c r="E8" s="220"/>
      <c r="F8" s="221"/>
      <c r="G8" s="1856" t="s">
        <v>3397</v>
      </c>
      <c r="I8" s="223">
        <v>1</v>
      </c>
      <c r="J8" s="3476">
        <v>45162</v>
      </c>
      <c r="K8" s="223">
        <f>J8-J7</f>
        <v>2116</v>
      </c>
    </row>
    <row r="9" spans="1:11" s="214" customFormat="1" ht="13.5" customHeight="1">
      <c r="A9" s="779" t="s">
        <v>355</v>
      </c>
      <c r="B9" s="224" t="s">
        <v>1478</v>
      </c>
      <c r="C9" s="225">
        <f ca="1">ROUND(D9*E9,0)</f>
        <v>14062</v>
      </c>
      <c r="D9" s="845">
        <f ca="1">IF(B1="",'数据-汇总表'!E5,IF(INDIRECT("'数据-取费表'!c"&amp;$G$1)="住宅",INDIRECT("'数据-取费表'!k"&amp;$G$1),0))</f>
        <v>87.89</v>
      </c>
      <c r="E9" s="225">
        <f>'数据-取费表'!B27</f>
        <v>160</v>
      </c>
      <c r="F9" s="221"/>
      <c r="G9" s="226"/>
      <c r="K9" s="214">
        <v>5</v>
      </c>
    </row>
    <row r="10" spans="1:11"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c r="I10" s="3477" t="s">
        <v>3831</v>
      </c>
      <c r="J10" s="1128">
        <f ca="1">ROUND(I7*(POWER((1+F22),K9)-1),0)</f>
        <v>6456</v>
      </c>
    </row>
    <row r="11" spans="1:11" s="214" customFormat="1" ht="13.5" hidden="1" customHeight="1">
      <c r="A11" s="227" t="s">
        <v>4</v>
      </c>
      <c r="B11" s="215" t="s">
        <v>1481</v>
      </c>
      <c r="C11" s="211"/>
      <c r="D11" s="847"/>
      <c r="E11" s="218"/>
      <c r="F11" s="218"/>
      <c r="G11" s="219"/>
      <c r="J11" s="3479"/>
    </row>
    <row r="12" spans="1:11" s="214" customFormat="1" ht="13.5" hidden="1" customHeight="1">
      <c r="A12" s="227" t="s">
        <v>5</v>
      </c>
      <c r="B12" s="215" t="s">
        <v>1564</v>
      </c>
      <c r="C12" s="211">
        <v>0</v>
      </c>
      <c r="D12" s="847"/>
      <c r="E12" s="228"/>
      <c r="F12" s="221">
        <v>3.0499999999999999E-2</v>
      </c>
      <c r="G12" s="219"/>
      <c r="J12" s="3479"/>
    </row>
    <row r="13" spans="1:11" s="214" customFormat="1" ht="13.5" hidden="1" customHeight="1">
      <c r="A13" s="227" t="s">
        <v>6</v>
      </c>
      <c r="B13" s="215" t="s">
        <v>1565</v>
      </c>
      <c r="C13" s="211"/>
      <c r="D13" s="847"/>
      <c r="E13" s="218"/>
      <c r="F13" s="218"/>
      <c r="G13" s="219"/>
      <c r="J13" s="3479"/>
    </row>
    <row r="14" spans="1:11" s="214" customFormat="1" ht="13.5" hidden="1" customHeight="1">
      <c r="A14" s="227" t="s">
        <v>7</v>
      </c>
      <c r="B14" s="215" t="s">
        <v>1477</v>
      </c>
      <c r="C14" s="211"/>
      <c r="D14" s="847"/>
      <c r="E14" s="218"/>
      <c r="F14" s="218"/>
      <c r="G14" s="219" t="s">
        <v>1566</v>
      </c>
      <c r="J14" s="3479"/>
    </row>
    <row r="15" spans="1:11" s="214" customFormat="1" ht="13.5" hidden="1" customHeight="1">
      <c r="A15" s="227" t="s">
        <v>8</v>
      </c>
      <c r="B15" s="215" t="s">
        <v>1567</v>
      </c>
      <c r="C15" s="220"/>
      <c r="D15" s="847"/>
      <c r="E15" s="218"/>
      <c r="F15" s="218"/>
      <c r="G15" s="219" t="s">
        <v>1568</v>
      </c>
      <c r="J15" s="3479"/>
    </row>
    <row r="16" spans="1:11" s="214" customFormat="1" ht="13.5" hidden="1" customHeight="1">
      <c r="A16" s="227" t="s">
        <v>9</v>
      </c>
      <c r="B16" s="215" t="s">
        <v>1477</v>
      </c>
      <c r="C16" s="220"/>
      <c r="D16" s="847"/>
      <c r="E16" s="218"/>
      <c r="F16" s="218"/>
      <c r="G16" s="219"/>
      <c r="J16" s="3479"/>
    </row>
    <row r="17" spans="1:10" s="214" customFormat="1" ht="13.5" hidden="1" customHeight="1">
      <c r="A17" s="227" t="s">
        <v>10</v>
      </c>
      <c r="B17" s="215" t="s">
        <v>1569</v>
      </c>
      <c r="C17" s="229"/>
      <c r="D17" s="848"/>
      <c r="E17" s="229"/>
      <c r="F17" s="229"/>
      <c r="G17" s="219" t="s">
        <v>1568</v>
      </c>
      <c r="J17" s="3479"/>
    </row>
    <row r="18" spans="1:10" s="214" customFormat="1" ht="13.5" hidden="1" customHeight="1">
      <c r="A18" s="227" t="s">
        <v>11</v>
      </c>
      <c r="B18" s="215" t="s">
        <v>1570</v>
      </c>
      <c r="C18" s="220">
        <v>0</v>
      </c>
      <c r="D18" s="847"/>
      <c r="E18" s="218"/>
      <c r="F18" s="221">
        <v>3.0499999999999999E-2</v>
      </c>
      <c r="G18" s="219" t="s">
        <v>1571</v>
      </c>
      <c r="J18" s="3479"/>
    </row>
    <row r="19" spans="1:10" s="223" customFormat="1" ht="13.5" customHeight="1">
      <c r="A19" s="255" t="s">
        <v>1572</v>
      </c>
      <c r="B19" s="210" t="s">
        <v>1573</v>
      </c>
      <c r="C19" s="211" t="str">
        <f>IF(G19="已包含在土地取得成本中","0",ROUND(D19*E19,0))</f>
        <v>0</v>
      </c>
      <c r="D19" s="849">
        <f ca="1">D9+D10</f>
        <v>87.89</v>
      </c>
      <c r="E19" s="211">
        <f>'数据-取费表'!B31</f>
        <v>200</v>
      </c>
      <c r="F19" s="231"/>
      <c r="G19" s="1856" t="s">
        <v>3398</v>
      </c>
      <c r="I19" s="3478"/>
      <c r="J19" s="3480"/>
    </row>
    <row r="20" spans="1:10" s="214" customFormat="1" ht="13.5" customHeight="1">
      <c r="A20" s="255" t="s">
        <v>1574</v>
      </c>
      <c r="B20" s="210" t="s">
        <v>1575</v>
      </c>
      <c r="C20" s="232">
        <f ca="1">ROUND((C5+C19)*F20,0)</f>
        <v>26315</v>
      </c>
      <c r="D20" s="232"/>
      <c r="E20" s="232"/>
      <c r="F20" s="233">
        <f>'数据-取费表'!B37</f>
        <v>0.02</v>
      </c>
      <c r="G20" s="234" t="s">
        <v>1576</v>
      </c>
      <c r="I20" s="214">
        <f ca="1">I7+J10</f>
        <v>31176</v>
      </c>
    </row>
    <row r="21" spans="1:10" s="214" customFormat="1" ht="13.5" customHeight="1">
      <c r="A21" s="255" t="s">
        <v>1577</v>
      </c>
      <c r="B21" s="210" t="s">
        <v>1578</v>
      </c>
      <c r="C21" s="235">
        <f>F21</f>
        <v>0.02</v>
      </c>
      <c r="D21" s="236" t="s">
        <v>1579</v>
      </c>
      <c r="E21" s="232"/>
      <c r="F21" s="233">
        <f>'数据-取费表'!B38</f>
        <v>0.02</v>
      </c>
      <c r="G21" s="234" t="s">
        <v>1580</v>
      </c>
    </row>
    <row r="22" spans="1:10" s="214" customFormat="1" ht="13.5" customHeight="1">
      <c r="A22" s="255" t="s">
        <v>1581</v>
      </c>
      <c r="B22" s="210" t="s">
        <v>1582</v>
      </c>
      <c r="C22" s="1127">
        <f ca="1">ROUND(SUM(C23:C25),0)</f>
        <v>129214</v>
      </c>
      <c r="D22" s="235">
        <f ca="1">C26</f>
        <v>1E-3</v>
      </c>
      <c r="E22" s="236" t="s">
        <v>1579</v>
      </c>
      <c r="F22" s="237">
        <f ca="1">'数据-取费表'!B40</f>
        <v>4.7500000000000001E-2</v>
      </c>
      <c r="G22" s="234" t="str">
        <f>IF('数据-取费表'!B22&lt;=1,"单利计息","复利计息")</f>
        <v>复利计息</v>
      </c>
    </row>
    <row r="23" spans="1:10" s="214" customFormat="1" ht="13.5" customHeight="1">
      <c r="A23" s="780" t="s">
        <v>1472</v>
      </c>
      <c r="B23" s="215" t="s">
        <v>1583</v>
      </c>
      <c r="C23" s="1128">
        <f ca="1">ROUND(IF('数据-取费表'!B22&lt;=1,C5*F22*'数据-取费表'!B22,C5*(POWER((1+F22),'数据-取费表'!B22)-1)),0)</f>
        <v>127964</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1250</v>
      </c>
      <c r="D25" s="238"/>
      <c r="E25" s="241"/>
      <c r="F25" s="239"/>
      <c r="G25" s="242" t="s">
        <v>1588</v>
      </c>
    </row>
    <row r="26" spans="1:10" s="214" customFormat="1">
      <c r="A26" s="780" t="s">
        <v>350</v>
      </c>
      <c r="B26" s="215" t="s">
        <v>1511</v>
      </c>
      <c r="C26" s="238">
        <f ca="1">ROUND(IF('数据-取费表'!B22&lt;=1,F21*F22*'数据-取费表'!B22/2,F21*(POWER((1+F22),'数据-取费表'!B22/2)-1)),4)</f>
        <v>1E-3</v>
      </c>
      <c r="D26" s="238"/>
      <c r="E26" s="241"/>
      <c r="F26" s="239"/>
      <c r="G26" s="243"/>
    </row>
    <row r="27" spans="1:10" s="214" customFormat="1" ht="24.75">
      <c r="A27" s="255" t="s">
        <v>1512</v>
      </c>
      <c r="B27" s="244" t="s">
        <v>1513</v>
      </c>
      <c r="C27" s="245">
        <f ca="1">C28</f>
        <v>335515</v>
      </c>
      <c r="D27" s="235">
        <f ca="1">C29</f>
        <v>5.0000000000000001E-3</v>
      </c>
      <c r="E27" s="236" t="s">
        <v>1514</v>
      </c>
      <c r="F27" s="246">
        <f ca="1">IF(B1="",'数据-取费表'!Q16,INDIRECT("'数据-取费表'!q"&amp;$G$1))</f>
        <v>0.25</v>
      </c>
      <c r="G27" s="247" t="s">
        <v>1515</v>
      </c>
    </row>
    <row r="28" spans="1:10" s="214" customFormat="1" ht="13.5" customHeight="1">
      <c r="A28" s="780" t="s">
        <v>346</v>
      </c>
      <c r="B28" s="248" t="s">
        <v>1516</v>
      </c>
      <c r="C28" s="249">
        <f ca="1">ROUND((C5+C19+C20)*F27,0)</f>
        <v>335515</v>
      </c>
      <c r="D28" s="235"/>
      <c r="E28" s="236"/>
      <c r="F28" s="246"/>
      <c r="G28" s="247"/>
    </row>
    <row r="29" spans="1:10" s="214" customFormat="1" ht="13.5" customHeight="1">
      <c r="A29" s="780" t="s">
        <v>347</v>
      </c>
      <c r="B29" s="248" t="s">
        <v>1517</v>
      </c>
      <c r="C29" s="238">
        <f ca="1">ROUND(C21*F27,4)</f>
        <v>5.0000000000000001E-3</v>
      </c>
      <c r="D29" s="235"/>
      <c r="E29" s="236"/>
      <c r="F29" s="246"/>
      <c r="G29" s="247"/>
    </row>
    <row r="30" spans="1:10" s="214" customFormat="1" ht="13.5" customHeight="1">
      <c r="A30" s="255" t="s">
        <v>1518</v>
      </c>
      <c r="B30" s="210" t="s">
        <v>1519</v>
      </c>
      <c r="C30" s="235">
        <f>ROUND(F30/(1+'数据-取费表'!C42),4)</f>
        <v>5.33E-2</v>
      </c>
      <c r="D30" s="236" t="s">
        <v>1514</v>
      </c>
      <c r="E30" s="241"/>
      <c r="F30" s="237">
        <f>'数据-取费表'!B41</f>
        <v>5.6000000000000001E-2</v>
      </c>
      <c r="G30" s="234" t="s">
        <v>1520</v>
      </c>
    </row>
    <row r="31" spans="1:10" ht="16.5" customHeight="1">
      <c r="A31" s="209">
        <v>1</v>
      </c>
      <c r="B31" s="210" t="s">
        <v>1521</v>
      </c>
      <c r="C31" s="211">
        <f ca="1">ROUND((C5+C19+C20+C22+C27)/(1-C21-D22-D27-C30),0)</f>
        <v>1962406</v>
      </c>
      <c r="D31" s="230"/>
      <c r="E31" s="211"/>
      <c r="F31" s="250"/>
      <c r="G31" s="234" t="s">
        <v>1522</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354416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307615</v>
      </c>
      <c r="D34" s="217"/>
      <c r="E34" s="220"/>
      <c r="F34" s="257"/>
      <c r="G34" s="219"/>
    </row>
    <row r="35" spans="1:7" ht="13.5" customHeight="1">
      <c r="A35" s="780" t="s">
        <v>351</v>
      </c>
      <c r="B35" s="215" t="s">
        <v>1527</v>
      </c>
      <c r="C35" s="220">
        <f ca="1">ROUND(C34*F35,0)</f>
        <v>9228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15381</v>
      </c>
      <c r="D36" s="220"/>
      <c r="E36" s="220"/>
      <c r="F36" s="259">
        <f>'数据-取费表'!B34</f>
        <v>0.05</v>
      </c>
      <c r="G36" s="260" t="s">
        <v>1530</v>
      </c>
    </row>
    <row r="37" spans="1:7" s="258" customFormat="1" ht="13.5" customHeight="1">
      <c r="A37" s="780" t="s">
        <v>353</v>
      </c>
      <c r="B37" s="215" t="s">
        <v>1531</v>
      </c>
      <c r="C37" s="249">
        <f ca="1">ROUND(E37*D37,0)</f>
        <v>17578</v>
      </c>
      <c r="D37" s="217">
        <f ca="1">D19</f>
        <v>87.89</v>
      </c>
      <c r="E37" s="249">
        <f>'数据-取费表'!B35</f>
        <v>200</v>
      </c>
      <c r="F37" s="259"/>
      <c r="G37" s="261"/>
    </row>
    <row r="38" spans="1:7" ht="13.5" customHeight="1">
      <c r="A38" s="780" t="s">
        <v>354</v>
      </c>
      <c r="B38" s="215" t="s">
        <v>1533</v>
      </c>
      <c r="C38" s="220">
        <f ca="1">ROUND(C34*F38,0)</f>
        <v>4614</v>
      </c>
      <c r="D38" s="220"/>
      <c r="E38" s="220"/>
      <c r="F38" s="259">
        <f>'数据-取费表'!B36</f>
        <v>1.4999999999999999E-2</v>
      </c>
      <c r="G38" s="219" t="s">
        <v>1528</v>
      </c>
    </row>
    <row r="39" spans="1:7" s="214" customFormat="1" ht="13.5" customHeight="1">
      <c r="A39" s="255" t="s">
        <v>1534</v>
      </c>
      <c r="B39" s="210" t="s">
        <v>1535</v>
      </c>
      <c r="C39" s="232">
        <f ca="1">ROUND(C33*F20,0)</f>
        <v>7088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17172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16835</v>
      </c>
      <c r="D42" s="238"/>
      <c r="E42" s="238"/>
      <c r="F42" s="239"/>
      <c r="G42" s="3664" t="s">
        <v>1591</v>
      </c>
    </row>
    <row r="43" spans="1:7" ht="13.5" customHeight="1">
      <c r="A43" s="780" t="s">
        <v>347</v>
      </c>
      <c r="B43" s="215" t="s">
        <v>1545</v>
      </c>
      <c r="C43" s="238">
        <f ca="1">ROUND(IF('数据-取费表'!B22&lt;=1,C39*F22*'数据-取费表'!B20/2,C39*(POWER((1+F22),'数据-取费表'!B20/2)-1)),0)</f>
        <v>337</v>
      </c>
      <c r="D43" s="238"/>
      <c r="E43" s="238"/>
      <c r="F43" s="239"/>
      <c r="G43" s="3665"/>
    </row>
    <row r="44" spans="1:7" ht="13.5" customHeight="1">
      <c r="A44" s="780" t="s">
        <v>348</v>
      </c>
      <c r="B44" s="215" t="s">
        <v>1546</v>
      </c>
      <c r="C44" s="238">
        <f ca="1">ROUND(IF('数据-取费表'!B22&lt;=1,C40*F22*'数据-取费表'!B20/2,C40*(POWER((1+F22),'数据-取费表'!B20/2)-1)),4)</f>
        <v>1E-3</v>
      </c>
      <c r="D44" s="238"/>
      <c r="E44" s="238"/>
      <c r="F44" s="239"/>
      <c r="G44" s="3666"/>
    </row>
    <row r="45" spans="1:7" s="214" customFormat="1" ht="13.5" customHeight="1">
      <c r="A45" s="255" t="s">
        <v>1547</v>
      </c>
      <c r="B45" s="244" t="s">
        <v>1513</v>
      </c>
      <c r="C45" s="245">
        <f ca="1">C46</f>
        <v>90376</v>
      </c>
      <c r="D45" s="235">
        <f ca="1">C47</f>
        <v>5.0000000000000001E-3</v>
      </c>
      <c r="E45" s="236" t="s">
        <v>1539</v>
      </c>
      <c r="F45" s="246">
        <f ca="1">F27</f>
        <v>0.25</v>
      </c>
      <c r="G45" s="247" t="s">
        <v>1548</v>
      </c>
    </row>
    <row r="46" spans="1:7" s="214" customFormat="1" ht="13.5" customHeight="1">
      <c r="A46" s="780" t="s">
        <v>346</v>
      </c>
      <c r="B46" s="248" t="s">
        <v>1549</v>
      </c>
      <c r="C46" s="249">
        <f ca="1">ROUND((C33+C39)*F27,0)</f>
        <v>90376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509452</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494168</v>
      </c>
      <c r="D51" s="232"/>
      <c r="E51" s="232"/>
      <c r="F51" s="264"/>
      <c r="G51" s="234" t="s">
        <v>1560</v>
      </c>
    </row>
    <row r="52" spans="1:7" s="208" customFormat="1" ht="16.5" thickBot="1">
      <c r="A52" s="265" t="s">
        <v>1561</v>
      </c>
      <c r="B52" s="266"/>
      <c r="C52" s="267">
        <f ca="1">C31+C51</f>
        <v>2456574</v>
      </c>
      <c r="D52" s="266"/>
      <c r="E52" s="266"/>
      <c r="F52" s="266"/>
      <c r="G52" s="268"/>
    </row>
    <row r="55" spans="1:7" ht="15">
      <c r="B55" s="270" t="s">
        <v>1562</v>
      </c>
      <c r="C55" s="271"/>
    </row>
    <row r="56" spans="1:7">
      <c r="B56" s="273" t="s">
        <v>802</v>
      </c>
      <c r="C56" s="275">
        <f ca="1">1-C57</f>
        <v>0.79899999999999993</v>
      </c>
    </row>
    <row r="57" spans="1:7">
      <c r="B57" s="273" t="s">
        <v>803</v>
      </c>
      <c r="C57" s="274">
        <f ca="1">ROUND(C51/C52,3)</f>
        <v>0.20100000000000001</v>
      </c>
    </row>
  </sheetData>
  <sheetProtection formatCells="0"/>
  <mergeCells count="1">
    <mergeCell ref="G42:G44"/>
  </mergeCells>
  <phoneticPr fontId="134" type="noConversion"/>
  <dataValidations disablePrompts="1"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A26" zoomScale="90" zoomScaleNormal="60" zoomScaleSheetLayoutView="90" workbookViewId="0">
      <selection activeCell="G46" sqref="G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228</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18058</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1"/>
      <c r="M5" s="2712"/>
      <c r="N5" s="2712"/>
      <c r="O5" s="2712"/>
      <c r="P5" s="3696"/>
      <c r="Q5" s="3697"/>
      <c r="R5" s="3702"/>
      <c r="S5" s="3703"/>
      <c r="T5" s="3702"/>
      <c r="U5" s="3703"/>
      <c r="V5" s="3706"/>
      <c r="W5" s="3706"/>
      <c r="X5" s="1355"/>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1"/>
      <c r="M6" s="2712"/>
      <c r="N6" s="2712"/>
      <c r="O6" s="2712"/>
      <c r="P6" s="3698"/>
      <c r="Q6" s="3699"/>
      <c r="R6" s="3702"/>
      <c r="S6" s="3703"/>
      <c r="T6" s="3704"/>
      <c r="U6" s="3705"/>
      <c r="V6" s="3706"/>
      <c r="W6" s="3706"/>
      <c r="X6" s="1355"/>
      <c r="Y6" s="3704"/>
      <c r="Z6" s="3705"/>
      <c r="AA6" s="3689"/>
      <c r="AB6" s="3689"/>
      <c r="AC6" s="3689"/>
    </row>
    <row r="7" spans="1:30" s="108" customFormat="1" ht="15.75" thickBot="1">
      <c r="A7" s="362" t="s">
        <v>1679</v>
      </c>
      <c r="B7" s="363"/>
      <c r="C7" s="364">
        <f>'数据-取费表'!B2</f>
        <v>45162</v>
      </c>
      <c r="D7" s="365">
        <v>100</v>
      </c>
      <c r="E7" s="366">
        <v>45139</v>
      </c>
      <c r="F7" s="367">
        <f>SUMIF(69:69,YEAR(E7)&amp;"-"&amp;INT((MONTH(E7)+2)/3),70:70)</f>
        <v>100</v>
      </c>
      <c r="G7" s="1972">
        <v>45139</v>
      </c>
      <c r="H7" s="365">
        <f>SUMIF(69:69,YEAR(G7)&amp;"-"&amp;INT((MONTH(G7)+2)/3),70:70)</f>
        <v>100</v>
      </c>
      <c r="I7" s="1972">
        <v>45139</v>
      </c>
      <c r="J7" s="365">
        <f>SUMIF(69:69,YEAR(I7)&amp;"-"&amp;INT((MONTH(I7)+2)/3),70:70)</f>
        <v>100</v>
      </c>
      <c r="K7" s="560"/>
      <c r="L7" s="2713"/>
      <c r="M7" s="2714"/>
      <c r="N7" s="2714"/>
      <c r="O7" s="2714"/>
      <c r="P7" s="3711" t="s">
        <v>1680</v>
      </c>
      <c r="Q7" s="3713"/>
      <c r="R7" s="701" t="s">
        <v>14</v>
      </c>
      <c r="S7" s="702">
        <f t="shared" ref="S7:S15" si="0">F7</f>
        <v>100</v>
      </c>
      <c r="T7" s="701" t="s">
        <v>14</v>
      </c>
      <c r="U7" s="702">
        <f t="shared" ref="U7:U15" si="1">H7</f>
        <v>100</v>
      </c>
      <c r="V7" s="701" t="s">
        <v>14</v>
      </c>
      <c r="W7" s="702">
        <f t="shared" ref="W7:W15" si="2">J7</f>
        <v>100</v>
      </c>
      <c r="X7" s="703"/>
      <c r="Y7" s="3711" t="s">
        <v>1680</v>
      </c>
      <c r="Z7" s="3712"/>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45" si="3">D8/F8</f>
        <v>1</v>
      </c>
      <c r="AB8" s="704">
        <f t="shared" ref="AB8:AB45" si="4">D8/H8</f>
        <v>1</v>
      </c>
      <c r="AC8" s="704">
        <f t="shared" ref="AC8:AC45" si="5">D8/J8</f>
        <v>1</v>
      </c>
    </row>
    <row r="9" spans="1:30" s="108" customFormat="1" ht="15">
      <c r="A9" s="369" t="s">
        <v>1684</v>
      </c>
      <c r="B9" s="63" t="s">
        <v>1685</v>
      </c>
      <c r="C9" s="1975" t="s">
        <v>3829</v>
      </c>
      <c r="D9" s="126">
        <v>100</v>
      </c>
      <c r="E9" s="1975" t="s">
        <v>3377</v>
      </c>
      <c r="F9" s="126">
        <f>SUMIF(74:74,E9,75:75)-SUMIF(74:74,C9,75:75)+100</f>
        <v>105</v>
      </c>
      <c r="G9" s="1975" t="s">
        <v>3377</v>
      </c>
      <c r="H9" s="126">
        <f>SUMIF(74:74,G9,75:75)-SUMIF(74:74,C9,75:75)+100</f>
        <v>105</v>
      </c>
      <c r="I9" s="1975" t="s">
        <v>3377</v>
      </c>
      <c r="J9" s="126">
        <f>SUMIF(74:74,I9,75:75)-SUMIF(74:74,C9,75:75)+100</f>
        <v>105</v>
      </c>
      <c r="K9" s="560"/>
      <c r="L9" s="2713"/>
      <c r="M9" s="2714"/>
      <c r="N9" s="2714"/>
      <c r="O9" s="2768"/>
      <c r="P9" s="3675" t="s">
        <v>1686</v>
      </c>
      <c r="Q9" s="1343" t="str">
        <f t="shared" ref="Q9:Q15" si="6">B9</f>
        <v>用途</v>
      </c>
      <c r="R9" s="701" t="s">
        <v>14</v>
      </c>
      <c r="S9" s="702">
        <f t="shared" si="0"/>
        <v>105</v>
      </c>
      <c r="T9" s="701" t="s">
        <v>14</v>
      </c>
      <c r="U9" s="702">
        <f t="shared" si="1"/>
        <v>105</v>
      </c>
      <c r="V9" s="701" t="s">
        <v>14</v>
      </c>
      <c r="W9" s="702">
        <f t="shared" si="2"/>
        <v>105</v>
      </c>
      <c r="X9" s="703"/>
      <c r="Y9" s="3571"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项目基本情况!C15</f>
        <v>64.349999999999994</v>
      </c>
      <c r="D10" s="127">
        <v>100</v>
      </c>
      <c r="E10" s="416" t="s">
        <v>3827</v>
      </c>
      <c r="F10" s="127">
        <f>ROUND(100/'数据-取费表'!G16,0)</f>
        <v>102</v>
      </c>
      <c r="G10" s="414" t="s">
        <v>3827</v>
      </c>
      <c r="H10" s="127">
        <f>ROUND(100/'数据-取费表'!G16,0)</f>
        <v>102</v>
      </c>
      <c r="I10" s="414" t="s">
        <v>3827</v>
      </c>
      <c r="J10" s="127">
        <f>ROUND(100/'数据-取费表'!G16,0)</f>
        <v>102</v>
      </c>
      <c r="K10" s="620"/>
      <c r="L10" s="2715"/>
      <c r="M10" s="2716"/>
      <c r="N10" s="2716"/>
      <c r="O10" s="2769"/>
      <c r="P10" s="3675"/>
      <c r="Q10" s="1343" t="str">
        <f t="shared" si="6"/>
        <v>土地使用年限（年）</v>
      </c>
      <c r="R10" s="701" t="s">
        <v>14</v>
      </c>
      <c r="S10" s="702">
        <f t="shared" si="0"/>
        <v>102</v>
      </c>
      <c r="T10" s="701" t="s">
        <v>14</v>
      </c>
      <c r="U10" s="702">
        <f t="shared" si="1"/>
        <v>102</v>
      </c>
      <c r="V10" s="701" t="s">
        <v>14</v>
      </c>
      <c r="W10" s="702">
        <f t="shared" si="2"/>
        <v>102</v>
      </c>
      <c r="X10" s="703"/>
      <c r="Y10" s="3571"/>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7"/>
      <c r="M11" s="2712"/>
      <c r="N11" s="2712"/>
      <c r="O11" s="2770"/>
      <c r="P11" s="3675"/>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75"/>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75"/>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75"/>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周边有翡翠山晓家园、和煦小区、炮厂小区等住宅项目，住宅社区成熟度一般。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7" t="s">
        <v>1691</v>
      </c>
      <c r="Q15" s="1352" t="str">
        <f t="shared" si="6"/>
        <v>居住社区成熟度</v>
      </c>
      <c r="R15" s="705" t="s">
        <v>14</v>
      </c>
      <c r="S15" s="706">
        <f t="shared" si="0"/>
        <v>100</v>
      </c>
      <c r="T15" s="705" t="s">
        <v>14</v>
      </c>
      <c r="U15" s="706">
        <f t="shared" si="1"/>
        <v>100</v>
      </c>
      <c r="V15" s="705" t="s">
        <v>14</v>
      </c>
      <c r="W15" s="706">
        <f t="shared" si="2"/>
        <v>100</v>
      </c>
      <c r="X15" s="1355"/>
      <c r="Y15" s="36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8"/>
      <c r="Q16" s="1352"/>
      <c r="R16" s="705"/>
      <c r="S16" s="706"/>
      <c r="T16" s="705"/>
      <c r="U16" s="706"/>
      <c r="V16" s="705"/>
      <c r="W16" s="706"/>
      <c r="X16" s="1355"/>
      <c r="Y16" s="3678"/>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8"/>
      <c r="Q17" s="1352" t="str">
        <f>B17</f>
        <v>商业繁华度</v>
      </c>
      <c r="R17" s="705" t="s">
        <v>14</v>
      </c>
      <c r="S17" s="706">
        <f>F17</f>
        <v>100</v>
      </c>
      <c r="T17" s="705" t="s">
        <v>14</v>
      </c>
      <c r="U17" s="706">
        <f>H17</f>
        <v>100</v>
      </c>
      <c r="V17" s="705" t="s">
        <v>14</v>
      </c>
      <c r="W17" s="706">
        <f>J17</f>
        <v>100</v>
      </c>
      <c r="X17" s="1355"/>
      <c r="Y17" s="36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8"/>
      <c r="Q18" s="1352"/>
      <c r="R18" s="705"/>
      <c r="S18" s="706"/>
      <c r="T18" s="705"/>
      <c r="U18" s="706"/>
      <c r="V18" s="705"/>
      <c r="W18" s="706"/>
      <c r="X18" s="1355"/>
      <c r="Y18" s="3678"/>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8"/>
      <c r="Q19" s="1352" t="str">
        <f>B19</f>
        <v>办公集聚程度</v>
      </c>
      <c r="R19" s="705" t="s">
        <v>14</v>
      </c>
      <c r="S19" s="706">
        <f>F19</f>
        <v>100</v>
      </c>
      <c r="T19" s="705" t="s">
        <v>14</v>
      </c>
      <c r="U19" s="706">
        <f>H19</f>
        <v>100</v>
      </c>
      <c r="V19" s="705" t="s">
        <v>14</v>
      </c>
      <c r="W19" s="706">
        <f>J19</f>
        <v>100</v>
      </c>
      <c r="X19" s="1355"/>
      <c r="Y19" s="36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8"/>
      <c r="Q20" s="1352"/>
      <c r="R20" s="705"/>
      <c r="S20" s="706"/>
      <c r="T20" s="705"/>
      <c r="U20" s="706"/>
      <c r="V20" s="705"/>
      <c r="W20" s="706"/>
      <c r="X20" s="1355"/>
      <c r="Y20" s="3678"/>
      <c r="Z20" s="1356"/>
      <c r="AA20" s="1353">
        <v>1</v>
      </c>
      <c r="AB20" s="1353">
        <v>1</v>
      </c>
      <c r="AC20" s="1353">
        <v>1</v>
      </c>
    </row>
    <row r="21" spans="1:29" ht="85.5">
      <c r="A21" s="379"/>
      <c r="B21" s="402" t="s">
        <v>1833</v>
      </c>
      <c r="C21" s="1900" t="str">
        <f>估价对象房地状况!C18</f>
        <v>周边有358路、489路、597路等多条公交线路经过并设站，周边3公里内无地铁，交通便捷度一般。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8"/>
      <c r="Q21" s="1352" t="str">
        <f>B21</f>
        <v>交通便捷度</v>
      </c>
      <c r="R21" s="705" t="s">
        <v>14</v>
      </c>
      <c r="S21" s="706">
        <f>F21</f>
        <v>100</v>
      </c>
      <c r="T21" s="705" t="s">
        <v>14</v>
      </c>
      <c r="U21" s="706">
        <f>H21</f>
        <v>100</v>
      </c>
      <c r="V21" s="705" t="s">
        <v>14</v>
      </c>
      <c r="W21" s="706">
        <f>J21</f>
        <v>100</v>
      </c>
      <c r="X21" s="1355"/>
      <c r="Y21" s="36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8"/>
      <c r="Q22" s="1352"/>
      <c r="R22" s="705"/>
      <c r="S22" s="706"/>
      <c r="T22" s="705"/>
      <c r="U22" s="706"/>
      <c r="V22" s="705"/>
      <c r="W22" s="706"/>
      <c r="X22" s="1355"/>
      <c r="Y22" s="367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8"/>
      <c r="Q23" s="1352" t="str">
        <f t="shared" ref="Q23:Q37" si="8">B23</f>
        <v>区域土地利用方向</v>
      </c>
      <c r="R23" s="705" t="s">
        <v>14</v>
      </c>
      <c r="S23" s="706">
        <f>F23</f>
        <v>100</v>
      </c>
      <c r="T23" s="705" t="s">
        <v>14</v>
      </c>
      <c r="U23" s="706">
        <f>H23</f>
        <v>100</v>
      </c>
      <c r="V23" s="705" t="s">
        <v>14</v>
      </c>
      <c r="W23" s="706">
        <f>J23</f>
        <v>100</v>
      </c>
      <c r="X23" s="1355"/>
      <c r="Y23" s="36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8"/>
      <c r="Q24" s="1352"/>
      <c r="R24" s="705"/>
      <c r="S24" s="706"/>
      <c r="T24" s="705"/>
      <c r="U24" s="706"/>
      <c r="V24" s="705"/>
      <c r="W24" s="706"/>
      <c r="X24" s="1355"/>
      <c r="Y24" s="3678"/>
      <c r="Z24" s="1356"/>
      <c r="AA24" s="1353"/>
      <c r="AB24" s="1353"/>
      <c r="AC24" s="1353"/>
    </row>
    <row r="25" spans="1:29" ht="57">
      <c r="A25" s="358"/>
      <c r="B25" s="1131" t="s">
        <v>1872</v>
      </c>
      <c r="C25" s="1953" t="str">
        <f>估价对象房地状况!C20</f>
        <v>估价对象周边有炮山城市森林公园、锦绣公园、青山公园、永定河引水渠等自然人文景观，总体自然人文环境较好。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8"/>
      <c r="Q25" s="1352" t="str">
        <f t="shared" si="8"/>
        <v>自然及人文环境状况</v>
      </c>
      <c r="R25" s="705" t="s">
        <v>14</v>
      </c>
      <c r="S25" s="706">
        <f>F25</f>
        <v>100</v>
      </c>
      <c r="T25" s="705" t="s">
        <v>14</v>
      </c>
      <c r="U25" s="706">
        <f>H25</f>
        <v>100</v>
      </c>
      <c r="V25" s="705" t="s">
        <v>14</v>
      </c>
      <c r="W25" s="706">
        <f>J25</f>
        <v>100</v>
      </c>
      <c r="X25" s="1355"/>
      <c r="Y25" s="36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8"/>
      <c r="Q26" s="1352"/>
      <c r="R26" s="705"/>
      <c r="S26" s="706"/>
      <c r="T26" s="705"/>
      <c r="U26" s="706"/>
      <c r="V26" s="705"/>
      <c r="W26" s="706"/>
      <c r="X26" s="1355"/>
      <c r="Y26" s="3678"/>
      <c r="Z26" s="1356"/>
      <c r="AA26" s="1353">
        <v>1</v>
      </c>
      <c r="AB26" s="1353">
        <v>1</v>
      </c>
      <c r="AC26" s="1353">
        <v>1</v>
      </c>
    </row>
    <row r="27" spans="1:29" s="108" customFormat="1" ht="42.75">
      <c r="A27" s="597"/>
      <c r="B27" s="1131" t="s">
        <v>1778</v>
      </c>
      <c r="C27" s="1900" t="str">
        <f>估价对象房地状况!C21</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8"/>
      <c r="Q27" s="1343" t="str">
        <f t="shared" si="8"/>
        <v>公共配套设施</v>
      </c>
      <c r="R27" s="701" t="s">
        <v>14</v>
      </c>
      <c r="S27" s="702">
        <f>F27</f>
        <v>100</v>
      </c>
      <c r="T27" s="701" t="s">
        <v>14</v>
      </c>
      <c r="U27" s="702">
        <f>H27</f>
        <v>100</v>
      </c>
      <c r="V27" s="701" t="s">
        <v>14</v>
      </c>
      <c r="W27" s="702">
        <f>J27</f>
        <v>100</v>
      </c>
      <c r="X27" s="703"/>
      <c r="Y27" s="367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678"/>
      <c r="Q28" s="1343"/>
      <c r="R28" s="701"/>
      <c r="S28" s="702"/>
      <c r="T28" s="701"/>
      <c r="U28" s="702"/>
      <c r="V28" s="701"/>
      <c r="W28" s="702"/>
      <c r="X28" s="703"/>
      <c r="Y28" s="367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8"/>
      <c r="Q29" s="1343"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678"/>
      <c r="Q30" s="1343"/>
      <c r="R30" s="701"/>
      <c r="S30" s="702"/>
      <c r="T30" s="701"/>
      <c r="U30" s="702"/>
      <c r="V30" s="701"/>
      <c r="W30" s="702"/>
      <c r="X30" s="703"/>
      <c r="Y30" s="367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8"/>
      <c r="Q32" s="1352" t="str">
        <f t="shared" si="8"/>
        <v>毗邻道路的类型与等级</v>
      </c>
      <c r="R32" s="705" t="s">
        <v>14</v>
      </c>
      <c r="S32" s="706">
        <f t="shared" si="10"/>
        <v>100</v>
      </c>
      <c r="T32" s="705" t="s">
        <v>14</v>
      </c>
      <c r="U32" s="706">
        <f t="shared" si="11"/>
        <v>100</v>
      </c>
      <c r="V32" s="705" t="s">
        <v>14</v>
      </c>
      <c r="W32" s="706">
        <f t="shared" si="12"/>
        <v>100</v>
      </c>
      <c r="X32" s="1355"/>
      <c r="Y32" s="36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8"/>
      <c r="Q33" s="1352"/>
      <c r="R33" s="705"/>
      <c r="S33" s="706"/>
      <c r="T33" s="705"/>
      <c r="U33" s="706"/>
      <c r="V33" s="705"/>
      <c r="W33" s="706"/>
      <c r="X33" s="1355"/>
      <c r="Y33" s="367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8"/>
      <c r="Q34" s="1352" t="str">
        <f t="shared" si="8"/>
        <v>土地级别</v>
      </c>
      <c r="R34" s="705" t="s">
        <v>14</v>
      </c>
      <c r="S34" s="706">
        <f t="shared" si="10"/>
        <v>100</v>
      </c>
      <c r="T34" s="705" t="s">
        <v>14</v>
      </c>
      <c r="U34" s="706">
        <f t="shared" si="11"/>
        <v>100</v>
      </c>
      <c r="V34" s="705" t="s">
        <v>14</v>
      </c>
      <c r="W34" s="706">
        <f t="shared" si="12"/>
        <v>100</v>
      </c>
      <c r="X34" s="1355"/>
      <c r="Y34" s="36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8"/>
      <c r="Q35" s="1352">
        <f t="shared" si="8"/>
        <v>111</v>
      </c>
      <c r="R35" s="705" t="s">
        <v>14</v>
      </c>
      <c r="S35" s="706">
        <f t="shared" si="10"/>
        <v>100</v>
      </c>
      <c r="T35" s="705" t="s">
        <v>14</v>
      </c>
      <c r="U35" s="706">
        <f t="shared" si="11"/>
        <v>100</v>
      </c>
      <c r="V35" s="705" t="s">
        <v>14</v>
      </c>
      <c r="W35" s="706">
        <f t="shared" si="12"/>
        <v>100</v>
      </c>
      <c r="X35" s="1355"/>
      <c r="Y35" s="36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1"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8"/>
      <c r="M38" s="2712"/>
      <c r="N38" s="2712"/>
      <c r="O38" s="2770"/>
      <c r="P38" s="3682"/>
      <c r="Q38" s="1352" t="str">
        <f>B38</f>
        <v>宗地面积</v>
      </c>
      <c r="R38" s="705" t="s">
        <v>14</v>
      </c>
      <c r="S38" s="706">
        <f t="shared" si="10"/>
        <v>100</v>
      </c>
      <c r="T38" s="705" t="s">
        <v>14</v>
      </c>
      <c r="U38" s="706">
        <f t="shared" si="11"/>
        <v>100</v>
      </c>
      <c r="V38" s="705" t="s">
        <v>14</v>
      </c>
      <c r="W38" s="706">
        <f t="shared" si="12"/>
        <v>100</v>
      </c>
      <c r="X38" s="1355"/>
      <c r="Y38" s="3682"/>
      <c r="Z38" s="1356" t="str">
        <f t="shared" si="13"/>
        <v>宗地面积</v>
      </c>
      <c r="AA38" s="1353">
        <f t="shared" si="3"/>
        <v>1</v>
      </c>
      <c r="AB38" s="1353">
        <f t="shared" si="4"/>
        <v>1</v>
      </c>
      <c r="AC38" s="1353">
        <f t="shared" si="5"/>
        <v>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0" t="s">
        <v>1879</v>
      </c>
      <c r="C46" s="630" t="s">
        <v>0</v>
      </c>
      <c r="D46" s="432"/>
      <c r="E46" s="433">
        <f>土地成交案例!O2</f>
        <v>27429</v>
      </c>
      <c r="F46" s="434"/>
      <c r="G46" s="435">
        <f>土地成交案例!O3</f>
        <v>31822</v>
      </c>
      <c r="H46" s="436"/>
      <c r="I46" s="433">
        <f>土地成交案例!O8</f>
        <v>22803</v>
      </c>
      <c r="J46" s="436"/>
      <c r="K46" s="714"/>
      <c r="L46" s="2720"/>
      <c r="M46" s="2721"/>
      <c r="N46" s="2712"/>
      <c r="O46" s="2721"/>
      <c r="P46" s="3675" t="str">
        <f>A46</f>
        <v>成交单价</v>
      </c>
      <c r="Q46" s="3675"/>
      <c r="R46" s="3706">
        <f>E46</f>
        <v>27429</v>
      </c>
      <c r="S46" s="3706"/>
      <c r="T46" s="3706">
        <f>G46</f>
        <v>31822</v>
      </c>
      <c r="U46" s="3706"/>
      <c r="V46" s="3706">
        <f>I46</f>
        <v>22803</v>
      </c>
      <c r="W46" s="3706"/>
      <c r="X46" s="690"/>
      <c r="Y46" s="712"/>
      <c r="Z46" s="690"/>
      <c r="AA46" s="690"/>
      <c r="AB46" s="690"/>
      <c r="AC46" s="690"/>
    </row>
    <row r="47" spans="1:29" ht="15.75" thickBot="1">
      <c r="A47" s="437" t="s">
        <v>1793</v>
      </c>
      <c r="B47" s="631"/>
      <c r="C47" s="440">
        <f>R48</f>
        <v>25538</v>
      </c>
      <c r="D47" s="2315" t="s">
        <v>2138</v>
      </c>
      <c r="E47" s="440">
        <f>R47</f>
        <v>25611</v>
      </c>
      <c r="F47" s="2316"/>
      <c r="G47" s="439">
        <f>T47</f>
        <v>29712</v>
      </c>
      <c r="H47" s="2316"/>
      <c r="I47" s="440">
        <f>V47</f>
        <v>21291</v>
      </c>
      <c r="J47" s="2316"/>
      <c r="K47" s="2318">
        <f>F47+H47+J47</f>
        <v>0</v>
      </c>
      <c r="L47" s="2720"/>
      <c r="M47" s="2721"/>
      <c r="N47" s="2721"/>
      <c r="O47" s="2721"/>
      <c r="P47" s="3675" t="str">
        <f>A47</f>
        <v>比较价值（元/平方米）</v>
      </c>
      <c r="Q47" s="3675"/>
      <c r="R47" s="3718">
        <f>ROUND(PRODUCT(R46,AA7:AA45),0)</f>
        <v>25611</v>
      </c>
      <c r="S47" s="3718"/>
      <c r="T47" s="3718">
        <f>ROUND(PRODUCT(T46,AB7:AB45),0)</f>
        <v>29712</v>
      </c>
      <c r="U47" s="3718"/>
      <c r="V47" s="3718">
        <f>ROUND(PRODUCT(V46,AC7:AC45),0)</f>
        <v>21291</v>
      </c>
      <c r="W47" s="3718"/>
      <c r="X47" s="690"/>
      <c r="Y47" s="690"/>
      <c r="Z47" s="690"/>
      <c r="AA47" s="690"/>
      <c r="AB47" s="690"/>
      <c r="AC47" s="690"/>
    </row>
    <row r="48" spans="1:29" ht="15.75" thickBot="1">
      <c r="A48" s="441" t="s">
        <v>1880</v>
      </c>
      <c r="B48" s="442"/>
      <c r="C48" s="443">
        <f>R48</f>
        <v>25538</v>
      </c>
      <c r="D48" s="443"/>
      <c r="E48" s="443"/>
      <c r="F48" s="443"/>
      <c r="G48" s="443"/>
      <c r="H48" s="443"/>
      <c r="I48" s="443"/>
      <c r="J48" s="443"/>
      <c r="K48" s="715"/>
      <c r="L48" s="2720"/>
      <c r="M48" s="2721"/>
      <c r="N48" s="2721"/>
      <c r="O48" s="2721"/>
      <c r="P48" s="3672" t="str">
        <f>A48</f>
        <v>估价对象XX用房的比较价值（楼面单价，元/平方米）</v>
      </c>
      <c r="Q48" s="3673"/>
      <c r="R48" s="3719">
        <f>ROUND(IF(D47="简单平均",AVERAGE(R47:W47),R47*F47+T47*H47+V47*J47),0)</f>
        <v>25538</v>
      </c>
      <c r="S48" s="3719"/>
      <c r="T48" s="3719"/>
      <c r="U48" s="3719"/>
      <c r="V48" s="3719"/>
      <c r="W48" s="371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7.0985123579711873E-2</v>
      </c>
      <c r="F51" s="449" t="str">
        <f>IF(OR(E51&gt;=0.3,E51&lt;=-0.3),"超过30%","")</f>
        <v/>
      </c>
      <c r="G51" s="448">
        <f>IF(G46&lt;G47,G47/G46-1,G46/G47-1)</f>
        <v>7.1015078082929506E-2</v>
      </c>
      <c r="H51" s="449" t="str">
        <f>IF(OR(G51&gt;=0.3,G51&lt;=-0.3),"超过30%","")</f>
        <v/>
      </c>
      <c r="I51" s="448">
        <f>IF(I46&lt;I47,I47/I46-1,I46/I47-1)</f>
        <v>7.1015922220656558E-2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0.16012650814103324</v>
      </c>
      <c r="F52" s="449" t="str">
        <f>IF(OR(E52&gt;=0.2,E52&lt;=-0.2),"超过20%","")</f>
        <v/>
      </c>
      <c r="G52" s="448">
        <f>IF(G47&lt;I47,I47/G47-1,G47/I47-1)</f>
        <v>0.39551923347893481</v>
      </c>
      <c r="H52" s="449" t="str">
        <f>IF(OR(G52&gt;=0.2,G52&lt;=-0.2),"超过20%","")</f>
        <v>超过20%</v>
      </c>
      <c r="I52" s="448">
        <f>IF(I47&lt;E47,E47/I47-1,I47/E47-1)</f>
        <v>0.20290263491616178</v>
      </c>
      <c r="J52" s="449" t="str">
        <f>IF(OR(I52&gt;=0.2,I52&lt;=-0.2),"超过20%","")</f>
        <v>超过20%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0.16015895584964812</v>
      </c>
      <c r="F53" s="449" t="str">
        <f>IF(OR(E53&gt;=0.3,E53&lt;=-0.3),"超过30%","")</f>
        <v/>
      </c>
      <c r="G53" s="448">
        <f>IF(G46&lt;I46,I46/G46-1,G46/I46-1)</f>
        <v>0.39551813357891508</v>
      </c>
      <c r="H53" s="449" t="str">
        <f>IF(OR(G53&gt;=0.3,G53&lt;=-0.3),"超过30%","")</f>
        <v>超过30%</v>
      </c>
      <c r="I53" s="448">
        <f>IF(I46&lt;E46,E46/I46-1,I46/E46-1)</f>
        <v>0.20286804367846334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1" t="s">
        <v>1883</v>
      </c>
      <c r="D55" s="1982" t="s">
        <v>1884</v>
      </c>
      <c r="E55" s="634" t="s">
        <v>1885</v>
      </c>
      <c r="F55" s="890" t="s">
        <v>1886</v>
      </c>
      <c r="G55" s="3690" t="s">
        <v>1887</v>
      </c>
      <c r="H55" s="3720"/>
      <c r="I55" s="135"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25538</v>
      </c>
      <c r="C56" s="638">
        <v>1</v>
      </c>
      <c r="D56" s="944">
        <v>1</v>
      </c>
      <c r="E56" s="638">
        <f>'数据-汇总表'!E8+'数据-汇总表'!E9</f>
        <v>87.89</v>
      </c>
      <c r="F56" s="886">
        <f t="shared" ref="F56:F64" si="15">ROUND(B56*E56/10000,0)</f>
        <v>224</v>
      </c>
      <c r="G56" s="3686"/>
      <c r="H56" s="367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5"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958</v>
      </c>
      <c r="C62" s="171">
        <f t="shared" si="16"/>
        <v>0.15</v>
      </c>
      <c r="D62" s="945">
        <v>0.25</v>
      </c>
      <c r="E62" s="217">
        <f>'数据-汇总表'!E13</f>
        <v>38.369999999999997</v>
      </c>
      <c r="F62" s="886">
        <f t="shared" si="15"/>
        <v>4</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5"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6"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126.25999999999999</v>
      </c>
      <c r="F65" s="645">
        <f>IF(B46="楼面地价",SUM(F56:F64),ROUND(C48*E65/10000,0))</f>
        <v>228</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471" t="s">
        <v>3828</v>
      </c>
      <c r="D74" s="3471" t="s">
        <v>3830</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95</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20000(含)-10000</v>
      </c>
      <c r="F115" s="478" t="str">
        <f t="shared" si="25"/>
        <v>10000(含)-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10000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100</v>
      </c>
      <c r="E117" s="540">
        <v>100</v>
      </c>
      <c r="F117" s="540">
        <v>100</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3" priority="18" stopIfTrue="1" operator="containsText" text="超过">
      <formula>NOT(ISERROR(SEARCH("超过",F51)))</formula>
    </cfRule>
  </conditionalFormatting>
  <conditionalFormatting sqref="J53">
    <cfRule type="containsText" dxfId="152" priority="17" stopIfTrue="1" operator="containsText" text="超过">
      <formula>NOT(ISERROR(SEARCH("超过",J53)))</formula>
    </cfRule>
  </conditionalFormatting>
  <conditionalFormatting sqref="H53">
    <cfRule type="containsText" dxfId="151" priority="16" stopIfTrue="1" operator="containsText" text="超过">
      <formula>NOT(ISERROR(SEARCH("超过",H53)))</formula>
    </cfRule>
  </conditionalFormatting>
  <conditionalFormatting sqref="F53">
    <cfRule type="containsText" dxfId="150" priority="15" stopIfTrue="1" operator="containsText" text="超过">
      <formula>NOT(ISERROR(SEARCH("超过",F53)))</formula>
    </cfRule>
  </conditionalFormatting>
  <conditionalFormatting sqref="F52 H52 J52">
    <cfRule type="containsText" dxfId="149" priority="14" stopIfTrue="1" operator="containsText" text="超过">
      <formula>NOT(ISERROR(SEARCH("超过",F52)))</formula>
    </cfRule>
  </conditionalFormatting>
  <conditionalFormatting sqref="E51">
    <cfRule type="expression" dxfId="148" priority="13" stopIfTrue="1">
      <formula>$F$51="超过30%"</formula>
    </cfRule>
  </conditionalFormatting>
  <conditionalFormatting sqref="G53">
    <cfRule type="expression" dxfId="147" priority="12" stopIfTrue="1">
      <formula>$H$53="超过30%"</formula>
    </cfRule>
  </conditionalFormatting>
  <conditionalFormatting sqref="E52">
    <cfRule type="expression" dxfId="146" priority="11" stopIfTrue="1">
      <formula>$F$52="超过20%"</formula>
    </cfRule>
  </conditionalFormatting>
  <conditionalFormatting sqref="E53">
    <cfRule type="expression" dxfId="145" priority="10" stopIfTrue="1">
      <formula>$F$53="超过30%"</formula>
    </cfRule>
  </conditionalFormatting>
  <conditionalFormatting sqref="G51">
    <cfRule type="expression" dxfId="144" priority="9" stopIfTrue="1">
      <formula>$H$53+$H$51="超过30%"</formula>
    </cfRule>
  </conditionalFormatting>
  <conditionalFormatting sqref="G52">
    <cfRule type="expression" dxfId="143" priority="8" stopIfTrue="1">
      <formula>$H$52="超过20%"</formula>
    </cfRule>
  </conditionalFormatting>
  <conditionalFormatting sqref="I51">
    <cfRule type="expression" dxfId="142" priority="7" stopIfTrue="1">
      <formula>$J$51="超过30%"</formula>
    </cfRule>
  </conditionalFormatting>
  <conditionalFormatting sqref="I52">
    <cfRule type="expression" dxfId="141" priority="6" stopIfTrue="1">
      <formula>$J$52="超过20%"</formula>
    </cfRule>
  </conditionalFormatting>
  <conditionalFormatting sqref="I53">
    <cfRule type="expression" dxfId="140" priority="5" stopIfTrue="1">
      <formula>$J$53="超过30%"</formula>
    </cfRule>
  </conditionalFormatting>
  <conditionalFormatting sqref="F47">
    <cfRule type="expression" dxfId="139" priority="4">
      <formula>$D$47="简单平均"</formula>
    </cfRule>
  </conditionalFormatting>
  <conditionalFormatting sqref="H47">
    <cfRule type="expression" dxfId="138" priority="3">
      <formula>$D$47="简单平均"</formula>
    </cfRule>
  </conditionalFormatting>
  <conditionalFormatting sqref="J47">
    <cfRule type="expression" dxfId="137" priority="2">
      <formula>$D$47="简单平均"</formula>
    </cfRule>
  </conditionalFormatting>
  <conditionalFormatting sqref="F7:F45 H7:H45 J7:J45">
    <cfRule type="cellIs" dxfId="136"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1" xr:uid="{00000000-0002-0000-1600-000013000000}">
      <formula1>"商业,办公,住宅,工业"</formula1>
    </dataValidation>
    <dataValidation type="list" allowBlank="1" showInputMessage="1" showErrorMessage="1" sqref="G62" xr:uid="{00000000-0002-0000-1600-000014000000}">
      <formula1>"住宅,工业"</formula1>
    </dataValidation>
    <dataValidation type="list" allowBlank="1" showInputMessage="1" showErrorMessage="1" sqref="C30 E30 G30 I30" xr:uid="{00000000-0002-0000-1600-000015000000}">
      <formula1>基础设施水平</formula1>
    </dataValidation>
    <dataValidation type="list" allowBlank="1" showInputMessage="1" showErrorMessage="1" sqref="A70" xr:uid="{00000000-0002-0000-1600-000016000000}">
      <formula1>"综合,商业,办公,住宅"</formula1>
    </dataValidation>
    <dataValidation type="list" allowBlank="1" showInputMessage="1" showErrorMessage="1" sqref="D47" xr:uid="{00000000-0002-0000-1600-000017000000}">
      <formula1>"简单平均,加权平均"</formula1>
    </dataValidation>
    <dataValidation type="list" allowBlank="1" showInputMessage="1" showErrorMessage="1" sqref="D57:D64" xr:uid="{00000000-0002-0000-16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Q1:AL50"/>
  <sheetViews>
    <sheetView topLeftCell="V6" workbookViewId="0">
      <selection activeCell="AL13" sqref="AL13"/>
    </sheetView>
  </sheetViews>
  <sheetFormatPr defaultRowHeight="13.5"/>
  <cols>
    <col min="19" max="19" width="10.5" bestFit="1" customWidth="1"/>
    <col min="20" max="20" width="12.75" bestFit="1" customWidth="1"/>
  </cols>
  <sheetData>
    <row r="1" spans="17:38">
      <c r="R1" s="3467" t="s">
        <v>3414</v>
      </c>
      <c r="S1" s="3467" t="s">
        <v>3415</v>
      </c>
      <c r="T1" s="3467" t="s">
        <v>3416</v>
      </c>
    </row>
    <row r="2" spans="17:38">
      <c r="Q2" s="3465" t="s">
        <v>3412</v>
      </c>
      <c r="R2" s="3468">
        <v>87.89</v>
      </c>
      <c r="S2" s="3468">
        <v>4296885</v>
      </c>
      <c r="T2" s="3467">
        <f>ROUND(S2/R2,0)</f>
        <v>48889</v>
      </c>
    </row>
    <row r="3" spans="17:38">
      <c r="Q3" s="3465" t="s">
        <v>3413</v>
      </c>
      <c r="R3" s="3468">
        <v>38.369999999999997</v>
      </c>
      <c r="S3" s="3468">
        <v>260000</v>
      </c>
      <c r="T3" s="3467">
        <f t="shared" ref="T3" si="0">ROUND(S3/R3,2)</f>
        <v>6776.13</v>
      </c>
    </row>
    <row r="4" spans="17:38">
      <c r="Q4" s="3465" t="s">
        <v>3826</v>
      </c>
      <c r="R4">
        <v>347895</v>
      </c>
      <c r="S4">
        <v>860000</v>
      </c>
      <c r="T4" s="3467">
        <f>ROUND(S4/R4*10000,0)</f>
        <v>24720</v>
      </c>
    </row>
    <row r="5" spans="17:38">
      <c r="R5" s="3468">
        <v>216429.68700000001</v>
      </c>
    </row>
    <row r="6" spans="17:38">
      <c r="R6">
        <f>R4/R5</f>
        <v>1.6074273581516569</v>
      </c>
    </row>
    <row r="11" spans="17:38">
      <c r="AJ11">
        <v>2023.1</v>
      </c>
      <c r="AK11">
        <v>54195</v>
      </c>
    </row>
    <row r="12" spans="17:38">
      <c r="AJ12">
        <v>2023.7</v>
      </c>
      <c r="AK12">
        <v>53247</v>
      </c>
      <c r="AL12">
        <f>AK13/AK11</f>
        <v>0.89225943352707815</v>
      </c>
    </row>
    <row r="13" spans="17:38">
      <c r="AJ13">
        <v>2023.8</v>
      </c>
      <c r="AK13">
        <v>48356</v>
      </c>
      <c r="AL13">
        <f>AK13/AK12</f>
        <v>0.90814505981557647</v>
      </c>
    </row>
    <row r="20" spans="19:21">
      <c r="T20" s="3467" t="s">
        <v>3403</v>
      </c>
      <c r="U20" s="3468"/>
    </row>
    <row r="21" spans="19:21">
      <c r="S21" s="3464" t="s">
        <v>3404</v>
      </c>
      <c r="T21" s="3468">
        <v>38</v>
      </c>
      <c r="U21" s="3468">
        <v>6582</v>
      </c>
    </row>
    <row r="22" spans="19:21">
      <c r="S22" s="3464" t="s">
        <v>3405</v>
      </c>
      <c r="T22" s="3468">
        <v>38</v>
      </c>
      <c r="U22" s="3468">
        <v>6582</v>
      </c>
    </row>
    <row r="23" spans="19:21">
      <c r="S23" s="3464" t="s">
        <v>3409</v>
      </c>
      <c r="T23" s="3468">
        <v>38</v>
      </c>
      <c r="U23" s="3468">
        <v>5793</v>
      </c>
    </row>
    <row r="48" spans="19:22">
      <c r="S48" s="3466">
        <v>45132</v>
      </c>
      <c r="T48">
        <v>88</v>
      </c>
      <c r="U48">
        <v>54625</v>
      </c>
      <c r="V48" s="3465" t="s">
        <v>3410</v>
      </c>
    </row>
    <row r="49" spans="19:22">
      <c r="S49" s="3466">
        <v>45127</v>
      </c>
      <c r="T49">
        <v>89</v>
      </c>
      <c r="U49">
        <v>54625</v>
      </c>
      <c r="V49" s="3465" t="s">
        <v>3410</v>
      </c>
    </row>
    <row r="50" spans="19:22">
      <c r="S50" s="3466">
        <v>44937</v>
      </c>
      <c r="T50">
        <v>88</v>
      </c>
      <c r="U50">
        <v>51943</v>
      </c>
      <c r="V50" s="3465" t="s">
        <v>3411</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3406</v>
      </c>
      <c r="D4" s="1756" t="s">
        <v>3408</v>
      </c>
      <c r="E4" s="3610" t="s">
        <v>1267</v>
      </c>
      <c r="F4" s="3611"/>
      <c r="G4" s="3611"/>
      <c r="H4" s="3611"/>
      <c r="I4" s="3612"/>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v>5</v>
      </c>
      <c r="D14" s="3607">
        <f>10-C14</f>
        <v>5</v>
      </c>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4" t="s">
        <v>2131</v>
      </c>
      <c r="F18" s="3595"/>
      <c r="G18" s="3595"/>
      <c r="H18" s="3595"/>
      <c r="I18" s="3595"/>
      <c r="K18" s="302" t="s">
        <v>1289</v>
      </c>
      <c r="L18" s="302">
        <f>IF(C1="",'数据-汇总表'!E3,SUMIF(项目类型,C1,'数据-汇总表'!E17:E26)+SUMIF(项目类型,C1,'数据-汇总表'!I17:I26))</f>
        <v>126.25999999999999</v>
      </c>
      <c r="M18" s="302">
        <f>IF(C1="",'数据-汇总表'!E3,SUMIF(项目类型,C1,'数据-汇总表'!E17:E26))</f>
        <v>126.25999999999999</v>
      </c>
    </row>
    <row r="19" spans="1:36" ht="15">
      <c r="A19" s="1761" t="s">
        <v>1290</v>
      </c>
      <c r="B19" s="1762" t="s">
        <v>1291</v>
      </c>
      <c r="C19" s="134">
        <f ca="1">SUMIF(INDIRECT("'"&amp;C4&amp;"'"&amp;"!A:A"),'结果表-车位'!B19,INDIRECT("'"&amp;C4&amp;"'"&amp;"!B:B"))</f>
        <v>27.4254</v>
      </c>
      <c r="D19" s="135">
        <f ca="1">SUMIF(INDIRECT("'"&amp;D4&amp;"'"&amp;"!A:A"),'结果表-车位'!B19,INDIRECT("'"&amp;D4&amp;"'"&amp;"!B:B"))</f>
        <v>24</v>
      </c>
      <c r="E19" s="1761" t="s">
        <v>1292</v>
      </c>
      <c r="F19" s="1762" t="s">
        <v>1291</v>
      </c>
      <c r="G19" s="136">
        <f ca="1">ROUND(C19*$C$18+D19*$D$18,0)</f>
        <v>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SUMIF(INDIRECT("'"&amp;C4&amp;"'"&amp;"!A:A"),'结果表-车位'!B20,INDIRECT("'"&amp;C4&amp;"'"&amp;"!B:B"))</f>
        <v>7148</v>
      </c>
      <c r="D20" s="138">
        <f ca="1">SUMIF(INDIRECT("'"&amp;D4&amp;"'"&amp;"!A:A"),'结果表-车位'!B20,INDIRECT("'"&amp;D4&amp;"'"&amp;"!B:B"))</f>
        <v>6319</v>
      </c>
      <c r="E20" s="1764"/>
      <c r="F20" s="1026" t="s">
        <v>1295</v>
      </c>
      <c r="G20" s="139">
        <f ca="1">ROUND(C20*$C$18+D20*$D$18,0)</f>
        <v>6734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0.14272499999999999</v>
      </c>
      <c r="E22" s="129"/>
      <c r="F22" s="129"/>
      <c r="G22" s="129">
        <f ca="1">G20*'成本法 (元) -车库'!D37</f>
        <v>258383.58</v>
      </c>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6734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3451">
        <v>1</v>
      </c>
      <c r="K46" s="3634" t="s">
        <v>1331</v>
      </c>
      <c r="L46" s="3634"/>
      <c r="M46" s="3654"/>
      <c r="N46" s="3654"/>
      <c r="O46" s="3654"/>
    </row>
    <row r="47" spans="1:15" ht="12" customHeight="1">
      <c r="A47" s="160" t="s">
        <v>1332</v>
      </c>
      <c r="B47" s="161"/>
      <c r="C47" s="162"/>
      <c r="D47" s="1087" t="s">
        <v>1333</v>
      </c>
      <c r="E47" s="302" t="s">
        <v>1334</v>
      </c>
      <c r="F47" s="163" t="s">
        <v>1335</v>
      </c>
      <c r="G47" s="2542" t="s">
        <v>1336</v>
      </c>
      <c r="H47" s="2543"/>
      <c r="I47" s="159"/>
      <c r="J47" s="3451">
        <v>2</v>
      </c>
      <c r="K47" s="3634" t="s">
        <v>1337</v>
      </c>
      <c r="L47" s="3634"/>
      <c r="M47" s="3655">
        <f>'数据-取费表'!B2</f>
        <v>45162</v>
      </c>
      <c r="N47" s="3655"/>
      <c r="O47" s="3655"/>
    </row>
    <row r="48" spans="1:15" ht="25.5">
      <c r="A48" s="3603" t="s">
        <v>1338</v>
      </c>
      <c r="B48" s="3586"/>
      <c r="C48" s="3586"/>
      <c r="D48" s="3448" t="b">
        <f>IF(H48="情况1",0,IF(H48="情况2",D52,IF(H48="情况3",D53,IF(H48="情况4",D54))))</f>
        <v>0</v>
      </c>
      <c r="E48" s="3461" t="str">
        <f>IF(H48="情况4","(销售额-原购置价)×税（费）率","销售额×税（费）率")</f>
        <v>销售额×税（费）率</v>
      </c>
      <c r="F48" s="2544">
        <f>IF(H48="情况1","免征",'数据-取费表'!B41)</f>
        <v>5.6000000000000001E-2</v>
      </c>
      <c r="G48" s="2545" t="s">
        <v>1339</v>
      </c>
      <c r="H48" s="2546"/>
      <c r="I48" s="1806"/>
      <c r="J48" s="3451">
        <v>3</v>
      </c>
      <c r="K48" s="3634" t="s">
        <v>1340</v>
      </c>
      <c r="L48" s="3634"/>
      <c r="M48" s="3656" t="e">
        <f ca="1">H101</f>
        <v>#REF!</v>
      </c>
      <c r="N48" s="3656"/>
      <c r="O48" s="3656"/>
    </row>
    <row r="49" spans="1:35" ht="25.5" customHeight="1">
      <c r="A49" s="3460" t="s">
        <v>1341</v>
      </c>
      <c r="B49" s="3570" t="s">
        <v>1342</v>
      </c>
      <c r="C49" s="3570"/>
      <c r="D49" s="1590">
        <v>0</v>
      </c>
      <c r="E49" s="324" t="s">
        <v>1343</v>
      </c>
      <c r="F49" s="3446" t="s">
        <v>28</v>
      </c>
      <c r="G49" s="3640"/>
      <c r="H49" s="2308" t="s">
        <v>2134</v>
      </c>
      <c r="I49" s="2309"/>
      <c r="J49" s="3451">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47"/>
      <c r="B50" s="3570" t="s">
        <v>1344</v>
      </c>
      <c r="C50" s="3570"/>
      <c r="D50" s="2548"/>
      <c r="E50" s="332"/>
      <c r="F50" s="3446"/>
      <c r="G50" s="3641"/>
      <c r="H50" s="2310" t="s">
        <v>2135</v>
      </c>
      <c r="I50" s="2309"/>
      <c r="J50" s="3653" t="s">
        <v>1345</v>
      </c>
      <c r="K50" s="3653"/>
      <c r="L50" s="3653"/>
      <c r="M50" s="3653"/>
      <c r="N50" s="3653"/>
      <c r="O50" s="3653"/>
    </row>
    <row r="51" spans="1:35" ht="20.45" customHeight="1">
      <c r="A51" s="2549"/>
      <c r="B51" s="3570" t="s">
        <v>1346</v>
      </c>
      <c r="C51" s="3570"/>
      <c r="D51" s="1087"/>
      <c r="E51" s="327"/>
      <c r="F51" s="3446"/>
      <c r="G51" s="3642"/>
      <c r="H51" s="2310" t="s">
        <v>2136</v>
      </c>
      <c r="I51" s="2309"/>
      <c r="J51" s="3447" t="s">
        <v>1347</v>
      </c>
      <c r="K51" s="3634" t="s">
        <v>1348</v>
      </c>
      <c r="L51" s="3634"/>
      <c r="M51" s="3447" t="s">
        <v>1349</v>
      </c>
      <c r="N51" s="3447" t="s">
        <v>1350</v>
      </c>
      <c r="O51" s="3447" t="s">
        <v>1351</v>
      </c>
    </row>
    <row r="52" spans="1:35" ht="24" customHeight="1">
      <c r="A52" s="3462" t="s">
        <v>1352</v>
      </c>
      <c r="B52" s="3570" t="s">
        <v>1353</v>
      </c>
      <c r="C52" s="3570"/>
      <c r="D52" s="1087" t="e">
        <f ca="1">ROUND(D45*'数据-取费表'!B41/(1+'数据-取费表'!C42),0)</f>
        <v>#REF!</v>
      </c>
      <c r="E52" s="3461" t="s">
        <v>1354</v>
      </c>
      <c r="F52" s="2550">
        <f>'数据-取费表'!B41</f>
        <v>5.6000000000000001E-2</v>
      </c>
      <c r="G52" s="2551"/>
      <c r="H52" s="2540"/>
      <c r="I52" s="1807"/>
      <c r="J52" s="3451">
        <v>1</v>
      </c>
      <c r="K52" s="3635" t="s">
        <v>1355</v>
      </c>
      <c r="L52" s="3635"/>
      <c r="M52" s="2521" t="b">
        <f>D48</f>
        <v>0</v>
      </c>
      <c r="N52" s="3451" t="str">
        <f>E48</f>
        <v>销售额×税（费）率</v>
      </c>
      <c r="O52" s="2522">
        <f>F48</f>
        <v>5.6000000000000001E-2</v>
      </c>
    </row>
    <row r="53" spans="1:35" ht="12" customHeight="1">
      <c r="A53" s="3462" t="s">
        <v>1356</v>
      </c>
      <c r="B53" s="3596" t="s">
        <v>2289</v>
      </c>
      <c r="C53" s="3597"/>
      <c r="D53" s="1087" t="e">
        <f ca="1">ROUND(D45*'数据-取费表'!B41/(1+'数据-取费表'!C42),0)</f>
        <v>#REF!</v>
      </c>
      <c r="E53" s="3461" t="s">
        <v>1354</v>
      </c>
      <c r="F53" s="2550">
        <f>'数据-取费表'!B41</f>
        <v>5.6000000000000001E-2</v>
      </c>
      <c r="G53" s="2551"/>
      <c r="H53" s="2540"/>
      <c r="I53" s="1807"/>
      <c r="J53" s="3451">
        <v>2</v>
      </c>
      <c r="K53" s="3635" t="s">
        <v>1357</v>
      </c>
      <c r="L53" s="3635"/>
      <c r="M53" s="2521" t="e">
        <f t="shared" ref="M53:O54" ca="1" si="0">D55</f>
        <v>#REF!</v>
      </c>
      <c r="N53" s="3451" t="str">
        <f t="shared" si="0"/>
        <v>销售额×税（费）率</v>
      </c>
      <c r="O53" s="2522" t="str">
        <f t="shared" si="0"/>
        <v>免征</v>
      </c>
    </row>
    <row r="54" spans="1:35" ht="12" customHeight="1">
      <c r="A54" s="3462" t="s">
        <v>1358</v>
      </c>
      <c r="B54" s="3596" t="s">
        <v>2290</v>
      </c>
      <c r="C54" s="3597"/>
      <c r="D54" s="1087" t="e">
        <f ca="1">C68</f>
        <v>#REF!</v>
      </c>
      <c r="E54" s="327" t="s">
        <v>1359</v>
      </c>
      <c r="F54" s="2550">
        <f>'数据-取费表'!B41</f>
        <v>5.6000000000000001E-2</v>
      </c>
      <c r="G54" s="2551"/>
      <c r="H54" s="2552"/>
      <c r="I54" s="1807"/>
      <c r="J54" s="3451">
        <v>3</v>
      </c>
      <c r="K54" s="3635" t="s">
        <v>1360</v>
      </c>
      <c r="L54" s="3635"/>
      <c r="M54" s="2521" t="e">
        <f t="shared" ca="1" si="0"/>
        <v>#REF!</v>
      </c>
      <c r="N54" s="3451" t="str">
        <f t="shared" si="0"/>
        <v>增值额×税（费）率</v>
      </c>
      <c r="O54" s="2523" t="str">
        <f t="shared" si="0"/>
        <v>免征</v>
      </c>
    </row>
    <row r="55" spans="1:35" ht="24" customHeight="1">
      <c r="A55" s="3585" t="s">
        <v>1361</v>
      </c>
      <c r="B55" s="3586"/>
      <c r="C55" s="3586"/>
      <c r="D55" s="3448" t="e">
        <f ca="1">IF(H55="个人住宅",0,ROUND(D45*I55,0))</f>
        <v>#REF!</v>
      </c>
      <c r="E55" s="3461" t="s">
        <v>1362</v>
      </c>
      <c r="F55" s="2550" t="str">
        <f>IF(H55="正常",I55,"免征")</f>
        <v>免征</v>
      </c>
      <c r="G55" s="2551"/>
      <c r="H55" s="2546"/>
      <c r="I55" s="165">
        <f>'数据-取费表'!B49</f>
        <v>5.0000000000000001E-4</v>
      </c>
      <c r="J55" s="3451">
        <f>IF(H59="非个人房产","",4)</f>
        <v>4</v>
      </c>
      <c r="K55" s="3635" t="str">
        <f>IF(H59="非个人房产","——","个人所得税")</f>
        <v>个人所得税</v>
      </c>
      <c r="L55" s="3635"/>
      <c r="M55" s="2524" t="e">
        <f ca="1">D59</f>
        <v>#REF!</v>
      </c>
      <c r="N55" s="3452" t="str">
        <f>E59</f>
        <v>差额计税</v>
      </c>
      <c r="O55" s="2525">
        <f>F59</f>
        <v>0.01</v>
      </c>
    </row>
    <row r="56" spans="1:35" ht="24.75">
      <c r="A56" s="3585" t="s">
        <v>1363</v>
      </c>
      <c r="B56" s="3586"/>
      <c r="C56" s="3586"/>
      <c r="D56" s="3448" t="e">
        <f ca="1">IF(H56="个人住宅",D57,D58)</f>
        <v>#REF!</v>
      </c>
      <c r="E56" s="3461" t="s">
        <v>1364</v>
      </c>
      <c r="F56" s="2550" t="str">
        <f>IF(H56="正常",F58,"免征")</f>
        <v>免征</v>
      </c>
      <c r="G56" s="2553" t="s">
        <v>1365</v>
      </c>
      <c r="H56" s="2554"/>
      <c r="I56" s="1808"/>
      <c r="J56" s="3451" t="str">
        <f>IF(项目基本情况!K6="上海银行",IF(J55="",4,J55+1),"")</f>
        <v/>
      </c>
      <c r="K56" s="3658" t="str">
        <f>IF(项目基本情况!K6="上海银行","其他处置费用","")</f>
        <v/>
      </c>
      <c r="L56" s="3659"/>
      <c r="M56" s="2521" t="str">
        <f>IF(项目基本情况!K6="上海银行",M69,"")</f>
        <v/>
      </c>
      <c r="N56" s="3658" t="str">
        <f>IF(项目基本情况!K6="上海银行","包含处置中涉及的律师、诉讼、拍卖、评估等费用","")</f>
        <v/>
      </c>
      <c r="O56" s="3661"/>
    </row>
    <row r="57" spans="1:35" ht="12.75">
      <c r="A57" s="3462" t="s">
        <v>1341</v>
      </c>
      <c r="B57" s="3596" t="s">
        <v>1366</v>
      </c>
      <c r="C57" s="3597"/>
      <c r="D57" s="1590">
        <v>0</v>
      </c>
      <c r="E57" s="324" t="s">
        <v>1343</v>
      </c>
      <c r="F57" s="302"/>
      <c r="G57" s="2551"/>
      <c r="H57" s="2555"/>
      <c r="I57" s="1808"/>
      <c r="J57" s="3635">
        <f>IF(AND(J55="",J56=""),4,IF(项目基本情况!K6="上海银行",'结果表-车位'!J56+1,'结果表-车位'!J55+1))</f>
        <v>5</v>
      </c>
      <c r="K57" s="3635" t="s">
        <v>1367</v>
      </c>
      <c r="L57" s="2526" t="s">
        <v>1368</v>
      </c>
      <c r="M57" s="2527"/>
      <c r="N57" s="2528">
        <f ca="1">SUMIF(M52:M56,"&lt;9e307")</f>
        <v>0</v>
      </c>
      <c r="O57" s="2529"/>
      <c r="P57" s="2686" t="e">
        <f ca="1">N57/M49</f>
        <v>#VALUE!</v>
      </c>
    </row>
    <row r="58" spans="1:35" ht="24.75">
      <c r="A58" s="3462" t="s">
        <v>1352</v>
      </c>
      <c r="B58" s="3596" t="s">
        <v>1369</v>
      </c>
      <c r="C58" s="3570"/>
      <c r="D58" s="3448" t="e">
        <f ca="1">IF(H58="转让取得",C81,C97)</f>
        <v>#REF!</v>
      </c>
      <c r="E58" s="3461" t="s">
        <v>1364</v>
      </c>
      <c r="F58" s="302" t="s">
        <v>28</v>
      </c>
      <c r="G58" s="2551"/>
      <c r="H58" s="2554"/>
      <c r="I58" s="1808"/>
      <c r="J58" s="3635"/>
      <c r="K58" s="3635"/>
      <c r="L58" s="2526" t="s">
        <v>1370</v>
      </c>
      <c r="M58" s="2530"/>
      <c r="N58" s="2531" t="str">
        <f ca="1">NUMBERSTRING(INT(N57*10000),2)&amp;"元整"</f>
        <v>零元整</v>
      </c>
      <c r="O58" s="2532"/>
    </row>
    <row r="59" spans="1:35" ht="24.75" thickBot="1">
      <c r="A59" s="3638" t="s">
        <v>1371</v>
      </c>
      <c r="B59" s="3639"/>
      <c r="C59" s="3639"/>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636">
        <f>J57+1</f>
        <v>6</v>
      </c>
      <c r="K59" s="3635" t="s">
        <v>1372</v>
      </c>
      <c r="L59" s="3451" t="s">
        <v>1368</v>
      </c>
      <c r="M59" s="2533"/>
      <c r="N59" s="2534" t="e">
        <f ca="1">M49-N57</f>
        <v>#VALUE!</v>
      </c>
      <c r="O59" s="2535"/>
    </row>
    <row r="60" spans="1:35" ht="12" customHeight="1">
      <c r="A60" s="1809"/>
      <c r="B60" s="1747"/>
      <c r="C60" s="1747"/>
      <c r="D60" s="1747"/>
      <c r="E60" s="1578"/>
      <c r="F60" s="1808"/>
      <c r="G60" s="1808"/>
      <c r="H60" s="1810"/>
      <c r="I60" s="129"/>
      <c r="J60" s="3637"/>
      <c r="K60" s="3635"/>
      <c r="L60" s="2526" t="s">
        <v>1370</v>
      </c>
      <c r="M60" s="2530"/>
      <c r="N60" s="2531" t="e">
        <f ca="1">NUMBERSTRING(INT(N59*10000),2)&amp;"元整"</f>
        <v>#VALUE!</v>
      </c>
      <c r="O60" s="2532"/>
    </row>
    <row r="61" spans="1:35" ht="13.5" thickBot="1">
      <c r="A61" s="3583" t="s">
        <v>1373</v>
      </c>
      <c r="B61" s="3583"/>
      <c r="C61" s="3583"/>
      <c r="D61" s="3583"/>
      <c r="E61" s="3583"/>
      <c r="F61" s="1808"/>
      <c r="G61" s="1808"/>
      <c r="H61" s="1810"/>
      <c r="I61" s="129"/>
      <c r="J61" s="3451">
        <f>J59+1</f>
        <v>7</v>
      </c>
      <c r="K61" s="3635" t="s">
        <v>1374</v>
      </c>
      <c r="L61" s="3635"/>
      <c r="M61" s="2536"/>
      <c r="N61" s="2537" t="e">
        <f ca="1">ROUND(N59*10000/'数据-汇总表'!E3,0)</f>
        <v>#VALUE!</v>
      </c>
      <c r="O61" s="2538"/>
    </row>
    <row r="62" spans="1:35" ht="12.75">
      <c r="A62" s="3601" t="s">
        <v>1375</v>
      </c>
      <c r="B62" s="3602"/>
      <c r="C62" s="3456"/>
      <c r="D62" s="3456" t="s">
        <v>1376</v>
      </c>
      <c r="E62" s="166" t="s">
        <v>1377</v>
      </c>
      <c r="F62" s="1808"/>
      <c r="G62" s="1808"/>
      <c r="H62" s="1810"/>
      <c r="I62" s="129"/>
    </row>
    <row r="63" spans="1:35" ht="12.75">
      <c r="A63" s="173" t="s">
        <v>330</v>
      </c>
      <c r="B63" s="167" t="s">
        <v>1378</v>
      </c>
      <c r="C63" s="2560" t="e">
        <f ca="1">ROUND((C64+C65)/(1+'数据-取费表'!C42),0)</f>
        <v>#REF!</v>
      </c>
      <c r="D63" s="167"/>
      <c r="E63" s="168"/>
      <c r="F63" s="1808"/>
      <c r="G63" s="1808"/>
      <c r="H63" s="1810"/>
      <c r="I63" s="129"/>
      <c r="J63" s="3660" t="s">
        <v>1379</v>
      </c>
      <c r="K63" s="3449" t="s">
        <v>1380</v>
      </c>
      <c r="L63" s="3449"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t="e">
        <f ca="1">D45</f>
        <v>#REF!</v>
      </c>
      <c r="D64" s="170" t="s">
        <v>26</v>
      </c>
      <c r="E64" s="172"/>
      <c r="F64" s="1808"/>
      <c r="G64" s="1808"/>
      <c r="H64" s="1810"/>
      <c r="I64" s="129"/>
      <c r="J64" s="3660"/>
      <c r="K64" s="3449" t="s">
        <v>1382</v>
      </c>
      <c r="L64" s="344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660"/>
      <c r="K65" s="3449" t="s">
        <v>1385</v>
      </c>
      <c r="L65" s="3449"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660"/>
      <c r="K66" s="3449" t="s">
        <v>1387</v>
      </c>
      <c r="L66" s="3449" t="e">
        <f>M49*0.5%</f>
        <v>#VALUE!</v>
      </c>
      <c r="M66" s="302" t="e">
        <f>IF(L66&gt;0.5,0.5,ROUND(L66,0))</f>
        <v>#VALUE!</v>
      </c>
      <c r="N66" s="2540" t="s">
        <v>1388</v>
      </c>
      <c r="Z66" s="1752"/>
      <c r="AI66" s="1753"/>
    </row>
    <row r="67" spans="1:35" ht="14.25" customHeight="1">
      <c r="A67" s="173" t="s">
        <v>328</v>
      </c>
      <c r="B67" s="174" t="s">
        <v>1389</v>
      </c>
      <c r="C67" s="2564" t="e">
        <f ca="1">C63-C66</f>
        <v>#REF!</v>
      </c>
      <c r="D67" s="170" t="s">
        <v>26</v>
      </c>
      <c r="E67" s="172"/>
      <c r="F67" s="1808"/>
      <c r="G67" s="1808"/>
      <c r="H67" s="1810"/>
      <c r="I67" s="129"/>
      <c r="J67" s="3660"/>
      <c r="K67" s="3449" t="s">
        <v>1390</v>
      </c>
      <c r="L67" s="344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t="e">
        <f ca="1">IF(C67&lt;=0,0,ROUND(C67*D68,0))</f>
        <v>#REF!</v>
      </c>
      <c r="D68" s="2566">
        <f>'数据-取费表'!B41</f>
        <v>5.6000000000000001E-2</v>
      </c>
      <c r="E68" s="178"/>
      <c r="F68" s="1808"/>
      <c r="G68" s="1808"/>
      <c r="H68" s="1810"/>
      <c r="I68" s="129"/>
      <c r="J68" s="3660"/>
      <c r="K68" s="3449" t="s">
        <v>1392</v>
      </c>
      <c r="L68" s="3449"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660"/>
      <c r="K69" s="3449" t="s">
        <v>1393</v>
      </c>
      <c r="L69" s="3449"/>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3456"/>
      <c r="D71" s="3456"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t="e">
        <f ca="1">ROUND(D45/(1+'数据-取费表'!C42),0)</f>
        <v>#REF!</v>
      </c>
      <c r="D72" s="170" t="s">
        <v>26</v>
      </c>
      <c r="E72" s="3458"/>
      <c r="F72" s="3457"/>
      <c r="G72" s="3457"/>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t="e">
        <f ca="1">C74+C78</f>
        <v>#REF!</v>
      </c>
      <c r="D73" s="170" t="s">
        <v>26</v>
      </c>
      <c r="E73" s="3458"/>
      <c r="F73" s="3457"/>
      <c r="G73" s="345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8"/>
      <c r="F74" s="3457"/>
      <c r="G74" s="345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3448" t="s">
        <v>1404</v>
      </c>
      <c r="F77" s="186"/>
      <c r="G77" s="1822"/>
      <c r="H77" s="345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t="e">
        <f ca="1">ROUND(D45*D78/(1+'数据-取费表'!C42),0)</f>
        <v>#REF!</v>
      </c>
      <c r="D78" s="2573">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4" t="e">
        <f ca="1">C72-C73</f>
        <v>#REF!</v>
      </c>
      <c r="D79" s="170" t="s">
        <v>26</v>
      </c>
      <c r="E79" s="3458"/>
      <c r="F79" s="3457"/>
      <c r="G79" s="345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t="e">
        <f ca="1">IF(C79&lt;=0,0,C79/C73)</f>
        <v>#REF!</v>
      </c>
      <c r="D80" s="170" t="s">
        <v>26</v>
      </c>
      <c r="E80" s="3448" t="e">
        <f ca="1">IF(C80&gt;=200%,"增值额超过扣除项目金额200%",IF(C80&gt;=100%,"增值额超过扣除项目金额100%，未超过200%",IF(C80&gt;=50%,"增值额超过扣除项目金额50%，未超过100%",IF(C80&lt;50%,"增值额未超过扣除项目金额50%"))))</f>
        <v>#REF!</v>
      </c>
      <c r="F80" s="3457"/>
      <c r="G80" s="345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3456"/>
      <c r="D84" s="3456"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t="e">
        <f ca="1">ROUND(D45/(1+'数据-取费表'!C42),0)</f>
        <v>#REF!</v>
      </c>
      <c r="D85" s="170" t="s">
        <v>26</v>
      </c>
      <c r="E85" s="3458"/>
      <c r="F85" s="3457"/>
      <c r="G85" s="345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t="e">
        <f ca="1">IF(H88="仅含出让金",C87+C90+C91+C92+C93+C94,C87+C91+C92+C93+C94)</f>
        <v>#REF!</v>
      </c>
      <c r="D86" s="2577"/>
      <c r="E86" s="3458"/>
      <c r="F86" s="3457"/>
      <c r="G86" s="345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3453"/>
      <c r="F87" s="3454"/>
      <c r="G87" s="3454"/>
      <c r="H87" s="345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3454"/>
      <c r="G88" s="194" t="s">
        <v>1414</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3454"/>
      <c r="G89" s="3454"/>
      <c r="H89" s="345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3454"/>
      <c r="G90" s="3662" t="s">
        <v>2129</v>
      </c>
      <c r="H90" s="3663"/>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580" t="s">
        <v>1422</v>
      </c>
      <c r="F92" s="3581"/>
      <c r="G92" s="3581"/>
      <c r="H92" s="3590"/>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t="e">
        <f ca="1">ROUND(D45*D93/(1+'数据-取费表'!C42),0)</f>
        <v>#REF!</v>
      </c>
      <c r="D93" s="2573">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4" t="e">
        <f ca="1">ROUND(C85-C86,0)</f>
        <v>#REF!</v>
      </c>
      <c r="D95" s="170" t="s">
        <v>26</v>
      </c>
      <c r="E95" s="3458"/>
      <c r="F95" s="3457"/>
      <c r="G95" s="345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t="e">
        <f ca="1">IF(C95&lt;=0,0,C95/C86)</f>
        <v>#REF!</v>
      </c>
      <c r="D96" s="170" t="s">
        <v>26</v>
      </c>
      <c r="E96" s="3448" t="e">
        <f ca="1">IF(C96&gt;=200%,"增值额超过扣除项目金额200%",IF(C96&gt;=100%,"增值额超过扣除项目金额100%，未超过200%",IF(C96&gt;=50%,"增值额超过扣除项目金额50%，未超过100%",IF(C96&lt;50%,"增值额未超过扣除项目金额50%"))))</f>
        <v>#REF!</v>
      </c>
      <c r="F96" s="3457"/>
      <c r="G96" s="345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1" t="str">
        <f>C4</f>
        <v>成本法 (元) -车库</v>
      </c>
      <c r="D101" s="2582" t="str">
        <f>D4</f>
        <v>比较法-车位</v>
      </c>
      <c r="E101" s="3657" t="s">
        <v>1431</v>
      </c>
      <c r="F101" s="3614"/>
      <c r="G101" s="1827" t="s">
        <v>1432</v>
      </c>
      <c r="H101" s="2591" t="e">
        <f ca="1">H118</f>
        <v>#REF!</v>
      </c>
      <c r="I101" s="129"/>
    </row>
    <row r="102" spans="1:35" ht="18.75" customHeight="1">
      <c r="A102" s="3616" t="s">
        <v>1433</v>
      </c>
      <c r="B102" s="2580" t="s">
        <v>1432</v>
      </c>
      <c r="C102" s="2581">
        <f ca="1">IF(D32="楼面单价",ROUND(C19,0),C19)</f>
        <v>27.4254</v>
      </c>
      <c r="D102" s="2582">
        <f ca="1">IF(D32="楼面单价",ROUND(D19,0),D19)</f>
        <v>24</v>
      </c>
      <c r="E102" s="3657"/>
      <c r="F102" s="3614"/>
      <c r="G102" s="1827" t="s">
        <v>1434</v>
      </c>
      <c r="H102" s="2551" t="e">
        <f ca="1">I118</f>
        <v>#REF!</v>
      </c>
      <c r="I102" s="129"/>
    </row>
    <row r="103" spans="1:35" ht="42.75" customHeight="1">
      <c r="A103" s="3616"/>
      <c r="B103" s="2580" t="s">
        <v>1434</v>
      </c>
      <c r="C103" s="2583">
        <f ca="1">C20</f>
        <v>7148</v>
      </c>
      <c r="D103" s="2584">
        <f ca="1">D20</f>
        <v>6319</v>
      </c>
      <c r="E103" s="3651" t="s">
        <v>1435</v>
      </c>
      <c r="F103" s="3652"/>
      <c r="G103" s="1828" t="s">
        <v>1436</v>
      </c>
      <c r="H103" s="2591">
        <f>IF(D36="正常操作",H104+H105+H106,H105+H106)</f>
        <v>0</v>
      </c>
      <c r="I103" s="129"/>
    </row>
    <row r="104" spans="1:35" ht="18.75" customHeight="1">
      <c r="A104" s="3616" t="s">
        <v>1437</v>
      </c>
      <c r="B104" s="2585" t="s">
        <v>1432</v>
      </c>
      <c r="C104" s="2586" t="e">
        <f ca="1">H118</f>
        <v>#REF!</v>
      </c>
      <c r="D104" s="2587"/>
      <c r="E104" s="1674" t="s">
        <v>1438</v>
      </c>
      <c r="F104" s="1666"/>
      <c r="G104" s="1828" t="s">
        <v>1436</v>
      </c>
      <c r="H104" s="2592">
        <f>IF(D36="同一抵押权人同一抵押物续贷",C36&amp;"（续贷，未扣减，详见特别提示）",C36)</f>
        <v>0</v>
      </c>
      <c r="I104" s="129"/>
    </row>
    <row r="105" spans="1:35" ht="18.75" customHeight="1" thickBot="1">
      <c r="A105" s="3617"/>
      <c r="B105" s="2588" t="s">
        <v>1434</v>
      </c>
      <c r="C105" s="2589" t="e">
        <f ca="1">I118</f>
        <v>#REF!</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13" t="str">
        <f>IF(项目基本情况!E8="已注销","——","3.房地产抵押价值")</f>
        <v>3.房地产抵押价值</v>
      </c>
      <c r="F107" s="3614"/>
      <c r="G107" s="1827" t="s">
        <v>1432</v>
      </c>
      <c r="H107" s="2591" t="e">
        <f ca="1">IF(E107="——","——",H101-H103)</f>
        <v>#REF!</v>
      </c>
      <c r="I107" s="129"/>
    </row>
    <row r="108" spans="1:35" ht="18.75" customHeight="1">
      <c r="A108" s="129"/>
      <c r="B108" s="129"/>
      <c r="C108" s="129"/>
      <c r="D108" s="129"/>
      <c r="E108" s="3613"/>
      <c r="F108" s="3614"/>
      <c r="G108" s="1827" t="s">
        <v>1434</v>
      </c>
      <c r="H108" s="2551">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4" t="str">
        <f>IF(E109="——","——",H101-H105-H106)</f>
        <v>——</v>
      </c>
      <c r="I109" s="129"/>
    </row>
    <row r="110" spans="1:35" ht="18.75" customHeight="1">
      <c r="A110" s="129"/>
      <c r="B110" s="129"/>
      <c r="C110" s="129"/>
      <c r="D110" s="129"/>
      <c r="E110" s="3613"/>
      <c r="F110" s="3614"/>
      <c r="G110" s="1827" t="s">
        <v>1434</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1" t="str">
        <f>IF(E111="——","——",N59)</f>
        <v>——</v>
      </c>
      <c r="I111" s="129"/>
    </row>
    <row r="112" spans="1:35" ht="18.75" customHeight="1" thickBot="1">
      <c r="A112" s="129"/>
      <c r="B112" s="129"/>
      <c r="C112" s="129"/>
      <c r="D112" s="129"/>
      <c r="E112" s="3646"/>
      <c r="F112" s="3647"/>
      <c r="G112" s="1830" t="s">
        <v>1434</v>
      </c>
      <c r="H112" s="2595"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3450" t="s">
        <v>1449</v>
      </c>
      <c r="E117" s="3450" t="s">
        <v>1450</v>
      </c>
      <c r="F117" s="3450" t="s">
        <v>1449</v>
      </c>
      <c r="G117" s="3450" t="s">
        <v>1451</v>
      </c>
      <c r="H117" s="3450" t="s">
        <v>1449</v>
      </c>
      <c r="I117" s="3450" t="s">
        <v>1451</v>
      </c>
    </row>
    <row r="118" spans="1:27" ht="24.75" customHeight="1">
      <c r="A118" s="2596" t="str">
        <f>项目基本情况!S2</f>
        <v>房地产</v>
      </c>
      <c r="B118" s="3450">
        <f>M18</f>
        <v>126.25999999999999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t="e">
        <f ca="1">ROUND(IF(D32="总价",C32,I118*B118/10000),0)</f>
        <v>#REF!</v>
      </c>
      <c r="I118" s="3450"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"100%,70%,56%"</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8</v>
      </c>
    </row>
    <row r="2" spans="1:33" ht="18" customHeight="1">
      <c r="A2" s="201" t="s">
        <v>1462</v>
      </c>
      <c r="B2" s="204">
        <f ca="1">C32</f>
        <v>16585</v>
      </c>
      <c r="C2" s="276" t="s">
        <v>1595</v>
      </c>
      <c r="D2" s="276"/>
      <c r="E2" s="2802"/>
      <c r="F2" s="2802"/>
      <c r="G2" s="2802"/>
      <c r="H2" s="2802"/>
      <c r="I2" s="2802"/>
      <c r="J2" s="2802"/>
      <c r="K2" s="2802"/>
    </row>
    <row r="3" spans="1:33" ht="18" customHeight="1" thickBot="1">
      <c r="A3" s="203" t="s">
        <v>1464</v>
      </c>
      <c r="B3" s="204">
        <f ca="1">ROUND(B2*10000/IF(C1="",'数据-汇总表'!E3,INDIRECT("'数据-取费表'!K"&amp;$K$1)),0)</f>
        <v>1313559</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126.25999999999999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126.25999999999999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-14060</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87.89</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38.36999999999999</v>
      </c>
      <c r="E20" s="21">
        <f>'数据-取费表'!B28</f>
        <v>200</v>
      </c>
      <c r="F20" s="804"/>
      <c r="G20" s="12"/>
      <c r="H20" s="809"/>
      <c r="I20" s="809"/>
      <c r="J20" s="809"/>
      <c r="K20" s="810"/>
    </row>
    <row r="21" spans="1:33" s="803" customFormat="1" ht="13.5" customHeight="1">
      <c r="A21" s="790" t="s">
        <v>357</v>
      </c>
      <c r="B21" s="813" t="s">
        <v>1628</v>
      </c>
      <c r="C21" s="814">
        <f ca="1">C16+C17+C18</f>
        <v>-14060</v>
      </c>
      <c r="D21" s="815"/>
      <c r="E21" s="281"/>
      <c r="F21" s="281"/>
      <c r="G21" s="131" t="s">
        <v>1629</v>
      </c>
      <c r="H21" s="807"/>
      <c r="I21" s="807"/>
      <c r="J21" s="807"/>
      <c r="K21" s="808"/>
    </row>
    <row r="22" spans="1:33" s="803" customFormat="1" ht="13.5" customHeight="1">
      <c r="A22" s="790" t="s">
        <v>1601</v>
      </c>
      <c r="B22" s="813" t="s">
        <v>1630</v>
      </c>
      <c r="C22" s="814">
        <f ca="1">ROUND(C21*F22,0)</f>
        <v>-281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-2725</v>
      </c>
      <c r="D28" s="280">
        <f ca="1">C29</f>
        <v>0</v>
      </c>
      <c r="E28" s="282" t="s">
        <v>12</v>
      </c>
      <c r="F28" s="288">
        <f ca="1">IF(C1="",'数据-取费表'!Q16,INDIRECT("'数据-取费表'!q"&amp;$K$1))</f>
        <v>0.19</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-2725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16585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0</v>
      </c>
      <c r="D6" s="155" t="s">
        <v>2109</v>
      </c>
      <c r="E6" s="302" t="s">
        <v>696</v>
      </c>
      <c r="F6" s="303">
        <f ca="1">INDIRECT("'数据-取费表'!u"&amp;$G$1)</f>
        <v>0</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4" t="s">
        <v>2308</v>
      </c>
      <c r="I31" s="1398"/>
      <c r="J31" s="1399"/>
      <c r="K31" s="2472"/>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5" t="s">
        <v>2316</v>
      </c>
      <c r="B2" s="2839" t="e">
        <f>IF(D2="——",C40,C40+E2)</f>
        <v>#DIV/0!</v>
      </c>
      <c r="C2" s="2840" t="s">
        <v>2317</v>
      </c>
      <c r="D2" s="3439" t="s">
        <v>3362</v>
      </c>
      <c r="E2" s="3440"/>
      <c r="F2" s="2842"/>
      <c r="G2" s="2843"/>
      <c r="H2" s="2844"/>
      <c r="I2" s="2845"/>
      <c r="J2" s="3728" t="s">
        <v>2318</v>
      </c>
      <c r="K2" s="3729"/>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30" t="s">
        <v>2328</v>
      </c>
      <c r="K3" s="3731"/>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30" t="s">
        <v>2330</v>
      </c>
      <c r="K4" s="3731"/>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36" t="s">
        <v>2334</v>
      </c>
      <c r="B6" s="3737"/>
      <c r="C6" s="3738"/>
      <c r="D6" s="2866"/>
      <c r="E6" s="2867"/>
      <c r="F6" s="2868"/>
      <c r="G6" s="2869"/>
      <c r="H6" s="2844"/>
      <c r="I6" s="2845"/>
      <c r="J6" s="3722">
        <v>1</v>
      </c>
      <c r="K6" s="3723"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22"/>
      <c r="K7" s="3724"/>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739" t="s">
        <v>2348</v>
      </c>
      <c r="C8" s="3740"/>
      <c r="D8" s="2885" t="s">
        <v>2349</v>
      </c>
      <c r="E8" s="2886" t="s">
        <v>2350</v>
      </c>
      <c r="F8" s="2887" t="s">
        <v>2351</v>
      </c>
      <c r="G8" s="2888"/>
      <c r="H8" s="2844"/>
      <c r="I8" s="2845"/>
      <c r="J8" s="3722"/>
      <c r="K8" s="3724"/>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739" t="s">
        <v>2354</v>
      </c>
      <c r="C9" s="3740"/>
      <c r="D9" s="2885">
        <f>ROUND(D6*E9,0)</f>
        <v>0</v>
      </c>
      <c r="E9" s="2889"/>
      <c r="F9" s="2890" t="s">
        <v>2355</v>
      </c>
      <c r="G9" s="2869"/>
      <c r="H9" s="2844"/>
      <c r="I9" s="2845"/>
      <c r="J9" s="3722"/>
      <c r="K9" s="3724"/>
      <c r="L9" s="2879" t="s">
        <v>2356</v>
      </c>
      <c r="M9" s="2880"/>
      <c r="N9" s="2856"/>
      <c r="O9" s="2881"/>
      <c r="P9" s="2881"/>
      <c r="Q9" s="2882">
        <v>365</v>
      </c>
      <c r="R9" s="2883">
        <f t="shared" si="0"/>
        <v>0</v>
      </c>
      <c r="S9" s="2837"/>
      <c r="T9" s="2837"/>
      <c r="U9" s="2837"/>
      <c r="V9" s="2845"/>
    </row>
    <row r="10" spans="1:22" s="2849" customFormat="1" ht="13.15" customHeight="1">
      <c r="A10" s="2884">
        <v>2</v>
      </c>
      <c r="B10" s="3739" t="s">
        <v>2357</v>
      </c>
      <c r="C10" s="3740"/>
      <c r="D10" s="2885">
        <f>ROUND(D6*E10,0)</f>
        <v>0</v>
      </c>
      <c r="E10" s="2889"/>
      <c r="F10" s="2890" t="s">
        <v>2358</v>
      </c>
      <c r="G10" s="2869"/>
      <c r="H10" s="2844"/>
      <c r="I10" s="2845"/>
      <c r="J10" s="3722"/>
      <c r="K10" s="3724"/>
      <c r="L10" s="2879" t="s">
        <v>2359</v>
      </c>
      <c r="M10" s="2880"/>
      <c r="N10" s="2856"/>
      <c r="O10" s="2881"/>
      <c r="P10" s="2881"/>
      <c r="Q10" s="2882">
        <v>365</v>
      </c>
      <c r="R10" s="2883">
        <f t="shared" si="0"/>
        <v>0</v>
      </c>
      <c r="S10" s="2837"/>
      <c r="T10" s="2837"/>
      <c r="U10" s="2837"/>
      <c r="V10" s="2845"/>
    </row>
    <row r="11" spans="1:22" s="2849" customFormat="1" ht="13.15" customHeight="1">
      <c r="A11" s="2884">
        <v>3</v>
      </c>
      <c r="B11" s="3739" t="s">
        <v>2360</v>
      </c>
      <c r="C11" s="3740"/>
      <c r="D11" s="2885">
        <f>D12+D14+D15+D16</f>
        <v>0</v>
      </c>
      <c r="E11" s="2891" t="e">
        <f>D11/D6</f>
        <v>#DIV/0!</v>
      </c>
      <c r="F11" s="2887"/>
      <c r="G11" s="2888"/>
      <c r="H11" s="2844"/>
      <c r="I11" s="2845"/>
      <c r="J11" s="3722"/>
      <c r="K11" s="3724"/>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32" t="s">
        <v>2363</v>
      </c>
      <c r="C12" s="3733"/>
      <c r="D12" s="2893">
        <f>ROUND(D13*1.2%*(1-30%),0)</f>
        <v>0</v>
      </c>
      <c r="E12" s="2894">
        <v>1.2E-2</v>
      </c>
      <c r="F12" s="2887" t="s">
        <v>2364</v>
      </c>
      <c r="G12" s="2888"/>
      <c r="H12" s="2844"/>
      <c r="I12" s="2845"/>
      <c r="J12" s="3722"/>
      <c r="K12" s="3724"/>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22"/>
      <c r="K13" s="3724"/>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32" t="s">
        <v>2369</v>
      </c>
      <c r="C14" s="3733"/>
      <c r="D14" s="2893">
        <f>ROUND(E14*B5/10000,0)</f>
        <v>0</v>
      </c>
      <c r="E14" s="2882"/>
      <c r="F14" s="2887" t="s">
        <v>2370</v>
      </c>
      <c r="G14" s="2888"/>
      <c r="H14" s="2844"/>
      <c r="I14" s="2845"/>
      <c r="J14" s="3722"/>
      <c r="K14" s="3725"/>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32" t="s">
        <v>2373</v>
      </c>
      <c r="C15" s="3733"/>
      <c r="D15" s="2893">
        <f>ROUND(D6*E15,0)</f>
        <v>0</v>
      </c>
      <c r="E15" s="2894">
        <v>5.5E-2</v>
      </c>
      <c r="F15" s="2887" t="s">
        <v>2374</v>
      </c>
      <c r="G15" s="2869"/>
      <c r="H15" s="2844"/>
      <c r="I15" s="2845"/>
      <c r="J15" s="3722">
        <v>2</v>
      </c>
      <c r="K15" s="3723"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32" t="s">
        <v>2382</v>
      </c>
      <c r="C16" s="3733"/>
      <c r="D16" s="2904">
        <f>D6*E16</f>
        <v>0</v>
      </c>
      <c r="E16" s="2905"/>
      <c r="F16" s="2890" t="s">
        <v>2383</v>
      </c>
      <c r="G16" s="2869"/>
      <c r="H16" s="2844"/>
      <c r="I16" s="2845"/>
      <c r="J16" s="3722"/>
      <c r="K16" s="3724"/>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34" t="s">
        <v>2385</v>
      </c>
      <c r="C17" s="3735"/>
      <c r="D17" s="2907">
        <f>ROUND(D6*E17,0)</f>
        <v>0</v>
      </c>
      <c r="E17" s="2908"/>
      <c r="F17" s="2909" t="s">
        <v>2386</v>
      </c>
      <c r="G17" s="2869"/>
      <c r="H17" s="2844"/>
      <c r="I17" s="2845"/>
      <c r="J17" s="3722"/>
      <c r="K17" s="3724"/>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22"/>
      <c r="K18" s="3724"/>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22"/>
      <c r="K19" s="3725"/>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2">
        <v>3</v>
      </c>
      <c r="K20" s="3723"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22"/>
      <c r="K21" s="3724"/>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22"/>
      <c r="K22" s="3724"/>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22"/>
      <c r="K23" s="3724"/>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22"/>
      <c r="K24" s="3725"/>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26">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2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28" t="s">
        <v>2318</v>
      </c>
      <c r="K32" s="3729"/>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30" t="s">
        <v>2328</v>
      </c>
      <c r="K33" s="3731"/>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30" t="s">
        <v>2330</v>
      </c>
      <c r="K34" s="373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22">
        <v>1</v>
      </c>
      <c r="K36" s="3723"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22"/>
      <c r="K37" s="3724"/>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2"/>
      <c r="K38" s="3724"/>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22"/>
      <c r="K39" s="3724"/>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22"/>
      <c r="K40" s="3725"/>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6">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2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185.92179999999999</v>
      </c>
      <c r="C2" s="1872" t="s">
        <v>1651</v>
      </c>
      <c r="D2" s="1873" t="s">
        <v>1652</v>
      </c>
      <c r="E2" s="2603">
        <f>SUM(E6:E13)</f>
        <v>87.89</v>
      </c>
      <c r="F2" s="2703"/>
      <c r="G2" s="1489"/>
      <c r="H2" s="1489"/>
      <c r="I2" s="1489"/>
      <c r="J2" s="1489"/>
      <c r="K2" s="1489"/>
      <c r="L2" s="1489"/>
      <c r="M2" s="1489"/>
      <c r="N2" s="1489"/>
      <c r="O2" s="1489"/>
      <c r="P2" s="1489"/>
      <c r="Q2" s="1489"/>
      <c r="R2" s="1489"/>
      <c r="S2" s="1489"/>
    </row>
    <row r="3" spans="1:22" ht="15.75">
      <c r="A3" s="1870" t="s">
        <v>686</v>
      </c>
      <c r="B3" s="2597">
        <f ca="1">ROUND(B2*10000/E2,0)</f>
        <v>21154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41" t="s">
        <v>1654</v>
      </c>
      <c r="C5" s="3742"/>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185.92179999999999</v>
      </c>
      <c r="C6" s="1872" t="s">
        <v>1651</v>
      </c>
      <c r="D6" s="2705"/>
      <c r="E6" s="2602">
        <f>IF(OR(A6=0,F6="否"),0,'数据-取费表'!K6+'数据-取费表'!S6)</f>
        <v>87.89</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估价对象为房地产，为所有。根据《国有土地使用证》[]，估价对象（分摊）出让国有建设用地使用权面积为0平方米，建筑面积为126.26平方米。</v>
      </c>
    </row>
    <row r="8" spans="1:1" ht="57.75">
      <c r="A8" s="1483" t="s">
        <v>901</v>
      </c>
    </row>
    <row r="9" spans="1:1" ht="18.75">
      <c r="A9" s="1482" t="s">
        <v>902</v>
      </c>
    </row>
    <row r="10" spans="1:1" ht="54">
      <c r="A10" s="148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"本次评估采用的主估价方法为"&amp;'结果表-住宅'!K4&amp;"和"&amp;'结果表-住宅'!L4&amp;"。"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126.25999999999999</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700" t="s">
        <v>1771</v>
      </c>
      <c r="S4" s="3701"/>
      <c r="T4" s="3700" t="s">
        <v>1772</v>
      </c>
      <c r="U4" s="3701"/>
      <c r="V4" s="3706" t="s">
        <v>1773</v>
      </c>
      <c r="W4" s="3706"/>
      <c r="X4" s="1355"/>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1"/>
      <c r="M5" s="2712"/>
      <c r="N5" s="2712"/>
      <c r="O5" s="2712"/>
      <c r="P5" s="3696"/>
      <c r="Q5" s="3697"/>
      <c r="R5" s="3702"/>
      <c r="S5" s="3703"/>
      <c r="T5" s="3702"/>
      <c r="U5" s="3703"/>
      <c r="V5" s="3706"/>
      <c r="W5" s="3706"/>
      <c r="X5" s="1355"/>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1"/>
      <c r="M6" s="2712"/>
      <c r="N6" s="2712"/>
      <c r="O6" s="2712"/>
      <c r="P6" s="3698"/>
      <c r="Q6" s="3699"/>
      <c r="R6" s="3702"/>
      <c r="S6" s="3703"/>
      <c r="T6" s="3704"/>
      <c r="U6" s="3705"/>
      <c r="V6" s="3706"/>
      <c r="W6" s="3706"/>
      <c r="X6" s="1355"/>
      <c r="Y6" s="3704"/>
      <c r="Z6" s="3705"/>
      <c r="AA6" s="3689"/>
      <c r="AB6" s="3706"/>
      <c r="AC6" s="3689"/>
    </row>
    <row r="7" spans="1:29" s="108" customFormat="1" ht="15.75" thickBot="1">
      <c r="A7" s="362" t="s">
        <v>1679</v>
      </c>
      <c r="B7" s="363"/>
      <c r="C7" s="364">
        <f>'数据-取费表'!B2</f>
        <v>45162</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84" t="s">
        <v>1691</v>
      </c>
      <c r="Q15" s="1352" t="str">
        <f t="shared" si="6"/>
        <v>商业繁华度</v>
      </c>
      <c r="R15" s="705" t="s">
        <v>14</v>
      </c>
      <c r="S15" s="706">
        <f t="shared" si="0"/>
        <v>100</v>
      </c>
      <c r="T15" s="705" t="s">
        <v>14</v>
      </c>
      <c r="U15" s="706">
        <f t="shared" si="1"/>
        <v>100</v>
      </c>
      <c r="V15" s="705" t="s">
        <v>14</v>
      </c>
      <c r="W15" s="706">
        <f t="shared" si="2"/>
        <v>100</v>
      </c>
      <c r="X15" s="1355"/>
      <c r="Y15" s="367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85"/>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估价对象房地状况!C6</f>
        <v>周边有358路、489路、597路等多条公交线路经过并设站，周边3公里内无地铁，交通便捷度一般。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85"/>
      <c r="Q18" s="1352"/>
      <c r="R18" s="705"/>
      <c r="S18" s="706"/>
      <c r="T18" s="705"/>
      <c r="U18" s="706"/>
      <c r="V18" s="705"/>
      <c r="W18" s="706"/>
      <c r="X18" s="1355"/>
      <c r="Y18" s="3678"/>
      <c r="Z18" s="1356"/>
      <c r="AA18" s="1353">
        <v>1</v>
      </c>
      <c r="AB18" s="1353">
        <v>1</v>
      </c>
      <c r="AC18" s="1353">
        <v>1</v>
      </c>
    </row>
    <row r="19" spans="1:29" ht="42.75">
      <c r="A19" s="379"/>
      <c r="B19" s="402" t="s">
        <v>1778</v>
      </c>
      <c r="C19" s="1900" t="str">
        <f>估价对象房地状况!C7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85"/>
      <c r="Q20" s="1352"/>
      <c r="R20" s="705"/>
      <c r="S20" s="706"/>
      <c r="T20" s="705"/>
      <c r="U20" s="706"/>
      <c r="V20" s="705"/>
      <c r="W20" s="706"/>
      <c r="X20" s="1355"/>
      <c r="Y20" s="367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85"/>
      <c r="Q22" s="1352"/>
      <c r="R22" s="705"/>
      <c r="S22" s="706"/>
      <c r="T22" s="705"/>
      <c r="U22" s="706"/>
      <c r="V22" s="705"/>
      <c r="W22" s="706"/>
      <c r="X22" s="1355"/>
      <c r="Y22" s="3678"/>
      <c r="Z22" s="1356"/>
      <c r="AA22" s="1353">
        <v>1</v>
      </c>
      <c r="AB22" s="1353">
        <v>1</v>
      </c>
      <c r="AC22" s="1353">
        <v>1</v>
      </c>
    </row>
    <row r="23" spans="1:29" ht="57">
      <c r="A23" s="379"/>
      <c r="B23" s="402" t="s">
        <v>1261</v>
      </c>
      <c r="C23" s="1953" t="str">
        <f>估价对象房地状况!C9</f>
        <v>估价对象周边有炮山城市森林公园、锦绣公园、青山公园、永定河引水渠等自然人文景观，总体自然人文环境较好。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85"/>
      <c r="Q23" s="1352" t="str">
        <f>B23</f>
        <v>自然及人文环境</v>
      </c>
      <c r="R23" s="705" t="s">
        <v>14</v>
      </c>
      <c r="S23" s="706">
        <f>F23</f>
        <v>100</v>
      </c>
      <c r="T23" s="705" t="s">
        <v>14</v>
      </c>
      <c r="U23" s="706">
        <f>H23</f>
        <v>100</v>
      </c>
      <c r="V23" s="705" t="s">
        <v>14</v>
      </c>
      <c r="W23" s="706">
        <f>J23</f>
        <v>100</v>
      </c>
      <c r="X23" s="1355"/>
      <c r="Y23" s="36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85"/>
      <c r="Q24" s="1352"/>
      <c r="R24" s="705"/>
      <c r="S24" s="706"/>
      <c r="T24" s="705"/>
      <c r="U24" s="706"/>
      <c r="V24" s="705"/>
      <c r="W24" s="706"/>
      <c r="X24" s="1355"/>
      <c r="Y24" s="367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85"/>
      <c r="Q25" s="1352" t="str">
        <f t="shared" ref="Q25:Q46" si="11">B25</f>
        <v>临街状况</v>
      </c>
      <c r="R25" s="705" t="s">
        <v>14</v>
      </c>
      <c r="S25" s="706">
        <f>F25</f>
        <v>100</v>
      </c>
      <c r="T25" s="705" t="s">
        <v>14</v>
      </c>
      <c r="U25" s="706">
        <f>H25</f>
        <v>100</v>
      </c>
      <c r="V25" s="705" t="s">
        <v>14</v>
      </c>
      <c r="W25" s="706">
        <f>J25</f>
        <v>100</v>
      </c>
      <c r="X25" s="1355"/>
      <c r="Y25" s="367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85"/>
      <c r="Q26" s="1352" t="str">
        <f t="shared" si="11"/>
        <v>平面位置/可视性</v>
      </c>
      <c r="R26" s="705" t="s">
        <v>14</v>
      </c>
      <c r="S26" s="706">
        <f>F26</f>
        <v>100</v>
      </c>
      <c r="T26" s="705" t="s">
        <v>14</v>
      </c>
      <c r="U26" s="706">
        <f>H26</f>
        <v>100</v>
      </c>
      <c r="V26" s="705" t="s">
        <v>14</v>
      </c>
      <c r="W26" s="706">
        <f>J26</f>
        <v>100</v>
      </c>
      <c r="X26" s="1355"/>
      <c r="Y26" s="3678"/>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685"/>
      <c r="Q27" s="1343" t="str">
        <f t="shared" si="11"/>
        <v>人流量</v>
      </c>
      <c r="R27" s="701" t="s">
        <v>14</v>
      </c>
      <c r="S27" s="702">
        <f>F27</f>
        <v>100</v>
      </c>
      <c r="T27" s="701" t="s">
        <v>14</v>
      </c>
      <c r="U27" s="702">
        <f>H27</f>
        <v>100</v>
      </c>
      <c r="V27" s="701" t="s">
        <v>14</v>
      </c>
      <c r="W27" s="702">
        <f>J27</f>
        <v>100</v>
      </c>
      <c r="X27" s="703"/>
      <c r="Y27" s="367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85"/>
      <c r="Q29" s="1352">
        <f t="shared" si="11"/>
        <v>111</v>
      </c>
      <c r="R29" s="705" t="s">
        <v>14</v>
      </c>
      <c r="S29" s="706">
        <f t="shared" si="12"/>
        <v>100</v>
      </c>
      <c r="T29" s="705" t="s">
        <v>14</v>
      </c>
      <c r="U29" s="706">
        <f t="shared" si="13"/>
        <v>100</v>
      </c>
      <c r="V29" s="705" t="s">
        <v>14</v>
      </c>
      <c r="W29" s="706">
        <f t="shared" si="14"/>
        <v>100</v>
      </c>
      <c r="X29" s="1355"/>
      <c r="Y29" s="36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9"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680"/>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80"/>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0"/>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80"/>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80"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80"/>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0"/>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80"/>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80"/>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0"/>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0"/>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0"/>
      <c r="M48" s="2721"/>
      <c r="N48" s="2712"/>
      <c r="O48" s="2721"/>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126.25999999999999</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749" t="s">
        <v>1775</v>
      </c>
      <c r="Q4" s="3750"/>
      <c r="R4" s="3753" t="s">
        <v>1771</v>
      </c>
      <c r="S4" s="3754"/>
      <c r="T4" s="3753" t="s">
        <v>1772</v>
      </c>
      <c r="U4" s="3754"/>
      <c r="V4" s="3755" t="s">
        <v>1773</v>
      </c>
      <c r="W4" s="3755"/>
      <c r="X4" s="1956"/>
      <c r="Y4" s="3753" t="s">
        <v>1775</v>
      </c>
      <c r="Z4" s="3754"/>
      <c r="AA4" s="3757" t="s">
        <v>1771</v>
      </c>
      <c r="AB4" s="3757" t="s">
        <v>1772</v>
      </c>
      <c r="AC4" s="3746" t="s">
        <v>1773</v>
      </c>
    </row>
    <row r="5" spans="1:29" ht="15">
      <c r="A5" s="358"/>
      <c r="B5" s="359"/>
      <c r="C5" s="3709" t="s">
        <v>1673</v>
      </c>
      <c r="D5" s="3710"/>
      <c r="E5" s="3716" t="s">
        <v>1674</v>
      </c>
      <c r="F5" s="3717"/>
      <c r="G5" s="3709" t="s">
        <v>1675</v>
      </c>
      <c r="H5" s="3710"/>
      <c r="I5" s="3709" t="s">
        <v>1676</v>
      </c>
      <c r="J5" s="3710"/>
      <c r="K5" s="559"/>
      <c r="L5" s="2711"/>
      <c r="M5" s="2712"/>
      <c r="N5" s="2712"/>
      <c r="O5" s="2712"/>
      <c r="P5" s="3751"/>
      <c r="Q5" s="3697"/>
      <c r="R5" s="3702"/>
      <c r="S5" s="3703"/>
      <c r="T5" s="3702"/>
      <c r="U5" s="3703"/>
      <c r="V5" s="3706"/>
      <c r="W5" s="3706"/>
      <c r="X5" s="1355"/>
      <c r="Y5" s="3702"/>
      <c r="Z5" s="3703"/>
      <c r="AA5" s="3688"/>
      <c r="AB5" s="3688"/>
      <c r="AC5" s="3747"/>
    </row>
    <row r="6" spans="1:29" ht="15.75" thickBot="1">
      <c r="A6" s="360"/>
      <c r="B6" s="361"/>
      <c r="C6" s="3707" t="s">
        <v>1677</v>
      </c>
      <c r="D6" s="3708"/>
      <c r="E6" s="3714" t="s">
        <v>1677</v>
      </c>
      <c r="F6" s="3715"/>
      <c r="G6" s="3707" t="s">
        <v>1677</v>
      </c>
      <c r="H6" s="3708"/>
      <c r="I6" s="3707" t="s">
        <v>1677</v>
      </c>
      <c r="J6" s="3708"/>
      <c r="K6" s="559" t="s">
        <v>1678</v>
      </c>
      <c r="L6" s="2711"/>
      <c r="M6" s="2712"/>
      <c r="N6" s="2712"/>
      <c r="O6" s="2712"/>
      <c r="P6" s="3752"/>
      <c r="Q6" s="3699"/>
      <c r="R6" s="3702"/>
      <c r="S6" s="3703"/>
      <c r="T6" s="3704"/>
      <c r="U6" s="3705"/>
      <c r="V6" s="3706"/>
      <c r="W6" s="3706"/>
      <c r="X6" s="1355"/>
      <c r="Y6" s="3704"/>
      <c r="Z6" s="3705"/>
      <c r="AA6" s="3689"/>
      <c r="AB6" s="3689"/>
      <c r="AC6" s="3748"/>
    </row>
    <row r="7" spans="1:29" s="108" customFormat="1" ht="15.75" thickBot="1">
      <c r="A7" s="362" t="s">
        <v>1679</v>
      </c>
      <c r="B7" s="363"/>
      <c r="C7" s="364">
        <f>'数据-取费表'!B2</f>
        <v>45162</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6"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6"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7">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68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68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68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84" t="s">
        <v>1691</v>
      </c>
      <c r="Q15" s="1352" t="str">
        <f t="shared" si="6"/>
        <v>办公集聚程度</v>
      </c>
      <c r="R15" s="705" t="s">
        <v>14</v>
      </c>
      <c r="S15" s="706">
        <f t="shared" si="0"/>
        <v>100</v>
      </c>
      <c r="T15" s="705" t="s">
        <v>14</v>
      </c>
      <c r="U15" s="706">
        <f t="shared" si="1"/>
        <v>100</v>
      </c>
      <c r="V15" s="705" t="s">
        <v>14</v>
      </c>
      <c r="W15" s="706">
        <f t="shared" si="2"/>
        <v>100</v>
      </c>
      <c r="X15" s="1355"/>
      <c r="Y15" s="3677"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685"/>
      <c r="Q16" s="1352"/>
      <c r="R16" s="705"/>
      <c r="S16" s="706"/>
      <c r="T16" s="705"/>
      <c r="U16" s="706"/>
      <c r="V16" s="705"/>
      <c r="W16" s="706"/>
      <c r="X16" s="1355"/>
      <c r="Y16" s="3678"/>
      <c r="Z16" s="1356"/>
      <c r="AA16" s="1353">
        <v>1</v>
      </c>
      <c r="AB16" s="1353">
        <v>1</v>
      </c>
      <c r="AC16" s="1960">
        <v>1</v>
      </c>
    </row>
    <row r="17" spans="1:29" ht="71.25">
      <c r="A17" s="379"/>
      <c r="B17" s="579" t="s">
        <v>1259</v>
      </c>
      <c r="C17" s="1961" t="str">
        <f>估价对象房地状况!C6</f>
        <v>周边有358路、489路、597路等多条公交线路经过并设站，周边3公里内无地铁，交通便捷度一般。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685"/>
      <c r="Q18" s="1352"/>
      <c r="R18" s="705"/>
      <c r="S18" s="706"/>
      <c r="T18" s="705"/>
      <c r="U18" s="706"/>
      <c r="V18" s="705"/>
      <c r="W18" s="706"/>
      <c r="X18" s="1355"/>
      <c r="Y18" s="3678"/>
      <c r="Z18" s="1356"/>
      <c r="AA18" s="1353">
        <v>1</v>
      </c>
      <c r="AB18" s="1353">
        <v>1</v>
      </c>
      <c r="AC18" s="1960">
        <v>1</v>
      </c>
    </row>
    <row r="19" spans="1:29" ht="42.75">
      <c r="A19" s="379"/>
      <c r="B19" s="579" t="s">
        <v>1812</v>
      </c>
      <c r="C19" s="1961" t="str">
        <f>估价对象房地状况!C7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685"/>
      <c r="Q20" s="1352"/>
      <c r="R20" s="705"/>
      <c r="S20" s="706"/>
      <c r="T20" s="705"/>
      <c r="U20" s="706"/>
      <c r="V20" s="705"/>
      <c r="W20" s="706"/>
      <c r="X20" s="1355"/>
      <c r="Y20" s="3678"/>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685"/>
      <c r="Q22" s="1352"/>
      <c r="R22" s="705"/>
      <c r="S22" s="706"/>
      <c r="T22" s="705"/>
      <c r="U22" s="706"/>
      <c r="V22" s="705"/>
      <c r="W22" s="706"/>
      <c r="X22" s="1355"/>
      <c r="Y22" s="3678"/>
      <c r="Z22" s="1356"/>
      <c r="AA22" s="1353">
        <v>1</v>
      </c>
      <c r="AB22" s="1353">
        <v>1</v>
      </c>
      <c r="AC22" s="1960">
        <v>1</v>
      </c>
    </row>
    <row r="23" spans="1:29" ht="42.75">
      <c r="A23" s="379"/>
      <c r="B23" s="579" t="s">
        <v>1814</v>
      </c>
      <c r="C23" s="1961" t="str">
        <f>估价对象房地状况!C9</f>
        <v>估价对象周边有炮山城市森林公园、锦绣公园、青山公园、永定河引水渠等自然人文景观，总体自然人文环境较好。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85"/>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685"/>
      <c r="Q24" s="1352"/>
      <c r="R24" s="705"/>
      <c r="S24" s="706"/>
      <c r="T24" s="705"/>
      <c r="U24" s="706"/>
      <c r="V24" s="705"/>
      <c r="W24" s="706"/>
      <c r="X24" s="1355"/>
      <c r="Y24" s="3678"/>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85"/>
      <c r="Q25" s="1352" t="str">
        <f>B25</f>
        <v>毗邻道路的类型与等级</v>
      </c>
      <c r="R25" s="705" t="s">
        <v>14</v>
      </c>
      <c r="S25" s="706">
        <f>F25</f>
        <v>100</v>
      </c>
      <c r="T25" s="705" t="s">
        <v>14</v>
      </c>
      <c r="U25" s="706">
        <f>H25</f>
        <v>100</v>
      </c>
      <c r="V25" s="705" t="s">
        <v>14</v>
      </c>
      <c r="W25" s="706">
        <f>J25</f>
        <v>100</v>
      </c>
      <c r="X25" s="1355"/>
      <c r="Y25" s="367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685"/>
      <c r="Q26" s="1352"/>
      <c r="R26" s="705"/>
      <c r="S26" s="706"/>
      <c r="T26" s="705"/>
      <c r="U26" s="706"/>
      <c r="V26" s="705"/>
      <c r="W26" s="706"/>
      <c r="X26" s="1355"/>
      <c r="Y26" s="367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85"/>
      <c r="Q27" s="1352" t="str">
        <f t="shared" ref="Q27:Q47" si="11">B27</f>
        <v>楼层</v>
      </c>
      <c r="R27" s="705" t="s">
        <v>14</v>
      </c>
      <c r="S27" s="706">
        <f>F27</f>
        <v>100</v>
      </c>
      <c r="T27" s="705" t="s">
        <v>14</v>
      </c>
      <c r="U27" s="706">
        <f>H27</f>
        <v>100</v>
      </c>
      <c r="V27" s="705" t="s">
        <v>14</v>
      </c>
      <c r="W27" s="706">
        <f>J27</f>
        <v>100</v>
      </c>
      <c r="X27" s="1355"/>
      <c r="Y27" s="3678"/>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685"/>
      <c r="Q28" s="1343" t="str">
        <f t="shared" si="11"/>
        <v>朝向</v>
      </c>
      <c r="R28" s="701" t="s">
        <v>14</v>
      </c>
      <c r="S28" s="702">
        <f>F28</f>
        <v>100</v>
      </c>
      <c r="T28" s="701" t="s">
        <v>14</v>
      </c>
      <c r="U28" s="702">
        <f>H28</f>
        <v>100</v>
      </c>
      <c r="V28" s="701" t="s">
        <v>14</v>
      </c>
      <c r="W28" s="702">
        <f>J28</f>
        <v>100</v>
      </c>
      <c r="X28" s="703"/>
      <c r="Y28" s="3678"/>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78"/>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685"/>
      <c r="Q32" s="1352">
        <f t="shared" si="11"/>
        <v>111</v>
      </c>
      <c r="R32" s="705" t="s">
        <v>14</v>
      </c>
      <c r="S32" s="706">
        <f t="shared" si="12"/>
        <v>100</v>
      </c>
      <c r="T32" s="705" t="s">
        <v>14</v>
      </c>
      <c r="U32" s="706">
        <f t="shared" si="13"/>
        <v>100</v>
      </c>
      <c r="V32" s="705" t="s">
        <v>14</v>
      </c>
      <c r="W32" s="706">
        <f t="shared" si="14"/>
        <v>100</v>
      </c>
      <c r="X32" s="1355"/>
      <c r="Y32" s="3678"/>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679"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0"/>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0"/>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0"/>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0"/>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0"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0"/>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0"/>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0"/>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80"/>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0"/>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81"/>
      <c r="Q47" s="1352">
        <f t="shared" si="11"/>
        <v>111</v>
      </c>
      <c r="R47" s="705" t="s">
        <v>14</v>
      </c>
      <c r="S47" s="706">
        <f t="shared" si="12"/>
        <v>100</v>
      </c>
      <c r="T47" s="705" t="s">
        <v>14</v>
      </c>
      <c r="U47" s="706">
        <f t="shared" si="13"/>
        <v>100</v>
      </c>
      <c r="V47" s="705" t="s">
        <v>14</v>
      </c>
      <c r="W47" s="706">
        <f t="shared" si="14"/>
        <v>100</v>
      </c>
      <c r="X47" s="1355"/>
      <c r="Y47" s="3683"/>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0"/>
      <c r="M48" s="2712"/>
      <c r="N48" s="2712"/>
      <c r="O48" s="2712"/>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0"/>
      <c r="M49" s="2712"/>
      <c r="N49" s="2712"/>
      <c r="O49" s="2712"/>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126.25999999999999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3"/>
      <c r="M5" s="914"/>
      <c r="N5" s="914"/>
      <c r="O5" s="9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3"/>
      <c r="M6" s="914"/>
      <c r="N6" s="914"/>
      <c r="O6" s="9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45162</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8"/>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8"/>
      <c r="Q18" s="1352"/>
      <c r="R18" s="705"/>
      <c r="S18" s="706"/>
      <c r="T18" s="705"/>
      <c r="U18" s="706"/>
      <c r="V18" s="705"/>
      <c r="W18" s="706"/>
      <c r="X18" s="1355"/>
      <c r="Y18" s="367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8"/>
      <c r="Q20" s="1352"/>
      <c r="R20" s="705"/>
      <c r="S20" s="706"/>
      <c r="T20" s="705"/>
      <c r="U20" s="706"/>
      <c r="V20" s="705"/>
      <c r="W20" s="706"/>
      <c r="X20" s="1355"/>
      <c r="Y20" s="367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8"/>
      <c r="Q22" s="1352"/>
      <c r="R22" s="705"/>
      <c r="S22" s="706"/>
      <c r="T22" s="705"/>
      <c r="U22" s="706"/>
      <c r="V22" s="705"/>
      <c r="W22" s="706"/>
      <c r="X22" s="1355"/>
      <c r="Y22" s="367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8"/>
      <c r="Q24" s="1352"/>
      <c r="R24" s="705"/>
      <c r="S24" s="706"/>
      <c r="T24" s="705"/>
      <c r="U24" s="706"/>
      <c r="V24" s="705"/>
      <c r="W24" s="706"/>
      <c r="X24" s="1355"/>
      <c r="Y24" s="36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2">
        <f>B25</f>
        <v>111</v>
      </c>
      <c r="R25" s="705" t="s">
        <v>14</v>
      </c>
      <c r="S25" s="706">
        <f>F25</f>
        <v>100</v>
      </c>
      <c r="T25" s="705" t="s">
        <v>14</v>
      </c>
      <c r="U25" s="706">
        <f>H25</f>
        <v>100</v>
      </c>
      <c r="V25" s="705" t="s">
        <v>14</v>
      </c>
      <c r="W25" s="706">
        <f>J25</f>
        <v>100</v>
      </c>
      <c r="X25" s="1355"/>
      <c r="Y25" s="36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2">
        <f t="shared" ref="Q26:Q40" si="11">B26</f>
        <v>111</v>
      </c>
      <c r="R26" s="705" t="s">
        <v>14</v>
      </c>
      <c r="S26" s="706">
        <f>F26</f>
        <v>100</v>
      </c>
      <c r="T26" s="705" t="s">
        <v>14</v>
      </c>
      <c r="U26" s="706">
        <f>H26</f>
        <v>100</v>
      </c>
      <c r="V26" s="705" t="s">
        <v>14</v>
      </c>
      <c r="W26" s="706">
        <f>J26</f>
        <v>100</v>
      </c>
      <c r="X26" s="1355"/>
      <c r="Y26" s="36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3">
        <f t="shared" si="11"/>
        <v>111</v>
      </c>
      <c r="R27" s="701" t="s">
        <v>14</v>
      </c>
      <c r="S27" s="702">
        <f>F27</f>
        <v>100</v>
      </c>
      <c r="T27" s="701" t="s">
        <v>14</v>
      </c>
      <c r="U27" s="702">
        <f>H27</f>
        <v>100</v>
      </c>
      <c r="V27" s="701" t="s">
        <v>14</v>
      </c>
      <c r="W27" s="702">
        <f>J27</f>
        <v>100</v>
      </c>
      <c r="X27" s="703"/>
      <c r="Y27" s="367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2">
        <f t="shared" si="11"/>
        <v>111</v>
      </c>
      <c r="R28" s="705" t="s">
        <v>14</v>
      </c>
      <c r="S28" s="706">
        <f t="shared" ref="S28:S40" si="12">F28</f>
        <v>100</v>
      </c>
      <c r="T28" s="705" t="s">
        <v>14</v>
      </c>
      <c r="U28" s="706">
        <f t="shared" ref="U28:U40" si="13">H28</f>
        <v>100</v>
      </c>
      <c r="V28" s="705" t="s">
        <v>14</v>
      </c>
      <c r="W28" s="706">
        <f t="shared" ref="W28:W40" si="14">J28</f>
        <v>100</v>
      </c>
      <c r="X28" s="1355"/>
      <c r="Y28" s="3678"/>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2">
        <f t="shared" si="11"/>
        <v>111</v>
      </c>
      <c r="R40" s="705" t="s">
        <v>14</v>
      </c>
      <c r="S40" s="706">
        <f t="shared" si="12"/>
        <v>100</v>
      </c>
      <c r="T40" s="705" t="s">
        <v>14</v>
      </c>
      <c r="U40" s="706">
        <f t="shared" si="13"/>
        <v>100</v>
      </c>
      <c r="V40" s="705" t="s">
        <v>14</v>
      </c>
      <c r="W40" s="706">
        <f t="shared" si="14"/>
        <v>100</v>
      </c>
      <c r="X40" s="1355"/>
      <c r="Y40" s="368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topLeftCell="A4" zoomScale="90" zoomScaleNormal="70" zoomScaleSheetLayoutView="90" workbookViewId="0">
      <selection activeCell="B39" sqref="B39:B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3336</v>
      </c>
      <c r="C1" s="1859" t="s">
        <v>1563</v>
      </c>
      <c r="D1" s="198"/>
      <c r="E1" s="198"/>
      <c r="F1" s="198"/>
      <c r="G1" s="1126">
        <f>MATCH(B1,'数据-取费表'!A6:A16,0)+5</f>
        <v>7</v>
      </c>
      <c r="H1" s="1061" t="str">
        <f>IF(ISERROR(FIND("住宅",B1)),"非住宅","住宅")</f>
        <v>非住宅</v>
      </c>
    </row>
    <row r="2" spans="1:8" s="200" customFormat="1" ht="18" customHeight="1">
      <c r="A2" s="201" t="s">
        <v>685</v>
      </c>
      <c r="B2" s="3420">
        <f ca="1">ROUND(IF(D2="——",C52/10000,C52/10000-E2),4)</f>
        <v>27.4254</v>
      </c>
      <c r="C2" s="199" t="s">
        <v>1463</v>
      </c>
      <c r="D2" s="1853" t="s">
        <v>43</v>
      </c>
      <c r="E2" s="1169" t="e">
        <f ca="1">SUMIF(INDIRECT("'"&amp;G2&amp;"'"&amp;"!A:A"),"承租人权益价值",INDIRECT("'"&amp;G2&amp;"'"&amp;"!c:c"))</f>
        <v>#REF!</v>
      </c>
      <c r="F2" s="1854" t="s">
        <v>1463</v>
      </c>
      <c r="G2" s="1855"/>
    </row>
    <row r="3" spans="1:8" s="200" customFormat="1" ht="18" customHeight="1" thickBot="1">
      <c r="A3" s="203" t="s">
        <v>686</v>
      </c>
      <c r="B3" s="204">
        <f ca="1">ROUND(B2*10000/(IF(B1="",'数据-汇总表'!E3,INDIRECT("'数据-取费表'!k"&amp;$G$1))),0)</f>
        <v>7148</v>
      </c>
      <c r="C3" s="199" t="s">
        <v>1465</v>
      </c>
      <c r="D3" s="3837"/>
      <c r="E3" s="199"/>
      <c r="F3" s="199"/>
      <c r="G3" s="199"/>
    </row>
    <row r="4" spans="1:8" s="208" customFormat="1" ht="15.75">
      <c r="A4" s="205" t="s">
        <v>1466</v>
      </c>
      <c r="B4" s="206"/>
      <c r="C4" s="206"/>
      <c r="D4" s="206"/>
      <c r="E4" s="206"/>
      <c r="F4" s="206"/>
      <c r="G4" s="207"/>
    </row>
    <row r="5" spans="1:8" s="214" customFormat="1" ht="13.5" customHeight="1">
      <c r="A5" s="255" t="s">
        <v>337</v>
      </c>
      <c r="B5" s="210" t="s">
        <v>1468</v>
      </c>
      <c r="C5" s="211">
        <f ca="1">C6+C7+C8</f>
        <v>79440</v>
      </c>
      <c r="D5" s="211" t="s">
        <v>1469</v>
      </c>
      <c r="E5" s="212" t="s">
        <v>1470</v>
      </c>
      <c r="F5" s="212" t="s">
        <v>1471</v>
      </c>
      <c r="G5" s="213"/>
      <c r="H5" s="3837"/>
    </row>
    <row r="6" spans="1:8" s="214" customFormat="1" ht="13.5" customHeight="1">
      <c r="A6" s="778" t="s">
        <v>346</v>
      </c>
      <c r="B6" s="215" t="s">
        <v>1473</v>
      </c>
      <c r="C6" s="216">
        <f>ROUND(基准地价修正!C42*基准地价修正!D42,0)</f>
        <v>69642</v>
      </c>
      <c r="D6" s="217"/>
      <c r="E6" s="218"/>
      <c r="F6" s="218"/>
      <c r="G6" s="219"/>
    </row>
    <row r="7" spans="1:8" s="214" customFormat="1" ht="13.5" customHeight="1">
      <c r="A7" s="778" t="s">
        <v>347</v>
      </c>
      <c r="B7" s="215" t="s">
        <v>1475</v>
      </c>
      <c r="C7" s="220">
        <f>ROUND(C6*F7,0)</f>
        <v>2124</v>
      </c>
      <c r="D7" s="220"/>
      <c r="E7" s="218"/>
      <c r="F7" s="221">
        <f>IF(项目基本情况!B8="出让",0,'数据-取费表'!B48+'数据-取费表'!B49)</f>
        <v>3.0499999999999999E-2</v>
      </c>
      <c r="G7" s="219"/>
    </row>
    <row r="8" spans="1:8" s="223" customFormat="1">
      <c r="A8" s="778" t="s">
        <v>348</v>
      </c>
      <c r="B8" s="215" t="s">
        <v>1477</v>
      </c>
      <c r="C8" s="220">
        <f ca="1">IF(G8="已包含在土地购买价格中",0,C9+C10)</f>
        <v>7674</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7674</v>
      </c>
      <c r="D10" s="845">
        <f ca="1">IF(B1="",'数据-汇总表'!E6,IF(INDIRECT("'数据-取费表'!c"&amp;$G$1)="住宅",INDIRECT("'数据-取费表'!s"&amp;$G$1),INDIRECT("'数据-取费表'!k"&amp;$G$1)+INDIRECT("'数据-取费表'!s"&amp;$G$1)))</f>
        <v>38.369999999999997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1482</v>
      </c>
      <c r="C12" s="211">
        <v>0</v>
      </c>
      <c r="D12" s="847"/>
      <c r="E12" s="228"/>
      <c r="F12" s="221">
        <v>3.0499999999999999E-2</v>
      </c>
      <c r="G12" s="219"/>
    </row>
    <row r="13" spans="1:8" s="214" customFormat="1" ht="13.5" hidden="1" customHeight="1">
      <c r="A13" s="227" t="s">
        <v>6</v>
      </c>
      <c r="B13" s="215" t="s">
        <v>1483</v>
      </c>
      <c r="C13" s="211"/>
      <c r="D13" s="847"/>
      <c r="E13" s="218"/>
      <c r="F13" s="218"/>
      <c r="G13" s="219"/>
    </row>
    <row r="14" spans="1:8" s="214" customFormat="1" ht="13.5" hidden="1" customHeight="1">
      <c r="A14" s="227" t="s">
        <v>7</v>
      </c>
      <c r="B14" s="215" t="s">
        <v>1477</v>
      </c>
      <c r="C14" s="211"/>
      <c r="D14" s="847"/>
      <c r="E14" s="218"/>
      <c r="F14" s="218"/>
      <c r="G14" s="219" t="s">
        <v>1485</v>
      </c>
    </row>
    <row r="15" spans="1:8" s="214" customFormat="1" ht="13.5" hidden="1" customHeight="1">
      <c r="A15" s="227" t="s">
        <v>8</v>
      </c>
      <c r="B15" s="215" t="s">
        <v>1486</v>
      </c>
      <c r="C15" s="220"/>
      <c r="D15" s="847"/>
      <c r="E15" s="218"/>
      <c r="F15" s="218"/>
      <c r="G15" s="219" t="s">
        <v>1487</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IF(G19="已包含在土地取得成本中","0",ROUND(D19*E19,0))</f>
        <v>0</v>
      </c>
      <c r="D19" s="849">
        <f ca="1">D9+D10</f>
        <v>38.369999999999997</v>
      </c>
      <c r="E19" s="211">
        <f>'数据-取费表'!B31</f>
        <v>200</v>
      </c>
      <c r="F19" s="231"/>
      <c r="G19" s="1856" t="s">
        <v>3398</v>
      </c>
    </row>
    <row r="20" spans="1:7" s="214" customFormat="1" ht="13.5" customHeight="1">
      <c r="A20" s="255" t="s">
        <v>1493</v>
      </c>
      <c r="B20" s="210" t="s">
        <v>1494</v>
      </c>
      <c r="C20" s="232">
        <f ca="1">ROUND((C5+C19)*F20,0)</f>
        <v>1589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27">
        <f ca="1">ROUND(SUM(C23:C25),0)</f>
        <v>7801</v>
      </c>
      <c r="D22" s="235">
        <f ca="1">C26</f>
        <v>1E-3</v>
      </c>
      <c r="E22" s="236" t="s">
        <v>1498</v>
      </c>
      <c r="F22" s="237">
        <f ca="1">'数据-取费表'!B40</f>
        <v>4.7500000000000001E-2</v>
      </c>
      <c r="G22" s="234" t="str">
        <f>IF('数据-取费表'!B22&lt;=1,"单利计息","复利计息")</f>
        <v>复利计息</v>
      </c>
    </row>
    <row r="23" spans="1:7" s="214" customFormat="1" ht="13.5" customHeight="1">
      <c r="A23" s="780" t="s">
        <v>346</v>
      </c>
      <c r="B23" s="215" t="s">
        <v>1503</v>
      </c>
      <c r="C23" s="1128">
        <f ca="1">ROUND(IF('数据-取费表'!B22&lt;=1,C5*F22*'数据-取费表'!B22,C5*(POWER((1+F22),'数据-取费表'!B22)-1)),0)</f>
        <v>7726</v>
      </c>
      <c r="D23" s="238"/>
      <c r="E23" s="238"/>
      <c r="F23" s="239"/>
      <c r="G23" s="240" t="s">
        <v>1504</v>
      </c>
    </row>
    <row r="24" spans="1:7" s="214" customFormat="1" ht="13.5" customHeight="1">
      <c r="A24" s="780" t="s">
        <v>347</v>
      </c>
      <c r="B24" s="215" t="s">
        <v>1506</v>
      </c>
      <c r="C24" s="1128">
        <f ca="1">ROUND(IF('数据-取费表'!B22&lt;=1,C19*F22*('数据-取费表'!B19/2+'数据-取费表'!B20),C19*(POWER((1+F22),('数据-取费表'!B19/2+'数据-取费表'!B20))-1)),0)</f>
        <v>0</v>
      </c>
      <c r="D24" s="238"/>
      <c r="E24" s="238"/>
      <c r="F24" s="239"/>
      <c r="G24" s="240" t="s">
        <v>1507</v>
      </c>
    </row>
    <row r="25" spans="1:7" s="214" customFormat="1" ht="24">
      <c r="A25" s="780" t="s">
        <v>348</v>
      </c>
      <c r="B25" s="215" t="s">
        <v>1509</v>
      </c>
      <c r="C25" s="1128">
        <f ca="1">ROUND(IF('数据-取费表'!B22&lt;=1,C20*F22*'数据-取费表'!B22/2,C20*(POWER((1+F22),'数据-取费表'!B22/2)-1)),0)</f>
        <v>75</v>
      </c>
      <c r="D25" s="238"/>
      <c r="E25" s="241"/>
      <c r="F25" s="239"/>
      <c r="G25" s="242" t="s">
        <v>1510</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4051</v>
      </c>
      <c r="D27" s="235">
        <f ca="1">C29</f>
        <v>1E-3</v>
      </c>
      <c r="E27" s="236" t="s">
        <v>1498</v>
      </c>
      <c r="F27" s="246">
        <f ca="1">IF(B1="",'数据-取费表'!Q16,INDIRECT("'数据-取费表'!q"&amp;$G$1))</f>
        <v>0.05</v>
      </c>
      <c r="G27" s="247" t="s">
        <v>1515</v>
      </c>
    </row>
    <row r="28" spans="1:7" s="214" customFormat="1" ht="13.5" customHeight="1">
      <c r="A28" s="780" t="s">
        <v>346</v>
      </c>
      <c r="B28" s="248" t="s">
        <v>1516</v>
      </c>
      <c r="C28" s="249">
        <f ca="1">ROUND((C5+C19+C20)*F27,0)</f>
        <v>4051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100444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148012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134295</v>
      </c>
      <c r="D34" s="217"/>
      <c r="E34" s="220"/>
      <c r="F34" s="257"/>
      <c r="G34" s="219"/>
    </row>
    <row r="35" spans="1:7" ht="13.5" customHeight="1">
      <c r="A35" s="780" t="s">
        <v>351</v>
      </c>
      <c r="B35" s="215" t="s">
        <v>1527</v>
      </c>
      <c r="C35" s="220">
        <f ca="1">ROUND(C34*F35,0)</f>
        <v>4029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7674</v>
      </c>
      <c r="D37" s="217">
        <f ca="1">D19</f>
        <v>38.369999999999997</v>
      </c>
      <c r="E37" s="249">
        <f>'数据-取费表'!B35</f>
        <v>200</v>
      </c>
      <c r="F37" s="259"/>
      <c r="G37" s="261"/>
    </row>
    <row r="38" spans="1:7" ht="13.5" customHeight="1">
      <c r="A38" s="780" t="s">
        <v>354</v>
      </c>
      <c r="B38" s="215" t="s">
        <v>1533</v>
      </c>
      <c r="C38" s="220">
        <f ca="1">ROUND(C34*F38,0)</f>
        <v>2014</v>
      </c>
      <c r="D38" s="220"/>
      <c r="E38" s="220"/>
      <c r="F38" s="259">
        <f>'数据-取费表'!B36</f>
        <v>1.4999999999999999E-2</v>
      </c>
      <c r="G38" s="219" t="s">
        <v>1528</v>
      </c>
    </row>
    <row r="39" spans="1:7" s="214" customFormat="1" ht="13.5" customHeight="1">
      <c r="A39" s="255" t="s">
        <v>1491</v>
      </c>
      <c r="B39" s="210" t="s">
        <v>1494</v>
      </c>
      <c r="C39" s="232">
        <f ca="1">ROUND(C33*F20,0)</f>
        <v>2960</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7172</v>
      </c>
      <c r="D41" s="235">
        <f ca="1">C44</f>
        <v>1E-3</v>
      </c>
      <c r="E41" s="236" t="s">
        <v>1539</v>
      </c>
      <c r="F41" s="237">
        <f ca="1">F22</f>
        <v>4.7500000000000001E-2</v>
      </c>
      <c r="G41" s="234" t="str">
        <f>IF('数据-取费表'!B22&lt;=1,"单利计息","复利计息")</f>
        <v>复利计息</v>
      </c>
    </row>
    <row r="42" spans="1:7" ht="13.5" customHeight="1">
      <c r="A42" s="780" t="s">
        <v>346</v>
      </c>
      <c r="B42" s="215" t="s">
        <v>1503</v>
      </c>
      <c r="C42" s="238">
        <f ca="1">ROUND(IF('数据-取费表'!B22&lt;=1,C33*F22*'数据-取费表'!B20/2,C33*(POWER((1+F22),'数据-取费表'!B20/2)-1)),0)</f>
        <v>7031</v>
      </c>
      <c r="D42" s="238"/>
      <c r="E42" s="238"/>
      <c r="F42" s="239"/>
      <c r="G42" s="3664" t="s">
        <v>1591</v>
      </c>
    </row>
    <row r="43" spans="1:7" ht="13.5" customHeight="1">
      <c r="A43" s="780" t="s">
        <v>347</v>
      </c>
      <c r="B43" s="215" t="s">
        <v>1506</v>
      </c>
      <c r="C43" s="238">
        <f ca="1">ROUND(IF('数据-取费表'!B22&lt;=1,C39*F22*'数据-取费表'!B20/2,C39*(POWER((1+F22),'数据-取费表'!B20/2)-1)),0)</f>
        <v>141</v>
      </c>
      <c r="D43" s="238"/>
      <c r="E43" s="238"/>
      <c r="F43" s="239"/>
      <c r="G43" s="3665"/>
    </row>
    <row r="44" spans="1:7" ht="13.5" customHeight="1">
      <c r="A44" s="780" t="s">
        <v>348</v>
      </c>
      <c r="B44" s="215" t="s">
        <v>1509</v>
      </c>
      <c r="C44" s="238">
        <f ca="1">ROUND(IF('数据-取费表'!B22&lt;=1,C40*F22*'数据-取费表'!B20/2,C40*(POWER((1+F22),'数据-取费表'!B20/2)-1)),4)</f>
        <v>1E-3</v>
      </c>
      <c r="D44" s="238"/>
      <c r="E44" s="238"/>
      <c r="F44" s="239"/>
      <c r="G44" s="3666"/>
    </row>
    <row r="45" spans="1:7" s="214" customFormat="1" ht="13.5" customHeight="1">
      <c r="A45" s="255" t="s">
        <v>1500</v>
      </c>
      <c r="B45" s="244" t="s">
        <v>1513</v>
      </c>
      <c r="C45" s="245">
        <f ca="1">C46</f>
        <v>7549</v>
      </c>
      <c r="D45" s="235">
        <f ca="1">C47</f>
        <v>1E-3</v>
      </c>
      <c r="E45" s="236" t="s">
        <v>1539</v>
      </c>
      <c r="F45" s="246">
        <f ca="1">F27</f>
        <v>0.05</v>
      </c>
      <c r="G45" s="247" t="s">
        <v>1548</v>
      </c>
    </row>
    <row r="46" spans="1:7" s="214" customFormat="1" ht="13.5" customHeight="1">
      <c r="A46" s="780" t="s">
        <v>346</v>
      </c>
      <c r="B46" s="248" t="s">
        <v>1549</v>
      </c>
      <c r="C46" s="249">
        <f ca="1">ROUND((C33+C39)*F27,0)</f>
        <v>7549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179186</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173810</v>
      </c>
      <c r="D51" s="232"/>
      <c r="E51" s="232"/>
      <c r="F51" s="264"/>
      <c r="G51" s="234" t="s">
        <v>1560</v>
      </c>
    </row>
    <row r="52" spans="1:7" s="208" customFormat="1" ht="16.5" thickBot="1">
      <c r="A52" s="265" t="s">
        <v>1561</v>
      </c>
      <c r="B52" s="266"/>
      <c r="C52" s="267">
        <f ca="1">C31+C51</f>
        <v>274254</v>
      </c>
      <c r="D52" s="266"/>
      <c r="E52" s="266"/>
      <c r="F52" s="266"/>
      <c r="G52" s="268"/>
    </row>
    <row r="55" spans="1:7" ht="15">
      <c r="B55" s="270" t="s">
        <v>1562</v>
      </c>
      <c r="C55" s="271"/>
    </row>
    <row r="56" spans="1:7">
      <c r="B56" s="273" t="s">
        <v>802</v>
      </c>
      <c r="C56" s="275">
        <f ca="1">1-C57</f>
        <v>0.36599999999999999</v>
      </c>
    </row>
    <row r="57" spans="1:7">
      <c r="B57" s="273" t="s">
        <v>803</v>
      </c>
      <c r="C57" s="274">
        <f ca="1">ROUND(C51/C52,3)</f>
        <v>0.63400000000000001</v>
      </c>
    </row>
  </sheetData>
  <sheetProtection formatCells="0"/>
  <mergeCells count="1">
    <mergeCell ref="G42:G44"/>
  </mergeCells>
  <phoneticPr fontId="134" type="noConversion"/>
  <dataValidations count="5">
    <dataValidation type="list" allowBlank="1" showInputMessage="1" showErrorMessage="1" sqref="D2" xr:uid="{00000000-0002-0000-2100-000000000000}">
      <formula1>"需扣减承租人权益,——"</formula1>
    </dataValidation>
    <dataValidation type="list" allowBlank="1" showInputMessage="1" showErrorMessage="1" sqref="G2" xr:uid="{00000000-0002-0000-2100-000001000000}">
      <formula1>估价方法</formula1>
    </dataValidation>
    <dataValidation type="list" allowBlank="1" showInputMessage="1" showErrorMessage="1" sqref="B1" xr:uid="{00000000-0002-0000-2100-000002000000}">
      <formula1>项目类型</formula1>
    </dataValidation>
    <dataValidation type="list" allowBlank="1" showInputMessage="1" showErrorMessage="1" sqref="G19" xr:uid="{00000000-0002-0000-2100-000003000000}">
      <formula1>"已包含在土地取得成本中,未包含在土地取得成本中"</formula1>
    </dataValidation>
    <dataValidation type="list" allowBlank="1" showInputMessage="1" showErrorMessage="1" sqref="G8" xr:uid="{00000000-0002-0000-21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31" zoomScale="80" zoomScaleNormal="60" zoomScaleSheetLayoutView="80" workbookViewId="0">
      <selection activeCell="G18" sqref="G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t="s">
        <v>3336</v>
      </c>
      <c r="E1" s="3429" t="s">
        <v>3401</v>
      </c>
      <c r="F1" s="1879" t="s">
        <v>3402</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24</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6319</v>
      </c>
      <c r="C3" s="354" t="s">
        <v>1768</v>
      </c>
      <c r="D3" s="353">
        <f>SUMIF('数据-汇总表'!$C19:$C33,D1,'数据-汇总表'!$E19:$E33)</f>
        <v>38.369999999999997</v>
      </c>
      <c r="E3" s="354" t="s">
        <v>1832</v>
      </c>
      <c r="F3" s="353">
        <f>SUMIF('数据-取费表'!A5:A15,D1,'数据-取费表'!AH5:AH15)</f>
        <v>0</v>
      </c>
      <c r="G3" s="908"/>
      <c r="H3" s="908"/>
      <c r="I3" s="908"/>
      <c r="J3" s="908"/>
      <c r="K3" s="910"/>
      <c r="L3" s="2730"/>
      <c r="M3" s="2731">
        <f>IF(C2="——",IF(B37="元/平方米",ROUND(C39*D3/10000,0),ROUND(F3*C39/10000,0)),IF(B37="元/平方米",ROUND(C39*D3/10000,0),ROUND(F3*C39/10000,0))-D2)</f>
        <v>24</v>
      </c>
      <c r="N3" s="2731"/>
      <c r="O3" s="2731"/>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1"/>
      <c r="M5" s="2712"/>
      <c r="N5" s="2712"/>
      <c r="O5" s="2712"/>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1"/>
      <c r="M6" s="2712"/>
      <c r="N6" s="2712"/>
      <c r="O6" s="2712"/>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45162</v>
      </c>
      <c r="D7" s="365">
        <v>100</v>
      </c>
      <c r="E7" s="366">
        <v>45108</v>
      </c>
      <c r="F7" s="367">
        <f>SUMIF(48:48,YEAR(E7)&amp;"-"&amp;MONTH(E7),49:49)</f>
        <v>100</v>
      </c>
      <c r="G7" s="366">
        <v>45078</v>
      </c>
      <c r="H7" s="365">
        <f>SUMIF(48:48,YEAR(G7)&amp;"-"&amp;MONTH(G7),49:49)</f>
        <v>100</v>
      </c>
      <c r="I7" s="366">
        <v>45078</v>
      </c>
      <c r="J7" s="365">
        <f>SUMIF(48:48,YEAR(I7)&amp;"-"&amp;MONTH(I7),49:49)</f>
        <v>100</v>
      </c>
      <c r="K7" s="560"/>
      <c r="L7" s="2713"/>
      <c r="M7" s="2714"/>
      <c r="N7" s="2714"/>
      <c r="O7" s="2714"/>
      <c r="P7" s="3711" t="s">
        <v>1680</v>
      </c>
      <c r="Q7" s="3713"/>
      <c r="R7" s="701" t="s">
        <v>14</v>
      </c>
      <c r="S7" s="702">
        <f t="shared" ref="S7:S14" si="0">F7</f>
        <v>100</v>
      </c>
      <c r="T7" s="701" t="s">
        <v>14</v>
      </c>
      <c r="U7" s="702">
        <f t="shared" ref="U7:U14" si="1">H7</f>
        <v>100</v>
      </c>
      <c r="V7" s="701" t="s">
        <v>14</v>
      </c>
      <c r="W7" s="702">
        <f t="shared" ref="W7:W14" si="2">J7</f>
        <v>100</v>
      </c>
      <c r="X7" s="703"/>
      <c r="Y7" s="3711" t="s">
        <v>1680</v>
      </c>
      <c r="Z7" s="3712"/>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75"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7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75"/>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7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7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周边有358路、489路、597路等多条公交线路经过并设站，周边3公里内无地铁，交通便捷度一般。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8"/>
      <c r="Q15" s="1352"/>
      <c r="R15" s="705"/>
      <c r="S15" s="706"/>
      <c r="T15" s="705"/>
      <c r="U15" s="706"/>
      <c r="V15" s="705"/>
      <c r="W15" s="706"/>
      <c r="X15" s="1355"/>
      <c r="Y15" s="3678"/>
      <c r="Z15" s="1356"/>
      <c r="AA15" s="1353">
        <v>1</v>
      </c>
      <c r="AB15" s="1353">
        <v>1</v>
      </c>
      <c r="AC15" s="1353">
        <v>1</v>
      </c>
    </row>
    <row r="16" spans="1:29" ht="42.75">
      <c r="A16" s="358"/>
      <c r="B16" s="579" t="s">
        <v>1812</v>
      </c>
      <c r="C16" s="1900" t="str">
        <f>IF(B1="工业",估价对象房地状况!G5,估价对象房地状况!C7)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8"/>
      <c r="Q17" s="1352"/>
      <c r="R17" s="705"/>
      <c r="S17" s="706"/>
      <c r="T17" s="705"/>
      <c r="U17" s="706"/>
      <c r="V17" s="705"/>
      <c r="W17" s="706"/>
      <c r="X17" s="1355"/>
      <c r="Y17" s="367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8"/>
      <c r="Q19" s="1352"/>
      <c r="R19" s="705"/>
      <c r="S19" s="706"/>
      <c r="T19" s="705"/>
      <c r="U19" s="706"/>
      <c r="V19" s="705"/>
      <c r="W19" s="706"/>
      <c r="X19" s="1355"/>
      <c r="Y19" s="3678"/>
      <c r="Z19" s="1356"/>
      <c r="AA19" s="1353">
        <v>1</v>
      </c>
      <c r="AB19" s="1353">
        <v>1</v>
      </c>
      <c r="AC19" s="1353">
        <v>1</v>
      </c>
    </row>
    <row r="20" spans="1:29" ht="57">
      <c r="A20" s="358"/>
      <c r="B20" s="579" t="s">
        <v>1834</v>
      </c>
      <c r="C20" s="1900" t="str">
        <f>IF(B1="工业",估价对象房地状况!G7,估价对象房地状况!C9)</f>
        <v>估价对象周边有炮山城市森林公园、锦绣公园、青山公园、永定河引水渠等自然人文景观，总体自然人文环境较好。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8"/>
      <c r="Q21" s="1352"/>
      <c r="R21" s="705"/>
      <c r="S21" s="706"/>
      <c r="T21" s="705"/>
      <c r="U21" s="706"/>
      <c r="V21" s="705"/>
      <c r="W21" s="706"/>
      <c r="X21" s="1355"/>
      <c r="Y21" s="367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8"/>
      <c r="Q24" s="1352">
        <f t="shared" ref="Q24:Q36"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600" t="s">
        <v>1694</v>
      </c>
      <c r="B26" s="62" t="s">
        <v>1836</v>
      </c>
      <c r="C26" s="1970" t="str">
        <f>B1</f>
        <v>车库</v>
      </c>
      <c r="D26" s="399">
        <v>100</v>
      </c>
      <c r="E26" s="398" t="s">
        <v>3336</v>
      </c>
      <c r="F26" s="400">
        <f>SUMIF(79:79,E26,80:80)-SUMIF(79:79,C26,80:80)+100</f>
        <v>100</v>
      </c>
      <c r="G26" s="398" t="s">
        <v>3336</v>
      </c>
      <c r="H26" s="399">
        <f>SUMIF(79:79,G26,80:80)-SUMIF(79:79,C26,80:80)+100</f>
        <v>100</v>
      </c>
      <c r="I26" s="398" t="s">
        <v>3336</v>
      </c>
      <c r="J26" s="399">
        <f>SUMIF(79:79,I26,80:80)-SUMIF(79:79,C26,80:80)+100</f>
        <v>100</v>
      </c>
      <c r="K26" s="561"/>
      <c r="L26" s="2718"/>
      <c r="M26" s="2712"/>
      <c r="N26" s="2712"/>
      <c r="O26" s="2712"/>
      <c r="P26" s="3721"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82"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3">
        <f t="shared" si="3"/>
        <v>1</v>
      </c>
      <c r="AB27" s="1353">
        <f t="shared" si="4"/>
        <v>1</v>
      </c>
      <c r="AC27" s="1353">
        <f t="shared" si="5"/>
        <v>1</v>
      </c>
    </row>
    <row r="28" spans="1:29" ht="15">
      <c r="A28" s="604"/>
      <c r="B28" s="602" t="s">
        <v>1838</v>
      </c>
      <c r="C28" s="411" t="s">
        <v>3837</v>
      </c>
      <c r="D28" s="386">
        <v>100</v>
      </c>
      <c r="E28" s="411" t="s">
        <v>3837</v>
      </c>
      <c r="F28" s="412">
        <f>SUMIF(83:83,E28,84:84)-SUMIF(83:83,C28,84:84)+100</f>
        <v>100</v>
      </c>
      <c r="G28" s="411" t="s">
        <v>3837</v>
      </c>
      <c r="H28" s="386">
        <f>SUMIF(83:83,G28,84:84)-SUMIF(83:83,C28,84:84)+100</f>
        <v>100</v>
      </c>
      <c r="I28" s="411" t="s">
        <v>3837</v>
      </c>
      <c r="J28" s="386">
        <f>SUMIF(83:83,I28,84:84)-SUMIF(83:83,C28,84:84)+100</f>
        <v>100</v>
      </c>
      <c r="K28" s="561"/>
      <c r="L28" s="2718"/>
      <c r="M28" s="2712"/>
      <c r="N28" s="2712"/>
      <c r="O28" s="2712"/>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425">
        <f>'数据-取费表'!N6</f>
        <v>0.97</v>
      </c>
      <c r="D29" s="386">
        <v>100</v>
      </c>
      <c r="E29" s="425">
        <f>C29</f>
        <v>0.97</v>
      </c>
      <c r="F29" s="412">
        <f>LOOKUP(E29,86:86,87:87)-LOOKUP(C29,86:86,87:87)+100</f>
        <v>100</v>
      </c>
      <c r="G29" s="425">
        <f>C29</f>
        <v>0.97</v>
      </c>
      <c r="H29" s="412">
        <f>LOOKUP(G29,86:86,87:87)-LOOKUP(C29,86:86,87:87)+100</f>
        <v>100</v>
      </c>
      <c r="I29" s="425">
        <f>G29</f>
        <v>0.97</v>
      </c>
      <c r="J29" s="386">
        <f>LOOKUP(I29,86:86,87:87)-LOOKUP(C29,86:86,87:87)+100</f>
        <v>100</v>
      </c>
      <c r="K29" s="561"/>
      <c r="L29" s="2718"/>
      <c r="M29" s="2712"/>
      <c r="N29" s="2712"/>
      <c r="O29" s="2712"/>
      <c r="P29" s="3682"/>
      <c r="Q29" s="1352" t="str">
        <f t="shared" si="11"/>
        <v>成新率</v>
      </c>
      <c r="R29" s="705" t="s">
        <v>14</v>
      </c>
      <c r="S29" s="706">
        <f t="shared" si="12"/>
        <v>100</v>
      </c>
      <c r="T29" s="705" t="s">
        <v>14</v>
      </c>
      <c r="U29" s="706">
        <f t="shared" si="13"/>
        <v>100</v>
      </c>
      <c r="V29" s="705" t="s">
        <v>14</v>
      </c>
      <c r="W29" s="706">
        <f t="shared" si="14"/>
        <v>100</v>
      </c>
      <c r="X29" s="1355"/>
      <c r="Y29" s="3682"/>
      <c r="Z29" s="1356" t="str">
        <f t="shared" si="15"/>
        <v>成新率</v>
      </c>
      <c r="AA29" s="1353">
        <f t="shared" si="3"/>
        <v>1</v>
      </c>
      <c r="AB29" s="1353">
        <f t="shared" si="4"/>
        <v>1</v>
      </c>
      <c r="AC29" s="1353">
        <f t="shared" si="5"/>
        <v>1</v>
      </c>
    </row>
    <row r="30" spans="1:29" ht="15">
      <c r="A30" s="604"/>
      <c r="B30" s="602" t="s">
        <v>1840</v>
      </c>
      <c r="C30" s="605" t="s">
        <v>3855</v>
      </c>
      <c r="D30" s="386">
        <v>100</v>
      </c>
      <c r="E30" s="605" t="s">
        <v>3855</v>
      </c>
      <c r="F30" s="412">
        <f>SUMIF(88:88,E30,89:89)-SUMIF(88:88,C30,89:89)+100</f>
        <v>100</v>
      </c>
      <c r="G30" s="605" t="s">
        <v>3855</v>
      </c>
      <c r="H30" s="386">
        <f>SUMIF(88:88,E30,89:89)-SUMIF(88:88,C30,89:89)+100</f>
        <v>100</v>
      </c>
      <c r="I30" s="605" t="s">
        <v>3855</v>
      </c>
      <c r="J30" s="386">
        <f>SUMIF(88:88,E30,89:89)-SUMIF(88:88,C30,89:89)+100</f>
        <v>100</v>
      </c>
      <c r="K30" s="561"/>
      <c r="L30" s="2718"/>
      <c r="M30" s="2712"/>
      <c r="N30" s="2712"/>
      <c r="O30" s="2712"/>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v>38.369999999999997</v>
      </c>
      <c r="D31" s="127">
        <v>100</v>
      </c>
      <c r="E31" s="420">
        <v>38</v>
      </c>
      <c r="F31" s="412">
        <f>LOOKUP(E31,91:91,92:92)-LOOKUP(C31,91:91,92:92)+100</f>
        <v>100</v>
      </c>
      <c r="G31" s="420">
        <v>38</v>
      </c>
      <c r="H31" s="386">
        <f>LOOKUP(G31,91:91,92:92)-LOOKUP(C31,91:91,92:92)+100</f>
        <v>100</v>
      </c>
      <c r="I31" s="420">
        <v>38</v>
      </c>
      <c r="J31" s="386">
        <f>LOOKUP(I31,91:91,92:92)-LOOKUP(C31,91:91,92:92)+100</f>
        <v>100</v>
      </c>
      <c r="K31" s="561">
        <v>1</v>
      </c>
      <c r="L31" s="2713"/>
      <c r="M31" s="2714"/>
      <c r="N31" s="2714"/>
      <c r="O31" s="2714"/>
      <c r="P31" s="3682"/>
      <c r="Q31" s="1343" t="str">
        <f t="shared" si="11"/>
        <v>停车位面积</v>
      </c>
      <c r="R31" s="701" t="s">
        <v>14</v>
      </c>
      <c r="S31" s="702">
        <f t="shared" si="12"/>
        <v>100</v>
      </c>
      <c r="T31" s="701" t="s">
        <v>14</v>
      </c>
      <c r="U31" s="702">
        <f t="shared" si="13"/>
        <v>100</v>
      </c>
      <c r="V31" s="701" t="s">
        <v>14</v>
      </c>
      <c r="W31" s="702">
        <f t="shared" si="14"/>
        <v>100</v>
      </c>
      <c r="X31" s="703"/>
      <c r="Y31" s="3682"/>
      <c r="Z31" s="52" t="str">
        <f t="shared" si="15"/>
        <v>停车位面积</v>
      </c>
      <c r="AA31" s="704">
        <f t="shared" si="3"/>
        <v>1</v>
      </c>
      <c r="AB31" s="704">
        <f t="shared" si="4"/>
        <v>1</v>
      </c>
      <c r="AC31" s="704">
        <f t="shared" si="5"/>
        <v>1</v>
      </c>
    </row>
    <row r="32" spans="1:29" ht="15">
      <c r="A32" s="604"/>
      <c r="B32" s="602" t="s">
        <v>1842</v>
      </c>
      <c r="C32" s="411" t="s">
        <v>3853</v>
      </c>
      <c r="D32" s="386">
        <v>100</v>
      </c>
      <c r="E32" s="411" t="s">
        <v>3853</v>
      </c>
      <c r="F32" s="412">
        <f>SUMIF(93:93,E32,94:94)-SUMIF(93:93,C32,94:94)+100</f>
        <v>100</v>
      </c>
      <c r="G32" s="411" t="s">
        <v>3853</v>
      </c>
      <c r="H32" s="386">
        <f>SUMIF(93:93,G32,94:94)-SUMIF(93:93,C32,94:94)+100</f>
        <v>100</v>
      </c>
      <c r="I32" s="411" t="s">
        <v>3853</v>
      </c>
      <c r="J32" s="386">
        <f>SUMIF(93:93,I32,94:94)-SUMIF(93:93,C32,94:94)+100</f>
        <v>100</v>
      </c>
      <c r="K32" s="561"/>
      <c r="L32" s="2718"/>
      <c r="M32" s="2712"/>
      <c r="N32" s="2712"/>
      <c r="O32" s="2712"/>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1" t="s">
        <v>3357</v>
      </c>
      <c r="C37" s="1154" t="s">
        <v>0</v>
      </c>
      <c r="D37" s="1155"/>
      <c r="E37" s="1156">
        <f>Sheet1!U21</f>
        <v>6582</v>
      </c>
      <c r="F37" s="1157"/>
      <c r="G37" s="1158">
        <f>Sheet1!U22</f>
        <v>6582</v>
      </c>
      <c r="H37" s="1159"/>
      <c r="I37" s="1156">
        <v>5793</v>
      </c>
      <c r="J37" s="1159"/>
      <c r="K37" s="568"/>
      <c r="L37" s="2720"/>
      <c r="M37" s="2721"/>
      <c r="N37" s="2712"/>
      <c r="O37" s="2721"/>
      <c r="P37" s="3675" t="str">
        <f>A37</f>
        <v>成交单价</v>
      </c>
      <c r="Q37" s="3675"/>
      <c r="R37" s="3676">
        <f>E37</f>
        <v>6582</v>
      </c>
      <c r="S37" s="3676"/>
      <c r="T37" s="3676">
        <f>G37</f>
        <v>6582</v>
      </c>
      <c r="U37" s="3676"/>
      <c r="V37" s="3676">
        <f>I37</f>
        <v>5793</v>
      </c>
      <c r="W37" s="3676"/>
      <c r="X37" s="690"/>
      <c r="Y37" s="712"/>
      <c r="Z37" s="690"/>
      <c r="AA37" s="690"/>
      <c r="AB37" s="690"/>
      <c r="AC37" s="690"/>
    </row>
    <row r="38" spans="1:29" ht="15.75" thickBot="1">
      <c r="A38" s="437" t="s">
        <v>1845</v>
      </c>
      <c r="B38" s="438" t="str">
        <f>B37</f>
        <v>元/平方米</v>
      </c>
      <c r="C38" s="1160">
        <f>R39</f>
        <v>6319</v>
      </c>
      <c r="D38" s="2315" t="s">
        <v>2138</v>
      </c>
      <c r="E38" s="1161">
        <f>R38</f>
        <v>6582</v>
      </c>
      <c r="F38" s="2316"/>
      <c r="G38" s="1160">
        <f>T38</f>
        <v>6582</v>
      </c>
      <c r="H38" s="2316"/>
      <c r="I38" s="1161">
        <f>V38</f>
        <v>5793</v>
      </c>
      <c r="J38" s="2316"/>
      <c r="K38" s="2318">
        <f>F38+H38+J38</f>
        <v>0</v>
      </c>
      <c r="L38" s="2720"/>
      <c r="M38" s="2721"/>
      <c r="N38" s="2721"/>
      <c r="O38" s="2721"/>
      <c r="P38" s="3675" t="str">
        <f>A38</f>
        <v>比较价值（元/平方米）</v>
      </c>
      <c r="Q38" s="3675"/>
      <c r="R38" s="3676">
        <f>IF(F1="售价",ROUND(PRODUCT(R37,AA7:AA36),0),ROUND(PRODUCT(R37,AA7:AA36),1))</f>
        <v>6582</v>
      </c>
      <c r="S38" s="3676"/>
      <c r="T38" s="3676">
        <f>IF(F1="售价",ROUND(PRODUCT(T37,AB7:AB36),0),ROUND(PRODUCT(T37,AB7:AB36),1))</f>
        <v>6582</v>
      </c>
      <c r="U38" s="3676"/>
      <c r="V38" s="3676">
        <f>IF(F1="售价",ROUND(PRODUCT(V37,AC7:AC36),0),ROUND(PRODUCT(V37,AC7:AC36),1))</f>
        <v>5793</v>
      </c>
      <c r="W38" s="3676"/>
      <c r="X38" s="690"/>
      <c r="Y38" s="690"/>
      <c r="Z38" s="690"/>
      <c r="AA38" s="690"/>
      <c r="AB38" s="690"/>
      <c r="AC38" s="690"/>
    </row>
    <row r="39" spans="1:29" ht="15.75" thickBot="1">
      <c r="A39" s="441" t="s">
        <v>1846</v>
      </c>
      <c r="B39" s="442"/>
      <c r="C39" s="1163">
        <f>R39</f>
        <v>6319</v>
      </c>
      <c r="D39" s="1163"/>
      <c r="E39" s="1163"/>
      <c r="F39" s="1163"/>
      <c r="G39" s="1163"/>
      <c r="H39" s="1163"/>
      <c r="I39" s="1163"/>
      <c r="J39" s="1163"/>
      <c r="K39" s="569"/>
      <c r="L39" s="2720"/>
      <c r="M39" s="2721"/>
      <c r="N39" s="2721"/>
      <c r="O39" s="2721"/>
      <c r="P39" s="3672" t="str">
        <f>A39</f>
        <v>估价对象XX用房的比较价值（楼面单价，元/平方米）</v>
      </c>
      <c r="Q39" s="3673"/>
      <c r="R39" s="3758">
        <f>IF(F1="售价",ROUND(IF(D38="简单平均",AVERAGE(R38:W38),R38*F38+T38*H38+V38*J38),0),ROUND(IF(D38="简单平均",AVERAGE(R38:V38),R38*F38+T38*H38+V38*J38),1))</f>
        <v>6319</v>
      </c>
      <c r="S39" s="3758"/>
      <c r="T39" s="3758"/>
      <c r="U39" s="3758"/>
      <c r="V39" s="3758"/>
      <c r="W39" s="375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v>
      </c>
      <c r="F43" s="449" t="str">
        <f>IF(OR(E43&gt;=0.2,E43&lt;=-0.2),"超过20%","")</f>
        <v/>
      </c>
      <c r="G43" s="448">
        <f>IF(G38&lt;I38,I38/G38-1,G38/I38-1)</f>
        <v>0.13619886069394105</v>
      </c>
      <c r="H43" s="449" t="str">
        <f>IF(OR(G43&gt;=0.2,G43&lt;=-0.2),"超过20%","")</f>
        <v/>
      </c>
      <c r="I43" s="448">
        <f>IF(I38&lt;E38,E38/I38-1,I38/E38-1)</f>
        <v>0.13619886069394105</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v>
      </c>
      <c r="F44" s="449" t="str">
        <f>IF(OR(E44&gt;=0.3,E44&lt;=-0.3),"超过30%","")</f>
        <v/>
      </c>
      <c r="G44" s="448">
        <f>IF(G37&lt;I37,I37/G37-1,G37/I37-1)</f>
        <v>0.13619886069394105</v>
      </c>
      <c r="H44" s="449" t="str">
        <f>IF(OR(G44&gt;=0.3,G44&lt;=-0.3),"超过30%","")</f>
        <v/>
      </c>
      <c r="I44" s="448">
        <f>IF(I37&lt;E37,E37/I37-1,I37/E37-1)</f>
        <v>0.13619886069394105</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v>100</v>
      </c>
      <c r="E49" s="461">
        <v>100</v>
      </c>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3831" t="s">
        <v>3857</v>
      </c>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3471" t="s">
        <v>3856</v>
      </c>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0(含)-20</v>
      </c>
      <c r="D90" s="527" t="str">
        <f t="shared" ref="D90:L90" si="21">D91&amp;"(含)"&amp;"-"&amp;E91</f>
        <v>20(含)-40</v>
      </c>
      <c r="E90" s="527" t="str">
        <f t="shared" si="21"/>
        <v>40(含)-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20</v>
      </c>
      <c r="E91" s="544">
        <v>40</v>
      </c>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v>100</v>
      </c>
      <c r="D92" s="485">
        <v>101</v>
      </c>
      <c r="E92" s="485">
        <v>102</v>
      </c>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3831" t="s">
        <v>3854</v>
      </c>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3471" t="s">
        <v>3858</v>
      </c>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1"/>
      <c r="M5" s="2712"/>
      <c r="N5" s="2712"/>
      <c r="O5" s="2712"/>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1"/>
      <c r="M6" s="2712"/>
      <c r="N6" s="2712"/>
      <c r="O6" s="2712"/>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45162</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75"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7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75"/>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7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67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周边有358路、489路、597路等多条公交线路经过并设站，周边3公里内无地铁，交通便捷度一般。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8"/>
      <c r="Q15" s="1352"/>
      <c r="R15" s="705"/>
      <c r="S15" s="706"/>
      <c r="T15" s="705"/>
      <c r="U15" s="706"/>
      <c r="V15" s="705"/>
      <c r="W15" s="706"/>
      <c r="X15" s="1355"/>
      <c r="Y15" s="3678"/>
      <c r="Z15" s="1356"/>
      <c r="AA15" s="1353">
        <v>1</v>
      </c>
      <c r="AB15" s="1353">
        <v>1</v>
      </c>
      <c r="AC15" s="1353">
        <v>1</v>
      </c>
    </row>
    <row r="16" spans="1:29" ht="42.75">
      <c r="A16" s="379"/>
      <c r="B16" s="402" t="s">
        <v>1812</v>
      </c>
      <c r="C16" s="1900" t="str">
        <f>IF(B1="工业",估价对象房地状况!G5,估价对象房地状况!C7)</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8"/>
      <c r="Q17" s="1352"/>
      <c r="R17" s="705"/>
      <c r="S17" s="706"/>
      <c r="T17" s="705"/>
      <c r="U17" s="706"/>
      <c r="V17" s="705"/>
      <c r="W17" s="706"/>
      <c r="X17" s="1355"/>
      <c r="Y17" s="367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8"/>
      <c r="Q19" s="1352"/>
      <c r="R19" s="705"/>
      <c r="S19" s="706"/>
      <c r="T19" s="705"/>
      <c r="U19" s="706"/>
      <c r="V19" s="705"/>
      <c r="W19" s="706"/>
      <c r="X19" s="1355"/>
      <c r="Y19" s="3678"/>
      <c r="Z19" s="1356"/>
      <c r="AA19" s="1353">
        <v>1</v>
      </c>
      <c r="AB19" s="1353">
        <v>1</v>
      </c>
      <c r="AC19" s="1353">
        <v>1</v>
      </c>
    </row>
    <row r="20" spans="1:29" ht="57">
      <c r="A20" s="379"/>
      <c r="B20" s="402" t="s">
        <v>1834</v>
      </c>
      <c r="C20" s="1900" t="str">
        <f>IF(B1="工业",估价对象房地状况!G7,估价对象房地状况!C9)</f>
        <v>估价对象周边有炮山城市森林公园、锦绣公园、青山公园、永定河引水渠等自然人文景观，总体自然人文环境较好。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8"/>
      <c r="Q21" s="1352"/>
      <c r="R21" s="705"/>
      <c r="S21" s="706"/>
      <c r="T21" s="705"/>
      <c r="U21" s="706"/>
      <c r="V21" s="705"/>
      <c r="W21" s="706"/>
      <c r="X21" s="1355"/>
      <c r="Y21" s="367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8"/>
      <c r="Q24" s="1352">
        <f t="shared" ref="Q24:Q34"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0"/>
      <c r="M36" s="2721"/>
      <c r="N36" s="2712"/>
      <c r="O36" s="2721"/>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72" t="str">
        <f>A37</f>
        <v>估价对象XX用房的比较价值（楼面单价，元/平方米）</v>
      </c>
      <c r="Q37" s="3673"/>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1"/>
      <c r="M5" s="2712"/>
      <c r="N5" s="2712"/>
      <c r="O5" s="2712"/>
      <c r="P5" s="3696"/>
      <c r="Q5" s="3697"/>
      <c r="R5" s="3702"/>
      <c r="S5" s="3703"/>
      <c r="T5" s="3702"/>
      <c r="U5" s="3703"/>
      <c r="V5" s="3706"/>
      <c r="W5" s="3706"/>
      <c r="X5" s="1355"/>
      <c r="Y5" s="3702"/>
      <c r="Z5" s="3703"/>
      <c r="AA5" s="3688"/>
      <c r="AB5" s="3688"/>
      <c r="AC5" s="3688"/>
    </row>
    <row r="6" spans="1:29" ht="15.75" thickBot="1">
      <c r="A6" s="360"/>
      <c r="B6" s="361"/>
      <c r="C6" s="3759" t="s">
        <v>1919</v>
      </c>
      <c r="D6" s="3760"/>
      <c r="E6" s="3761" t="s">
        <v>1919</v>
      </c>
      <c r="F6" s="3762"/>
      <c r="G6" s="3759" t="s">
        <v>1919</v>
      </c>
      <c r="H6" s="3760"/>
      <c r="I6" s="3759" t="s">
        <v>1919</v>
      </c>
      <c r="J6" s="3760"/>
      <c r="K6" s="559" t="s">
        <v>1678</v>
      </c>
      <c r="L6" s="2711"/>
      <c r="M6" s="2712"/>
      <c r="N6" s="2712"/>
      <c r="O6" s="2712"/>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45162</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675"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5"/>
      <c r="M10" s="2716"/>
      <c r="N10" s="2716"/>
      <c r="O10" s="2769"/>
      <c r="P10" s="3675"/>
      <c r="Q10" s="1343" t="str">
        <f t="shared" si="6"/>
        <v>土地使用年限（年）</v>
      </c>
      <c r="R10" s="701" t="s">
        <v>14</v>
      </c>
      <c r="S10" s="702">
        <f t="shared" si="0"/>
        <v>102</v>
      </c>
      <c r="T10" s="701" t="s">
        <v>14</v>
      </c>
      <c r="U10" s="702">
        <f t="shared" si="1"/>
        <v>102</v>
      </c>
      <c r="V10" s="701" t="s">
        <v>14</v>
      </c>
      <c r="W10" s="702">
        <f t="shared" si="2"/>
        <v>102</v>
      </c>
      <c r="X10" s="703"/>
      <c r="Y10" s="3571"/>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75"/>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7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7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75"/>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8"/>
      <c r="Q16" s="1352"/>
      <c r="R16" s="705"/>
      <c r="S16" s="706"/>
      <c r="T16" s="705"/>
      <c r="U16" s="706"/>
      <c r="V16" s="705"/>
      <c r="W16" s="706"/>
      <c r="X16" s="1355"/>
      <c r="Y16" s="367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8"/>
      <c r="Q18" s="1352"/>
      <c r="R18" s="705"/>
      <c r="S18" s="706"/>
      <c r="T18" s="705"/>
      <c r="U18" s="706"/>
      <c r="V18" s="705"/>
      <c r="W18" s="706"/>
      <c r="X18" s="1355"/>
      <c r="Y18" s="367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8"/>
      <c r="Q19" s="1352" t="str">
        <f t="shared" ref="Q19:Q33" si="8">B19</f>
        <v>区域土地利用方向</v>
      </c>
      <c r="R19" s="705" t="s">
        <v>14</v>
      </c>
      <c r="S19" s="706">
        <f>F19</f>
        <v>100</v>
      </c>
      <c r="T19" s="705" t="s">
        <v>14</v>
      </c>
      <c r="U19" s="706">
        <f>H19</f>
        <v>100</v>
      </c>
      <c r="V19" s="705" t="s">
        <v>14</v>
      </c>
      <c r="W19" s="706">
        <f>J19</f>
        <v>100</v>
      </c>
      <c r="X19" s="1355"/>
      <c r="Y19" s="36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8"/>
      <c r="Q20" s="1352"/>
      <c r="R20" s="705"/>
      <c r="S20" s="706"/>
      <c r="T20" s="705"/>
      <c r="U20" s="706"/>
      <c r="V20" s="705"/>
      <c r="W20" s="706"/>
      <c r="X20" s="1355"/>
      <c r="Y20" s="367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8"/>
      <c r="Q21" s="1352" t="str">
        <f t="shared" si="8"/>
        <v>环境状况</v>
      </c>
      <c r="R21" s="705" t="s">
        <v>14</v>
      </c>
      <c r="S21" s="706">
        <f>F21</f>
        <v>100</v>
      </c>
      <c r="T21" s="705" t="s">
        <v>14</v>
      </c>
      <c r="U21" s="706">
        <f>H21</f>
        <v>100</v>
      </c>
      <c r="V21" s="705" t="s">
        <v>14</v>
      </c>
      <c r="W21" s="706">
        <f>J21</f>
        <v>100</v>
      </c>
      <c r="X21" s="1355"/>
      <c r="Y21" s="36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8"/>
      <c r="Q22" s="1352"/>
      <c r="R22" s="705"/>
      <c r="S22" s="706"/>
      <c r="T22" s="705"/>
      <c r="U22" s="706"/>
      <c r="V22" s="705"/>
      <c r="W22" s="706"/>
      <c r="X22" s="1355"/>
      <c r="Y22" s="367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8"/>
      <c r="Q23" s="1343" t="str">
        <f t="shared" si="8"/>
        <v>公共配套设施</v>
      </c>
      <c r="R23" s="701" t="s">
        <v>14</v>
      </c>
      <c r="S23" s="702">
        <f>F23</f>
        <v>100</v>
      </c>
      <c r="T23" s="701" t="s">
        <v>14</v>
      </c>
      <c r="U23" s="702">
        <f>H23</f>
        <v>100</v>
      </c>
      <c r="V23" s="701" t="s">
        <v>14</v>
      </c>
      <c r="W23" s="702">
        <f>J23</f>
        <v>100</v>
      </c>
      <c r="X23" s="703"/>
      <c r="Y23" s="367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678"/>
      <c r="Q24" s="1343"/>
      <c r="R24" s="701"/>
      <c r="S24" s="702"/>
      <c r="T24" s="701"/>
      <c r="U24" s="702"/>
      <c r="V24" s="701"/>
      <c r="W24" s="702"/>
      <c r="X24" s="703"/>
      <c r="Y24" s="367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8"/>
      <c r="Q25" s="1343"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678"/>
      <c r="Q26" s="1343"/>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8"/>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8"/>
      <c r="Q28" s="1352" t="str">
        <f t="shared" si="8"/>
        <v>毗邻道路的类型与等级</v>
      </c>
      <c r="R28" s="705" t="s">
        <v>14</v>
      </c>
      <c r="S28" s="706">
        <f t="shared" si="10"/>
        <v>100</v>
      </c>
      <c r="T28" s="705" t="s">
        <v>14</v>
      </c>
      <c r="U28" s="706">
        <f t="shared" si="11"/>
        <v>100</v>
      </c>
      <c r="V28" s="705" t="s">
        <v>14</v>
      </c>
      <c r="W28" s="706">
        <f t="shared" si="12"/>
        <v>100</v>
      </c>
      <c r="X28" s="1355"/>
      <c r="Y28" s="36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8"/>
      <c r="Q29" s="1352"/>
      <c r="R29" s="705"/>
      <c r="S29" s="706"/>
      <c r="T29" s="705"/>
      <c r="U29" s="706"/>
      <c r="V29" s="705"/>
      <c r="W29" s="706"/>
      <c r="X29" s="1355"/>
      <c r="Y29" s="367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8"/>
      <c r="Q30" s="1352" t="str">
        <f t="shared" si="8"/>
        <v>土地级别</v>
      </c>
      <c r="R30" s="705" t="s">
        <v>14</v>
      </c>
      <c r="S30" s="706">
        <f t="shared" si="10"/>
        <v>100</v>
      </c>
      <c r="T30" s="705" t="s">
        <v>14</v>
      </c>
      <c r="U30" s="706">
        <f t="shared" si="11"/>
        <v>100</v>
      </c>
      <c r="V30" s="705" t="s">
        <v>14</v>
      </c>
      <c r="W30" s="706">
        <f t="shared" si="12"/>
        <v>100</v>
      </c>
      <c r="X30" s="1355"/>
      <c r="Y30" s="367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8"/>
      <c r="Q31" s="1352">
        <f t="shared" si="8"/>
        <v>111</v>
      </c>
      <c r="R31" s="705" t="s">
        <v>14</v>
      </c>
      <c r="S31" s="706">
        <f t="shared" si="10"/>
        <v>100</v>
      </c>
      <c r="T31" s="705" t="s">
        <v>14</v>
      </c>
      <c r="U31" s="706">
        <f t="shared" si="11"/>
        <v>100</v>
      </c>
      <c r="V31" s="705" t="s">
        <v>14</v>
      </c>
      <c r="W31" s="706">
        <f t="shared" si="12"/>
        <v>100</v>
      </c>
      <c r="X31" s="1355"/>
      <c r="Y31" s="367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1"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0"/>
      <c r="M41" s="2712"/>
      <c r="N41" s="2712"/>
      <c r="O41" s="2721"/>
      <c r="P41" s="3675" t="str">
        <f>A41</f>
        <v>成交单价</v>
      </c>
      <c r="Q41" s="3675"/>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0"/>
      <c r="M42" s="2712"/>
      <c r="N42" s="2712"/>
      <c r="O42" s="2721"/>
      <c r="P42" s="3675" t="str">
        <f>A42</f>
        <v>比较价值（元/平方米）</v>
      </c>
      <c r="Q42" s="3675"/>
      <c r="R42" s="3718" t="e">
        <f>ROUND(PRODUCT(R41,AA7:AA40),0)</f>
        <v>#DIV/0!</v>
      </c>
      <c r="S42" s="3718"/>
      <c r="T42" s="3718" t="e">
        <f>ROUND(PRODUCT(T41,AB7:AB40),0)</f>
        <v>#DIV/0!</v>
      </c>
      <c r="U42" s="3718"/>
      <c r="V42" s="3718" t="e">
        <f>ROUND(PRODUCT(V41,AC7:AC40),0)</f>
        <v>#DIV/0!</v>
      </c>
      <c r="W42" s="371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72" t="str">
        <f>A43</f>
        <v>估价对象XX用房的比较价值（楼面单价，元/平方米）</v>
      </c>
      <c r="Q43" s="3673"/>
      <c r="R43" s="3719" t="e">
        <f>ROUND(IF(D42="简单平均",AVERAGE(R42:W42),R42*F42+T42*H42+V42*J42),0)</f>
        <v>#DIV/0!</v>
      </c>
      <c r="S43" s="3719"/>
      <c r="T43" s="3719"/>
      <c r="U43" s="3719"/>
      <c r="V43" s="3719"/>
      <c r="W43" s="371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1" t="s">
        <v>1883</v>
      </c>
      <c r="D50" s="1982" t="s">
        <v>1884</v>
      </c>
      <c r="E50" s="634" t="s">
        <v>1885</v>
      </c>
      <c r="F50" s="635" t="s">
        <v>1886</v>
      </c>
      <c r="G50" s="3690" t="s">
        <v>1887</v>
      </c>
      <c r="H50" s="3720"/>
      <c r="I50" s="1356" t="s">
        <v>1923</v>
      </c>
      <c r="J50" s="1356">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87.89</v>
      </c>
      <c r="F51" s="639" t="e">
        <f t="shared" ref="F51:F60" si="15">ROUND(B51*E51/10000,0)</f>
        <v>#DIV/0!</v>
      </c>
      <c r="G51" s="3686"/>
      <c r="H51" s="367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38.369999999999997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9"/>
      <c r="G1" s="2789"/>
      <c r="H1" s="2789"/>
      <c r="I1" s="2789"/>
      <c r="J1" s="2789"/>
      <c r="K1" s="2789"/>
      <c r="L1" s="2789"/>
      <c r="M1" s="2789"/>
      <c r="N1" s="2789"/>
      <c r="O1" s="2789"/>
      <c r="P1" s="2789"/>
    </row>
    <row r="2" spans="1:16" ht="15.75">
      <c r="A2" s="2143" t="s">
        <v>2073</v>
      </c>
      <c r="B2" s="2598">
        <f ca="1">SUMIF(B6:B13,"&lt;&gt;#ref!",B6:B13)</f>
        <v>133</v>
      </c>
      <c r="C2" s="2143" t="s">
        <v>2074</v>
      </c>
      <c r="D2" s="2143" t="s">
        <v>2075</v>
      </c>
      <c r="E2" s="2608">
        <f ca="1">SUMIF(E6:E13,"&lt;&gt;#ref!",E6:E13)</f>
        <v>126.25999999999999</v>
      </c>
      <c r="F2" s="2789"/>
      <c r="G2" s="2789"/>
      <c r="H2" s="2789"/>
      <c r="I2" s="2789"/>
      <c r="J2" s="2789"/>
      <c r="K2" s="2789"/>
      <c r="L2" s="2789"/>
      <c r="M2" s="2789"/>
      <c r="N2" s="2789"/>
      <c r="O2" s="2789"/>
      <c r="P2" s="2789"/>
    </row>
    <row r="3" spans="1:16" ht="15.75">
      <c r="A3" s="2143" t="s">
        <v>2076</v>
      </c>
      <c r="B3" s="2598">
        <f ca="1">ROUND(B2*10000/E2,0)</f>
        <v>10534</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4"/>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133</v>
      </c>
      <c r="C6" s="2143" t="s">
        <v>2074</v>
      </c>
      <c r="D6" s="2789"/>
      <c r="E6" s="2608">
        <f ca="1">SUMIF(INDIRECT("'"&amp;A6&amp;"'"&amp;"!C:C"),"建筑面积",INDIRECT("'"&amp;A6&amp;"'"&amp;"!D:D"))</f>
        <v>126.25999999999999</v>
      </c>
      <c r="F6" s="2789"/>
      <c r="G6" s="2789"/>
      <c r="H6" s="2789"/>
      <c r="I6" s="2789"/>
      <c r="J6" s="2789"/>
      <c r="K6" s="2789"/>
      <c r="L6" s="2789"/>
      <c r="M6" s="2789"/>
      <c r="N6" s="2789"/>
      <c r="O6" s="2789"/>
      <c r="P6" s="2789"/>
    </row>
    <row r="7" spans="1:16" ht="15.75">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F11" zoomScale="80" zoomScaleNormal="80" zoomScaleSheetLayoutView="80" workbookViewId="0">
      <selection activeCell="L27" sqref="L2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126.25999999999999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133</v>
      </c>
      <c r="C2" s="1997" t="s">
        <v>1935</v>
      </c>
      <c r="D2" s="1998" t="s">
        <v>1936</v>
      </c>
      <c r="E2" s="3418" t="s">
        <v>3377</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Ⅶ-04</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19469</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10534</v>
      </c>
      <c r="C3" s="1997" t="s">
        <v>1941</v>
      </c>
      <c r="D3" s="1998" t="s">
        <v>1942</v>
      </c>
      <c r="E3" s="3416" t="s">
        <v>3378</v>
      </c>
      <c r="F3" s="2002" t="s">
        <v>3389</v>
      </c>
      <c r="G3" s="752">
        <f>IF(F3="宗地容积率",'数据-汇总表'!I4,IF(F3="估价对象容积率",'数据-汇总表'!I6,'数据-汇总表'!I7))</f>
        <v>1.6</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15345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12969</v>
      </c>
      <c r="U4" s="1213"/>
      <c r="V4" s="3357">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11771</v>
      </c>
      <c r="D5" s="1339">
        <f>ROUND(C6*C17+C20,0)</f>
        <v>11210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11438</v>
      </c>
      <c r="U5" s="1213"/>
      <c r="V5" s="3357">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11210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10993</v>
      </c>
      <c r="U6" s="1213"/>
      <c r="V6" s="3357">
        <f t="shared" si="1"/>
        <v>0</v>
      </c>
      <c r="W6" s="1216"/>
      <c r="X6" s="1216"/>
      <c r="Y6" s="1216"/>
      <c r="Z6" s="1216"/>
      <c r="AA6" s="1216"/>
      <c r="AB6" s="1216"/>
      <c r="AC6" s="2009"/>
      <c r="AD6" s="2010"/>
      <c r="AE6" s="2010"/>
      <c r="AF6" s="2010"/>
      <c r="AG6" s="2010"/>
      <c r="AH6" s="2010"/>
      <c r="AI6" s="2010"/>
      <c r="AJ6" s="2011"/>
    </row>
    <row r="7" spans="1:36" ht="24.75" thickBot="1">
      <c r="A7" s="3300" t="s">
        <v>3240</v>
      </c>
      <c r="B7" s="2019" t="s">
        <v>1952</v>
      </c>
      <c r="C7" s="755" t="e">
        <f>IF(C8="不临65条商业街",1,ROUND(1+(1.6*E8+1.2*E9+0.8*E10+0.4*E11)*C9,4))</f>
        <v>#DIV/0!</v>
      </c>
      <c r="D7" s="2020" t="s">
        <v>1953</v>
      </c>
      <c r="E7" s="776"/>
      <c r="F7" s="2021"/>
      <c r="G7" s="2022"/>
      <c r="H7" s="2022"/>
      <c r="I7" s="2022"/>
      <c r="J7" s="2023"/>
      <c r="K7" s="1384"/>
      <c r="L7" s="2001" t="s">
        <v>1954</v>
      </c>
      <c r="M7" s="864">
        <f>SUMPRODUCT((区片价!B190:B233=I2)*(区片价!C3:G3=E2)*(区片价!C190:G233))</f>
        <v>11210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1.6</v>
      </c>
      <c r="AA7" s="1216"/>
      <c r="AB7" s="1216"/>
      <c r="AC7" s="1217"/>
      <c r="AD7" s="1218"/>
      <c r="AE7" s="1218"/>
      <c r="AF7" s="1218"/>
      <c r="AG7" s="1218"/>
      <c r="AH7" s="1218"/>
      <c r="AI7" s="1218"/>
      <c r="AJ7" s="1219"/>
    </row>
    <row r="8" spans="1:36" ht="15">
      <c r="A8" s="3295"/>
      <c r="B8" s="170" t="s">
        <v>1957</v>
      </c>
      <c r="C8" s="2024"/>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7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v>1</v>
      </c>
      <c r="D12" s="3303" t="s">
        <v>3243</v>
      </c>
      <c r="E12" s="3304" t="s">
        <v>3244</v>
      </c>
      <c r="F12" s="3305"/>
      <c r="G12" s="3306"/>
      <c r="H12" s="3306"/>
      <c r="I12" s="3306"/>
      <c r="J12" s="3307"/>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25.5" customHeight="1" thickBot="1">
      <c r="A13" s="3300" t="s">
        <v>3245</v>
      </c>
      <c r="B13" s="2032" t="s">
        <v>1982</v>
      </c>
      <c r="C13" s="755">
        <f>ROUND(C16*D16*E16*F16*G16*H16*I16*J16,4)</f>
        <v>1.05</v>
      </c>
      <c r="D13" s="2033" t="s">
        <v>1983</v>
      </c>
      <c r="E13" s="2034"/>
      <c r="F13" s="2034"/>
      <c r="G13" s="2035"/>
      <c r="H13" s="2035"/>
      <c r="I13" s="2035"/>
      <c r="J13" s="2036"/>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38" t="s">
        <v>1985</v>
      </c>
      <c r="C14" s="2039"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0"/>
      <c r="C15" s="2041" t="s">
        <v>3392</v>
      </c>
      <c r="D15" s="2042" t="s">
        <v>3391</v>
      </c>
      <c r="E15" s="2043" t="s">
        <v>3393</v>
      </c>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v>1</v>
      </c>
      <c r="D16" s="3314">
        <v>1.05</v>
      </c>
      <c r="E16" s="3314">
        <v>1</v>
      </c>
      <c r="F16" s="3314">
        <v>1</v>
      </c>
      <c r="G16" s="3314">
        <v>1</v>
      </c>
      <c r="H16" s="3314">
        <v>1</v>
      </c>
      <c r="I16" s="3314">
        <v>1</v>
      </c>
      <c r="J16" s="3315">
        <v>1</v>
      </c>
      <c r="K16" s="1119"/>
      <c r="L16" s="1995"/>
      <c r="M16" s="1995"/>
      <c r="N16" s="1995"/>
      <c r="O16" s="1995"/>
      <c r="P16" s="1995"/>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3251</v>
      </c>
      <c r="E18" s="3325"/>
      <c r="F18" s="3320" t="s">
        <v>3254</v>
      </c>
      <c r="G18" s="3324">
        <f>ROUND(1-(1/(POWER(1+G24,E18))),4)</f>
        <v>0</v>
      </c>
      <c r="H18" s="3320" t="s">
        <v>3256</v>
      </c>
      <c r="I18" s="3324">
        <f>ROUND(1-(1/(POWER(1+G24,J24))),4)</f>
        <v>0.96709999999999996</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3252</v>
      </c>
      <c r="E19" s="3334"/>
      <c r="F19" s="3335" t="s">
        <v>3255</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780" t="s">
        <v>3257</v>
      </c>
      <c r="B20" s="167" t="s">
        <v>1994</v>
      </c>
      <c r="C20" s="3321">
        <f>ROUND(IF(F21="与级别开发程度一致",0,(G21-E21)/C21),0)</f>
        <v>0</v>
      </c>
      <c r="D20" s="3337" t="s">
        <v>1998</v>
      </c>
      <c r="E20" s="3338"/>
      <c r="F20" s="3786" t="s">
        <v>1995</v>
      </c>
      <c r="G20" s="3787"/>
      <c r="H20" s="3322"/>
      <c r="I20" s="3322"/>
      <c r="J20" s="3323"/>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26.25" thickBot="1">
      <c r="A21" s="378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3390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2" t="s">
        <v>2002</v>
      </c>
      <c r="E23" s="761">
        <v>44197</v>
      </c>
      <c r="F23" s="2052" t="s">
        <v>2003</v>
      </c>
      <c r="G23" s="762">
        <f>'数据-取费表'!B2</f>
        <v>45162</v>
      </c>
      <c r="H23" s="3339" t="s">
        <v>3259</v>
      </c>
      <c r="I23" s="3340" t="str">
        <f>IF(H23="季度增幅（自定义）",SUMIF(N25:N28,E2,O25:O28),"")</f>
        <v/>
      </c>
      <c r="J23" s="3442" t="s">
        <v>3258</v>
      </c>
      <c r="K23" s="1125"/>
      <c r="L23" s="2053" t="s">
        <v>2004</v>
      </c>
      <c r="M23" s="1328">
        <f>ROUND(SUMIF(地价!B2:G2,E2,地价!B16:G16),0)</f>
        <v>687</v>
      </c>
      <c r="N23" s="2054"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0.98919999999999997</v>
      </c>
      <c r="D24" s="2058" t="s">
        <v>2007</v>
      </c>
      <c r="E24" s="1335">
        <f>存贷款利率!E24/100</f>
        <v>4.3499999999999997E-2</v>
      </c>
      <c r="F24" s="2058" t="s">
        <v>1999</v>
      </c>
      <c r="G24" s="768">
        <f>SUMIF(M30:Q30,E2,M33:Q33)</f>
        <v>0.05</v>
      </c>
      <c r="H24" s="2058" t="s">
        <v>2008</v>
      </c>
      <c r="I24" s="769">
        <f>SUMIF('数据-取费表'!C6:C15,E2,'数据-取费表'!F6:F15)/COUNTIF('数据-取费表'!C6:C15,E2)</f>
        <v>64.349999999999994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366</v>
      </c>
      <c r="B25" s="2064" t="s">
        <v>3338</v>
      </c>
      <c r="C25" s="771">
        <f>IF(B25="容积率修正",IF(G3&lt;10,D26,J26),C27)</f>
        <v>1.1087</v>
      </c>
      <c r="D25" s="2065"/>
      <c r="E25" s="2065"/>
      <c r="F25" s="2065"/>
      <c r="G25" s="2065"/>
      <c r="H25" s="2065"/>
      <c r="I25" s="2065"/>
      <c r="J25" s="2066"/>
      <c r="K25" s="1125"/>
      <c r="L25" s="2784"/>
      <c r="M25" s="2784"/>
      <c r="N25" s="2067"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1" t="s">
        <v>3260</v>
      </c>
      <c r="D26" s="1352">
        <f>IF(E26=G26,F26,IF(G3&lt;10,ROUND(F26+(H26-F26)*(G3-E26)/(G26-E26),4),"——"))</f>
        <v>1.1087</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3341" t="s">
        <v>3261</v>
      </c>
      <c r="J26" s="772" t="str">
        <f>IF(G3&gt;=10,D115,"——")</f>
        <v>——</v>
      </c>
      <c r="K26" s="1125"/>
      <c r="L26" s="2784"/>
      <c r="M26" s="2784"/>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1.0290999999999999</v>
      </c>
      <c r="D28" s="2050"/>
      <c r="E28" s="2075"/>
      <c r="F28" s="2075"/>
      <c r="G28" s="2075"/>
      <c r="H28" s="2075"/>
      <c r="I28" s="2075"/>
      <c r="J28" s="2076"/>
      <c r="K28" s="1125"/>
      <c r="L28" s="2784"/>
      <c r="M28" s="2784"/>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133</v>
      </c>
      <c r="D30" s="2081"/>
      <c r="E30" s="2044"/>
      <c r="F30" s="2082"/>
      <c r="G30" s="2044"/>
      <c r="H30" s="2044"/>
      <c r="I30" s="2044"/>
      <c r="J30" s="2083"/>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2</v>
      </c>
      <c r="D31" s="2085"/>
      <c r="E31" s="2086"/>
      <c r="F31" s="2087"/>
      <c r="G31" s="2086"/>
      <c r="H31" s="2086"/>
      <c r="I31" s="2086"/>
      <c r="J31" s="2088"/>
      <c r="K31" s="1119"/>
      <c r="L31" s="3349" t="s">
        <v>1996</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14372</v>
      </c>
      <c r="D33" s="2096">
        <f>'数据-汇总表'!F19</f>
        <v>87.89</v>
      </c>
      <c r="E33" s="773">
        <f>ROUND(C33*D33/10000,0)</f>
        <v>126</v>
      </c>
      <c r="F33" s="3342" t="s">
        <v>3263</v>
      </c>
      <c r="G33" s="2097"/>
      <c r="H33" s="2097"/>
      <c r="I33" s="2097"/>
      <c r="J33" s="2098"/>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3593</v>
      </c>
      <c r="D34" s="2101"/>
      <c r="E34" s="773">
        <f>ROUND(IF(B25="楼层修正",SUM(V2:V16)*M40,C34*D34/10000),0)</f>
        <v>0</v>
      </c>
      <c r="F34" s="2102" t="s">
        <v>2032</v>
      </c>
      <c r="G34" s="2103"/>
      <c r="H34" s="2103"/>
      <c r="I34" s="2103"/>
      <c r="J34" s="2104"/>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3" t="s">
        <v>3264</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3" t="s">
        <v>3268</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84"/>
      <c r="B37" s="2111" t="s">
        <v>2036</v>
      </c>
      <c r="C37" s="175">
        <f>ROUND(D5*C22*C23*C24*C28*F37,0)</f>
        <v>7407</v>
      </c>
      <c r="D37" s="2096"/>
      <c r="E37" s="171">
        <f>ROUND(C37*D37/10000,0)</f>
        <v>0</v>
      </c>
      <c r="F37" s="171">
        <f>SUMIF(修正!A57:A68,G2,修正!B57:B68)</f>
        <v>0.6</v>
      </c>
      <c r="G37" s="171">
        <f>ROUND(IF(E2="工业",C37*$M$42,C37*$M$41),0)</f>
        <v>1852</v>
      </c>
      <c r="H37" s="171">
        <f>D37</f>
        <v>0</v>
      </c>
      <c r="I37" s="171">
        <f>ROUND(G37*H37/10000,0)</f>
        <v>0</v>
      </c>
      <c r="J37" s="3008"/>
      <c r="K37" s="3355" t="s">
        <v>3269</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85"/>
      <c r="B38" s="2039" t="s">
        <v>2037</v>
      </c>
      <c r="C38" s="175">
        <f>ROUND(D5*C22*C23*C24*C28*F38,0)</f>
        <v>3704</v>
      </c>
      <c r="D38" s="2096"/>
      <c r="E38" s="171">
        <f t="shared" ref="E38:E42" si="4">ROUND(C38*D38/10000,0)</f>
        <v>0</v>
      </c>
      <c r="F38" s="171">
        <f>SUMIF(修正!A57:A68,G2,修正!C57:C68)</f>
        <v>0.3</v>
      </c>
      <c r="G38" s="171">
        <f>ROUND(IF(E2="工业",C38*$M$42,C38*$M$41),0)</f>
        <v>926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5"/>
      <c r="B39" s="2039" t="s">
        <v>3262</v>
      </c>
      <c r="C39" s="175">
        <f>ROUND(D5*C22*C23*C24*C28*F39,0)</f>
        <v>3086</v>
      </c>
      <c r="D39" s="2096"/>
      <c r="E39" s="171">
        <f t="shared" si="4"/>
        <v>0</v>
      </c>
      <c r="F39" s="171">
        <f>SUMIF(修正!A57:A68,G2,修正!D57:D68)</f>
        <v>0.25</v>
      </c>
      <c r="G39" s="171">
        <f>ROUND(IF(E2="工业",C39*$M$42,C39*$M$41),0)</f>
        <v>772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3086</v>
      </c>
      <c r="D40" s="2096"/>
      <c r="E40" s="171">
        <f t="shared" si="4"/>
        <v>0</v>
      </c>
      <c r="F40" s="175">
        <f>SUMIF(修正!A57:A68,G2,修正!E57:E68)</f>
        <v>0.25</v>
      </c>
      <c r="G40" s="171">
        <f>ROUND(IF(E2="工业",C40*$M$42,C40*$M$41),0)</f>
        <v>772</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3025</v>
      </c>
      <c r="D41" s="2096"/>
      <c r="E41" s="171">
        <f t="shared" si="4"/>
        <v>0</v>
      </c>
      <c r="F41" s="175">
        <f>SUMIF(修正!A57:A68,G2,修正!F57:F68)</f>
        <v>0.25</v>
      </c>
      <c r="G41" s="171">
        <f>ROUND(IF(E2="工业",C41*$M$42,C41*$M$41),0)</f>
        <v>756</v>
      </c>
      <c r="H41" s="171">
        <f t="shared" si="5"/>
        <v>0</v>
      </c>
      <c r="I41" s="171">
        <f t="shared" si="6"/>
        <v>0</v>
      </c>
      <c r="J41" s="2112"/>
      <c r="L41" s="3356" t="s">
        <v>3270</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1815</v>
      </c>
      <c r="D42" s="2101">
        <f>'数据-汇总表'!G20</f>
        <v>38.369999999999997</v>
      </c>
      <c r="E42" s="187">
        <f t="shared" si="4"/>
        <v>7</v>
      </c>
      <c r="F42" s="767">
        <f>SUMIF(修正!A57:A68,G2,修正!G57:G68)</f>
        <v>0.15</v>
      </c>
      <c r="G42" s="187">
        <f>ROUND(IF(E2="工业",C42*$M$42,C42*$M$41),0)</f>
        <v>454</v>
      </c>
      <c r="H42" s="187">
        <f t="shared" si="5"/>
        <v>38.369999999999997</v>
      </c>
      <c r="I42" s="187">
        <f t="shared" si="6"/>
        <v>2</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0.96960000000000002</v>
      </c>
      <c r="D44" s="171" t="s">
        <v>1999</v>
      </c>
      <c r="E44" s="2151">
        <f>G24</f>
        <v>0.05</v>
      </c>
      <c r="F44" s="171" t="s">
        <v>2008</v>
      </c>
      <c r="G44" s="183">
        <f>项目基本情况!F15</f>
        <v>44.34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G46" s="1119">
        <f>11771*1*1.0818*0.9696*1.0291*0.15</f>
        <v>1905.9073324574113</v>
      </c>
      <c r="I46" s="1119">
        <f>11771*1*1.0818*0.9696*1.0291*0.15</f>
        <v>1905.9073324574113</v>
      </c>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周边有358路、489路、597路等多条公交线路经过并设站，周边3公里内无地铁，交通便捷度一般。</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3272</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t="str">
        <f>估价对象房地状况!C24</f>
        <v>城市次干道-*青石西街</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估价对象周边有炮山城市森林公园、锦绣公园、青山公园、永定河引水渠等自然人文景观，总体自然人文环境较好。</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周边有358路、489路、597路等多条公交线路经过并设站，周边3公里内无地铁，交通便捷度一般。</v>
      </c>
      <c r="C62" s="2042"/>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3272</v>
      </c>
      <c r="B63" s="2132">
        <f>估价对象房地状况!C19</f>
        <v>0</v>
      </c>
      <c r="C63" s="2042"/>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t="str">
        <f>估价对象房地状况!C24</f>
        <v>城市次干道-*青石西街</v>
      </c>
      <c r="C65" s="2042"/>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C67" s="2042"/>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估价对象周边有炮山城市森林公园、锦绣公园、青山公园、永定河引水渠等自然人文景观，总体自然人文环境较好。</v>
      </c>
      <c r="C69" s="2042"/>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1.0290999999999999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73.5" customHeight="1">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周边有翡翠山晓家园、和煦小区、炮厂小区等住宅项目，住宅社区成熟度一般。</v>
      </c>
      <c r="C72" s="2042" t="s">
        <v>3394</v>
      </c>
      <c r="D72" s="1065">
        <f t="shared" ref="D72:D80" si="17">SUMIF($J$71:$N$71,C72,J72:N72)</f>
        <v>0</v>
      </c>
      <c r="E72" s="744">
        <f>ROUND(SUM(D72:D80),4)</f>
        <v>2.9100000000000001E-2</v>
      </c>
      <c r="F72" s="1814">
        <f>IF(E2="住宅",SUMIF(L1:L12,G2,N1:N12),"——")</f>
        <v>0.13</v>
      </c>
      <c r="G72" s="1063">
        <v>1.2999999999999999E-2</v>
      </c>
      <c r="H72" s="1066">
        <f t="shared" ref="H72:H80" si="18">IFERROR(ROUNDDOWN($F$72*I72/2,4),"——")</f>
        <v>1.2999999999999999E-2</v>
      </c>
      <c r="I72" s="3363">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周边有358路、489路、597路等多条公交线路经过并设站，周边3公里内无地铁，交通便捷度一般。</v>
      </c>
      <c r="C73" s="2042" t="s">
        <v>3394</v>
      </c>
      <c r="D73" s="1065">
        <f t="shared" si="17"/>
        <v>0</v>
      </c>
      <c r="E73" s="747"/>
      <c r="F73" s="1814"/>
      <c r="G73" s="1063">
        <v>1.6899999999999998E-2</v>
      </c>
      <c r="H73" s="1066">
        <f t="shared" si="18"/>
        <v>1.6899999999999998E-2</v>
      </c>
      <c r="I73" s="3363">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5" customFormat="1" ht="36">
      <c r="A74" s="3365" t="s">
        <v>3272</v>
      </c>
      <c r="B74" s="2132">
        <f>估价对象房地状况!C19</f>
        <v>0</v>
      </c>
      <c r="C74" s="2042" t="s">
        <v>3395</v>
      </c>
      <c r="D74" s="1065">
        <f t="shared" si="17"/>
        <v>6.4999999999999997E-3</v>
      </c>
      <c r="E74" s="747"/>
      <c r="F74" s="1814"/>
      <c r="G74" s="1063">
        <v>6.4999999999999997E-3</v>
      </c>
      <c r="H74" s="1066">
        <f t="shared" si="18"/>
        <v>6.4999999999999997E-3</v>
      </c>
      <c r="I74" s="3363">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39"/>
      <c r="AB74" s="1120"/>
      <c r="AC74" s="1120"/>
      <c r="AD74" s="1120"/>
      <c r="AE74" s="1120"/>
      <c r="AF74" s="1120"/>
      <c r="AG74" s="1120"/>
      <c r="AH74" s="2139"/>
      <c r="AI74" s="2139"/>
      <c r="AJ74" s="2139"/>
      <c r="AK74" s="2139"/>
    </row>
    <row r="75" spans="1:37" ht="14.25">
      <c r="A75" s="2128" t="s">
        <v>2067</v>
      </c>
      <c r="B75" s="2132" t="str">
        <f>估价对象房地状况!C24</f>
        <v>城市次干道-*青石西街</v>
      </c>
      <c r="C75" s="2042" t="s">
        <v>3394</v>
      </c>
      <c r="D75" s="1065">
        <f t="shared" si="17"/>
        <v>0</v>
      </c>
      <c r="E75" s="747"/>
      <c r="F75" s="1814"/>
      <c r="G75" s="1063">
        <v>3.2000000000000002E-3</v>
      </c>
      <c r="H75" s="1066">
        <f t="shared" si="18"/>
        <v>3.2000000000000002E-3</v>
      </c>
      <c r="I75" s="3363">
        <v>0.05</v>
      </c>
      <c r="J75" s="1064">
        <f t="shared" si="19"/>
        <v>6.4000000000000003E-3</v>
      </c>
      <c r="K75" s="1064">
        <f t="shared" si="20"/>
        <v>3.2000000000000002E-3</v>
      </c>
      <c r="L75" s="1064">
        <v>0</v>
      </c>
      <c r="M75" s="1064">
        <f t="shared" si="21"/>
        <v>-3.2000000000000002E-3</v>
      </c>
      <c r="N75" s="1064">
        <f t="shared" si="21"/>
        <v>-6.4000000000000003E-3</v>
      </c>
      <c r="O75" s="1119"/>
      <c r="P75" s="1119"/>
      <c r="Q75" s="1995"/>
      <c r="Z75" s="1996"/>
      <c r="AA75" s="2051"/>
      <c r="AG75" s="1121"/>
      <c r="AK75" s="2051"/>
    </row>
    <row r="76" spans="1:37" ht="25.5">
      <c r="A76" s="2128" t="s">
        <v>2059</v>
      </c>
      <c r="B76" s="1326" t="str">
        <f>估价对象房地状况!C21</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C76" s="2042" t="s">
        <v>3394</v>
      </c>
      <c r="D76" s="1065">
        <f t="shared" si="17"/>
        <v>0</v>
      </c>
      <c r="E76" s="747"/>
      <c r="F76" s="1814"/>
      <c r="G76" s="1063">
        <v>5.1999999999999998E-3</v>
      </c>
      <c r="H76" s="1066">
        <f t="shared" si="18"/>
        <v>5.1999999999999998E-3</v>
      </c>
      <c r="I76" s="3363">
        <v>0.08</v>
      </c>
      <c r="J76" s="1064">
        <f t="shared" si="19"/>
        <v>1.04E-2</v>
      </c>
      <c r="K76" s="1064">
        <f t="shared" si="20"/>
        <v>5.1999999999999998E-3</v>
      </c>
      <c r="L76" s="1064">
        <v>0</v>
      </c>
      <c r="M76" s="1064">
        <f t="shared" si="21"/>
        <v>-5.1999999999999998E-3</v>
      </c>
      <c r="N76" s="1064">
        <f t="shared" si="21"/>
        <v>-1.04E-2</v>
      </c>
      <c r="O76" s="1119"/>
      <c r="P76" s="1119"/>
      <c r="Z76" s="1996"/>
      <c r="AA76" s="2051"/>
      <c r="AG76" s="1121"/>
      <c r="AK76" s="2051"/>
    </row>
    <row r="77" spans="1:37" ht="25.5">
      <c r="A77" s="2128" t="s">
        <v>2060</v>
      </c>
      <c r="B77" s="1326" t="str">
        <f>估价对象房地状况!C22</f>
        <v>估价对象所在区域基础设施水平</v>
      </c>
      <c r="C77" s="2042" t="s">
        <v>3396</v>
      </c>
      <c r="D77" s="1065">
        <f t="shared" si="17"/>
        <v>1.1599999999999999E-2</v>
      </c>
      <c r="E77" s="747"/>
      <c r="F77" s="1814"/>
      <c r="G77" s="1063">
        <v>5.7999999999999996E-3</v>
      </c>
      <c r="H77" s="1066">
        <f t="shared" si="18"/>
        <v>5.7999999999999996E-3</v>
      </c>
      <c r="I77" s="3363">
        <v>0.09</v>
      </c>
      <c r="J77" s="1064">
        <f t="shared" si="19"/>
        <v>1.1599999999999999E-2</v>
      </c>
      <c r="K77" s="1064">
        <f t="shared" si="20"/>
        <v>5.7999999999999996E-3</v>
      </c>
      <c r="L77" s="1064">
        <v>0</v>
      </c>
      <c r="M77" s="1064">
        <f t="shared" si="21"/>
        <v>-5.7999999999999996E-3</v>
      </c>
      <c r="N77" s="1064">
        <f t="shared" si="21"/>
        <v>-1.1599999999999999E-2</v>
      </c>
      <c r="O77" s="1119"/>
      <c r="P77" s="1119"/>
      <c r="Z77" s="1996"/>
      <c r="AA77" s="2051"/>
      <c r="AG77" s="1121"/>
      <c r="AK77" s="2051"/>
    </row>
    <row r="78" spans="1:37" ht="24">
      <c r="A78" s="2128" t="s">
        <v>2057</v>
      </c>
      <c r="B78" s="2134" t="s">
        <v>2058</v>
      </c>
      <c r="C78" s="2042" t="s">
        <v>3395</v>
      </c>
      <c r="D78" s="1065">
        <f t="shared" si="17"/>
        <v>3.2000000000000002E-3</v>
      </c>
      <c r="E78" s="747"/>
      <c r="F78" s="1814"/>
      <c r="G78" s="1063">
        <v>3.2000000000000002E-3</v>
      </c>
      <c r="H78" s="1066">
        <f t="shared" si="18"/>
        <v>3.2000000000000002E-3</v>
      </c>
      <c r="I78" s="3363">
        <v>0.05</v>
      </c>
      <c r="J78" s="1064">
        <f t="shared" si="19"/>
        <v>6.4000000000000003E-3</v>
      </c>
      <c r="K78" s="1064">
        <f t="shared" si="20"/>
        <v>3.2000000000000002E-3</v>
      </c>
      <c r="L78" s="1064">
        <v>0</v>
      </c>
      <c r="M78" s="1064">
        <f t="shared" si="21"/>
        <v>-3.2000000000000002E-3</v>
      </c>
      <c r="N78" s="1064">
        <f t="shared" si="21"/>
        <v>-6.4000000000000003E-3</v>
      </c>
      <c r="O78" s="1995"/>
      <c r="P78" s="1995"/>
      <c r="Z78" s="1996"/>
      <c r="AA78" s="2051"/>
      <c r="AG78" s="1121"/>
      <c r="AK78" s="2051"/>
    </row>
    <row r="79" spans="1:37" ht="25.5">
      <c r="A79" s="2128" t="s">
        <v>2061</v>
      </c>
      <c r="B79" s="2131" t="str">
        <f>估价对象房地状况!C20</f>
        <v>估价对象周边有炮山城市森林公园、锦绣公园、青山公园、永定河引水渠等自然人文景观，总体自然人文环境较好。</v>
      </c>
      <c r="C79" s="2042" t="s">
        <v>3395</v>
      </c>
      <c r="D79" s="1065">
        <f t="shared" si="17"/>
        <v>7.7999999999999996E-3</v>
      </c>
      <c r="E79" s="747"/>
      <c r="F79" s="1814"/>
      <c r="G79" s="1063">
        <v>7.7999999999999996E-3</v>
      </c>
      <c r="H79" s="1066">
        <f t="shared" si="18"/>
        <v>7.7999999999999996E-3</v>
      </c>
      <c r="I79" s="3363">
        <v>0.12</v>
      </c>
      <c r="J79" s="1064">
        <f t="shared" si="19"/>
        <v>1.5599999999999999E-2</v>
      </c>
      <c r="K79" s="1064">
        <f t="shared" si="20"/>
        <v>7.7999999999999996E-3</v>
      </c>
      <c r="L79" s="1064">
        <v>0</v>
      </c>
      <c r="M79" s="1064">
        <f t="shared" si="21"/>
        <v>-7.7999999999999996E-3</v>
      </c>
      <c r="N79" s="1064">
        <f t="shared" si="21"/>
        <v>-1.5599999999999999E-2</v>
      </c>
      <c r="Z79" s="1996"/>
      <c r="AA79" s="2051"/>
      <c r="AG79" s="1121"/>
      <c r="AK79" s="2051"/>
    </row>
    <row r="80" spans="1:37" ht="24.75" thickBot="1">
      <c r="A80" s="2136" t="s">
        <v>2068</v>
      </c>
      <c r="B80" s="2140"/>
      <c r="C80" s="2042" t="s">
        <v>3394</v>
      </c>
      <c r="D80" s="1065">
        <f t="shared" si="17"/>
        <v>0</v>
      </c>
      <c r="E80" s="748"/>
      <c r="F80" s="1814"/>
      <c r="G80" s="1063">
        <v>3.2000000000000002E-3</v>
      </c>
      <c r="H80" s="1066">
        <f t="shared" si="18"/>
        <v>3.2000000000000002E-3</v>
      </c>
      <c r="I80" s="3364">
        <v>0.05</v>
      </c>
      <c r="J80" s="1064">
        <f t="shared" si="19"/>
        <v>6.4000000000000003E-3</v>
      </c>
      <c r="K80" s="1064">
        <f t="shared" si="20"/>
        <v>3.2000000000000002E-3</v>
      </c>
      <c r="L80" s="1064">
        <v>0</v>
      </c>
      <c r="M80" s="1064">
        <f t="shared" si="21"/>
        <v>-3.2000000000000002E-3</v>
      </c>
      <c r="N80" s="1064">
        <f t="shared" si="21"/>
        <v>-6.4000000000000003E-3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3273</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3276</v>
      </c>
      <c r="B94" s="3366" t="str">
        <f>估价对象房地状况!C18</f>
        <v>周边有358路、489路、597路等多条公交线路经过并设站，周边3公里内无地铁，交通便捷度一般。</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t="str">
        <f>估价对象房地状况!C24</f>
        <v>城市次干道-*青石西街</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3280</v>
      </c>
      <c r="B99" s="3366" t="str">
        <f>估价对象房地状况!C21</f>
        <v xml:space="preserve">周边有物美品超市、京农联精品生活超市等商业项目；有中国农业银行、北京农商银行等金融机构；有石景山区五里坨医院等医疗机构，有炮厂小学、人大附中石景山学校、石景山区红旗小学、首钢幼教五里春秋幼儿园等教育机构；公共配套设施齐备度一般
</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3282</v>
      </c>
      <c r="B101" s="3383" t="str">
        <f>估价对象房地状况!C20</f>
        <v>估价对象周边有炮山城市森林公园、锦绣公园、青山公园、永定河引水渠等自然人文景观，总体自然人文环境较好。</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2" t="s">
        <v>3297</v>
      </c>
      <c r="B103" s="3782"/>
      <c r="C103" s="3782"/>
      <c r="D103" s="3782"/>
      <c r="E103" s="3782"/>
      <c r="F103" s="3782"/>
      <c r="G103" s="3782"/>
      <c r="H103" s="3782"/>
      <c r="I103" s="3782"/>
      <c r="J103" s="3782"/>
      <c r="K103" s="3386"/>
      <c r="L103" s="3386"/>
      <c r="M103" s="3386"/>
      <c r="N103" s="3386"/>
    </row>
    <row r="104" spans="1:14">
      <c r="A104" s="3783" t="s">
        <v>3298</v>
      </c>
      <c r="B104" s="3783" t="s">
        <v>3299</v>
      </c>
      <c r="C104" s="3387" t="s">
        <v>3300</v>
      </c>
      <c r="D104" s="3388"/>
      <c r="E104" s="3388"/>
      <c r="F104" s="3388"/>
      <c r="G104" s="3388"/>
      <c r="H104" s="3388"/>
      <c r="I104" s="3388"/>
      <c r="J104" s="3389"/>
      <c r="K104" s="3390"/>
      <c r="L104" s="3390"/>
      <c r="M104" s="3390"/>
      <c r="N104" s="3390"/>
    </row>
    <row r="105" spans="1:14">
      <c r="A105" s="3783"/>
      <c r="B105" s="378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6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0"/>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2" t="s">
        <v>3314</v>
      </c>
      <c r="B113" s="3772"/>
      <c r="C113" s="3772"/>
      <c r="D113" s="3772"/>
      <c r="E113" s="3772"/>
      <c r="F113" s="3772"/>
      <c r="G113" s="3772"/>
      <c r="H113" s="3772"/>
      <c r="I113" s="3772"/>
      <c r="J113" s="377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1.6</v>
      </c>
      <c r="C116" s="3396" t="s">
        <v>3316</v>
      </c>
      <c r="D116" s="3397">
        <f>SUMPRODUCT((A118:A122=F116)*(B117:M117=H116)*B118:M122)</f>
        <v>0.91379999999999995</v>
      </c>
      <c r="E116" s="1998" t="s">
        <v>3317</v>
      </c>
      <c r="F116" s="3398" t="str">
        <f>E2</f>
        <v>住宅</v>
      </c>
      <c r="G116" s="1998" t="s">
        <v>3318</v>
      </c>
      <c r="H116" s="3398" t="str">
        <f>G2</f>
        <v>七级</v>
      </c>
      <c r="I116" s="1998"/>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0.97919999999999996</v>
      </c>
      <c r="C118" s="3384">
        <f>B118</f>
        <v>0.97919999999999996</v>
      </c>
      <c r="D118" s="3384">
        <f>ROUND(0.949-0.014*B116,4)</f>
        <v>0.92659999999999998</v>
      </c>
      <c r="E118" s="3384">
        <f>D118</f>
        <v>0.92659999999999998</v>
      </c>
      <c r="F118" s="3384">
        <f>E118</f>
        <v>0.92659999999999998</v>
      </c>
      <c r="G118" s="3384">
        <f>F118</f>
        <v>0.92659999999999998</v>
      </c>
      <c r="H118" s="3384">
        <f>G118</f>
        <v>0.92659999999999998</v>
      </c>
      <c r="I118" s="3384">
        <f>ROUND(0.8486-0.018*B116,4)</f>
        <v>0.81979999999999997</v>
      </c>
      <c r="J118" s="3384">
        <f t="shared" ref="J118:M122" si="35">I118</f>
        <v>0.81979999999999997</v>
      </c>
      <c r="K118" s="3384">
        <f t="shared" si="35"/>
        <v>0.81979999999999997</v>
      </c>
      <c r="L118" s="3384">
        <f t="shared" si="35"/>
        <v>0.81979999999999997</v>
      </c>
      <c r="M118" s="3407">
        <f t="shared" si="35"/>
        <v>0.81979999999999997</v>
      </c>
      <c r="N118" s="3394"/>
    </row>
    <row r="119" spans="1:14">
      <c r="A119" s="3406" t="s">
        <v>3332</v>
      </c>
      <c r="B119" s="3384">
        <f>ROUND(0.993-0.0112*B116,4)</f>
        <v>0.97509999999999997</v>
      </c>
      <c r="C119" s="3384">
        <f>B119</f>
        <v>0.97509999999999997</v>
      </c>
      <c r="D119" s="3384">
        <f>ROUND(0.9415-0.0142*B116,4)</f>
        <v>0.91879999999999995</v>
      </c>
      <c r="E119" s="3384">
        <f t="shared" ref="E119:H120" si="36">D119</f>
        <v>0.91879999999999995</v>
      </c>
      <c r="F119" s="3384">
        <f t="shared" si="36"/>
        <v>0.91879999999999995</v>
      </c>
      <c r="G119" s="3384">
        <f t="shared" si="36"/>
        <v>0.91879999999999995</v>
      </c>
      <c r="H119" s="3384">
        <f t="shared" si="36"/>
        <v>0.91879999999999995</v>
      </c>
      <c r="I119" s="3384">
        <f>ROUND(0.838-0.0182*B116,4)</f>
        <v>0.80889999999999995</v>
      </c>
      <c r="J119" s="3384">
        <f t="shared" si="35"/>
        <v>0.80889999999999995</v>
      </c>
      <c r="K119" s="3384">
        <f t="shared" si="35"/>
        <v>0.80889999999999995</v>
      </c>
      <c r="L119" s="3384">
        <f t="shared" si="35"/>
        <v>0.80889999999999995</v>
      </c>
      <c r="M119" s="3407">
        <f t="shared" si="35"/>
        <v>0.80889999999999995</v>
      </c>
      <c r="N119" s="3394"/>
    </row>
    <row r="120" spans="1:14">
      <c r="A120" s="3406" t="s">
        <v>3333</v>
      </c>
      <c r="B120" s="3384">
        <f>ROUND(0.9448-0.0115*B116,4)</f>
        <v>0.9264</v>
      </c>
      <c r="C120" s="3384">
        <f>B120</f>
        <v>0.9264</v>
      </c>
      <c r="D120" s="3384">
        <f>ROUND(0.937-0.0145*B116,4)</f>
        <v>0.91379999999999995</v>
      </c>
      <c r="E120" s="3384">
        <f t="shared" si="36"/>
        <v>0.91379999999999995</v>
      </c>
      <c r="F120" s="3384">
        <f t="shared" si="36"/>
        <v>0.91379999999999995</v>
      </c>
      <c r="G120" s="3384">
        <f t="shared" si="36"/>
        <v>0.91379999999999995</v>
      </c>
      <c r="H120" s="3384">
        <f t="shared" si="36"/>
        <v>0.91379999999999995</v>
      </c>
      <c r="I120" s="3384">
        <f>ROUND(0.7965-0.0185*B116,4)</f>
        <v>0.76690000000000003</v>
      </c>
      <c r="J120" s="3384">
        <f t="shared" si="35"/>
        <v>0.76690000000000003</v>
      </c>
      <c r="K120" s="3384">
        <f t="shared" si="35"/>
        <v>0.76690000000000003</v>
      </c>
      <c r="L120" s="3384">
        <f t="shared" si="35"/>
        <v>0.76690000000000003</v>
      </c>
      <c r="M120" s="3407">
        <f t="shared" si="35"/>
        <v>0.76690000000000003</v>
      </c>
      <c r="N120" s="3394"/>
    </row>
    <row r="121" spans="1:14" ht="13.5" thickBot="1">
      <c r="A121" s="3408" t="s">
        <v>3334</v>
      </c>
      <c r="B121" s="3409">
        <f>ROUND(0.7836-0.012*B116,4)</f>
        <v>0.76439999999999997</v>
      </c>
      <c r="C121" s="3409">
        <f>B121</f>
        <v>0.76439999999999997</v>
      </c>
      <c r="D121" s="3409">
        <f>ROUND(0.753-0.015*B116,4)</f>
        <v>0.72899999999999998</v>
      </c>
      <c r="E121" s="3409">
        <f>D121</f>
        <v>0.72899999999999998</v>
      </c>
      <c r="F121" s="3409">
        <f>E121</f>
        <v>0.72899999999999998</v>
      </c>
      <c r="G121" s="3409">
        <f>ROUND(0.6612-0.018*B116,4)</f>
        <v>0.63239999999999996</v>
      </c>
      <c r="H121" s="3409">
        <f>G121</f>
        <v>0.63239999999999996</v>
      </c>
      <c r="I121" s="3409">
        <f>ROUND(0.5905-0.019*B116,4)</f>
        <v>0.56010000000000004</v>
      </c>
      <c r="J121" s="3409">
        <f t="shared" si="35"/>
        <v>0.56010000000000004</v>
      </c>
      <c r="K121" s="3409">
        <f t="shared" si="35"/>
        <v>0.56010000000000004</v>
      </c>
      <c r="L121" s="3409">
        <f t="shared" si="35"/>
        <v>0.56010000000000004</v>
      </c>
      <c r="M121" s="3410">
        <f t="shared" si="35"/>
        <v>0.56010000000000004</v>
      </c>
      <c r="N121" s="3394"/>
    </row>
    <row r="122" spans="1:14">
      <c r="A122" s="3411" t="s">
        <v>2613</v>
      </c>
      <c r="B122" s="3384">
        <f>ROUND(0.9404-0.0106*B116,4)</f>
        <v>0.9234</v>
      </c>
      <c r="C122" s="3384">
        <f>B122</f>
        <v>0.9234</v>
      </c>
      <c r="D122" s="3384">
        <f>ROUND(0.8955-0.0135*B116,4)</f>
        <v>0.87390000000000001</v>
      </c>
      <c r="E122" s="3384">
        <f t="shared" ref="E122:H122" si="37">D122</f>
        <v>0.87390000000000001</v>
      </c>
      <c r="F122" s="3384">
        <f t="shared" si="37"/>
        <v>0.87390000000000001</v>
      </c>
      <c r="G122" s="3384">
        <f t="shared" si="37"/>
        <v>0.87390000000000001</v>
      </c>
      <c r="H122" s="3384">
        <f t="shared" si="37"/>
        <v>0.87390000000000001</v>
      </c>
      <c r="I122" s="3384">
        <f>ROUND(0.7632-0.0166*B116,4)</f>
        <v>0.73660000000000003</v>
      </c>
      <c r="J122" s="3384">
        <f t="shared" si="35"/>
        <v>0.73660000000000003</v>
      </c>
      <c r="K122" s="3384">
        <f t="shared" si="35"/>
        <v>0.73660000000000003</v>
      </c>
      <c r="L122" s="3384">
        <f t="shared" si="35"/>
        <v>0.73660000000000003</v>
      </c>
      <c r="M122" s="3407">
        <f t="shared" si="35"/>
        <v>0.73660000000000003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t="e">
        <f ca="1">'结果表-住宅'!H101</f>
        <v>#REF!</v>
      </c>
      <c r="E5" s="1491"/>
    </row>
    <row r="6" spans="1:5" ht="15.75">
      <c r="A6" s="1491"/>
      <c r="B6" s="3483"/>
      <c r="C6" s="1494" t="s">
        <v>911</v>
      </c>
      <c r="D6" s="850" t="e">
        <f ca="1">NUMBERSTRING(INT(D5*10000),2)&amp;"元整"</f>
        <v>#REF!</v>
      </c>
      <c r="E6" s="1491"/>
    </row>
    <row r="7" spans="1:5" ht="15.75">
      <c r="A7" s="1491"/>
      <c r="B7" s="3488"/>
      <c r="C7" s="1495" t="s">
        <v>912</v>
      </c>
      <c r="D7" s="851" t="e">
        <f ca="1">'结果表-住宅'!H102</f>
        <v>#REF!</v>
      </c>
      <c r="E7" s="1491"/>
    </row>
    <row r="8" spans="1:5" ht="15.75">
      <c r="A8" s="1491"/>
      <c r="B8" s="3489" t="str">
        <f>'结果表-住宅'!E103</f>
        <v>2.估价师知悉的法定优先受偿款</v>
      </c>
      <c r="C8" s="1496" t="s">
        <v>913</v>
      </c>
      <c r="D8" s="851">
        <f>'结果表-住宅'!H103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'结果表-住宅'!H104</f>
        <v>0</v>
      </c>
      <c r="E10" s="1491"/>
    </row>
    <row r="11" spans="1:5" ht="15">
      <c r="A11" s="1491"/>
      <c r="B11" s="1497" t="s">
        <v>918</v>
      </c>
      <c r="C11" s="1498" t="s">
        <v>919</v>
      </c>
      <c r="D11" s="852">
        <f>'结果表-住宅'!H105</f>
        <v>0</v>
      </c>
      <c r="E11" s="1491"/>
    </row>
    <row r="12" spans="1:5" ht="15">
      <c r="A12" s="1491"/>
      <c r="B12" s="1497" t="s">
        <v>920</v>
      </c>
      <c r="C12" s="1498" t="s">
        <v>919</v>
      </c>
      <c r="D12" s="852">
        <f>'结果表-住宅'!H106</f>
        <v>0</v>
      </c>
      <c r="E12" s="1491"/>
    </row>
    <row r="13" spans="1:5" ht="15.75">
      <c r="A13" s="1491"/>
      <c r="B13" s="3482" t="str">
        <f>'结果表-住宅'!E107</f>
        <v>3.房地产抵押价值</v>
      </c>
      <c r="C13" s="1499" t="s">
        <v>910</v>
      </c>
      <c r="D13" s="853" t="e">
        <f ca="1">'结果表-住宅'!H107</f>
        <v>#REF!</v>
      </c>
      <c r="E13" s="1491"/>
    </row>
    <row r="14" spans="1:5" ht="15.75">
      <c r="A14" s="1491"/>
      <c r="B14" s="3483"/>
      <c r="C14" s="1494" t="s">
        <v>911</v>
      </c>
      <c r="D14" s="850" t="e">
        <f ca="1">NUMBERSTRING(INT(D13*10000),2)&amp;"元整"</f>
        <v>#REF!</v>
      </c>
      <c r="E14" s="1491"/>
    </row>
    <row r="15" spans="1:5" ht="15">
      <c r="A15" s="1491"/>
      <c r="B15" s="3488"/>
      <c r="C15" s="1495" t="s">
        <v>921</v>
      </c>
      <c r="D15" s="859" t="e">
        <f ca="1">'结果表-住宅'!H108</f>
        <v>#REF!</v>
      </c>
      <c r="E15" s="1491"/>
    </row>
    <row r="16" spans="1:5" ht="15">
      <c r="A16" s="1491"/>
      <c r="B16" s="3489" t="str">
        <f>'结果表-住宅'!E109</f>
        <v>——</v>
      </c>
      <c r="C16" s="1499" t="s">
        <v>922</v>
      </c>
      <c r="D16" s="1500" t="str">
        <f>'结果表-住宅'!H109</f>
        <v>——</v>
      </c>
      <c r="E16" s="1491"/>
    </row>
    <row r="17" spans="1:5" ht="15.75">
      <c r="A17" s="1491"/>
      <c r="B17" s="3490"/>
      <c r="C17" s="1494" t="s">
        <v>923</v>
      </c>
      <c r="D17" s="850" t="e">
        <f>NUMBERSTRING(INT(D16*10000),2)&amp;"元整"</f>
        <v>#VALUE!</v>
      </c>
      <c r="E17" s="1491"/>
    </row>
    <row r="18" spans="1:5" ht="15">
      <c r="A18" s="1491"/>
      <c r="B18" s="3491"/>
      <c r="C18" s="1495" t="s">
        <v>912</v>
      </c>
      <c r="D18" s="859" t="str">
        <f>'结果表-住宅'!H110</f>
        <v>——</v>
      </c>
      <c r="E18" s="1491"/>
    </row>
    <row r="19" spans="1:5" ht="15.75">
      <c r="A19" s="1491"/>
      <c r="B19" s="3482" t="str">
        <f>'结果表-住宅'!E111</f>
        <v>——</v>
      </c>
      <c r="C19" s="1499" t="s">
        <v>910</v>
      </c>
      <c r="D19" s="851" t="str">
        <f>'结果表-住宅'!H111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'结果表-住宅'!H112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97" t="s">
        <v>2608</v>
      </c>
      <c r="B20" s="3792" t="s">
        <v>2629</v>
      </c>
      <c r="C20" s="3099" t="s">
        <v>2440</v>
      </c>
      <c r="D20" s="3100"/>
      <c r="E20" s="3101">
        <v>1</v>
      </c>
      <c r="F20" s="3102" t="s">
        <v>2441</v>
      </c>
      <c r="G20" s="3102"/>
    </row>
    <row r="21" spans="1:13" ht="19.5" customHeight="1">
      <c r="A21" s="3798"/>
      <c r="B21" s="3791"/>
      <c r="C21" s="3103" t="s">
        <v>2442</v>
      </c>
      <c r="D21" s="3104"/>
      <c r="E21" s="3105">
        <v>1</v>
      </c>
      <c r="F21" s="3102" t="s">
        <v>2443</v>
      </c>
      <c r="G21" s="3102"/>
    </row>
    <row r="22" spans="1:13" ht="19.5" customHeight="1">
      <c r="A22" s="3798"/>
      <c r="B22" s="3791"/>
      <c r="C22" s="3103" t="s">
        <v>2444</v>
      </c>
      <c r="D22" s="3104"/>
      <c r="E22" s="3105">
        <v>0.9</v>
      </c>
      <c r="F22" s="3102" t="s">
        <v>2445</v>
      </c>
      <c r="G22" s="3102"/>
    </row>
    <row r="23" spans="1:13" ht="19.5" customHeight="1">
      <c r="A23" s="3798"/>
      <c r="B23" s="3791"/>
      <c r="C23" s="3103" t="s">
        <v>2446</v>
      </c>
      <c r="D23" s="3104"/>
      <c r="E23" s="3105">
        <v>0.9</v>
      </c>
      <c r="F23" s="3102" t="s">
        <v>2447</v>
      </c>
      <c r="G23" s="3102"/>
    </row>
    <row r="24" spans="1:13" ht="19.5" customHeight="1">
      <c r="A24" s="3798"/>
      <c r="B24" s="3791"/>
      <c r="C24" s="3103" t="s">
        <v>2448</v>
      </c>
      <c r="D24" s="3104"/>
      <c r="E24" s="3105">
        <v>0.8</v>
      </c>
      <c r="F24" s="3102" t="s">
        <v>2449</v>
      </c>
      <c r="G24" s="3102"/>
    </row>
    <row r="25" spans="1:13" ht="19.5" customHeight="1" thickBot="1">
      <c r="A25" s="3799"/>
      <c r="B25" s="3793"/>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94" t="s">
        <v>2632</v>
      </c>
      <c r="B27" s="3792" t="s">
        <v>2613</v>
      </c>
      <c r="C27" s="3099" t="s">
        <v>2453</v>
      </c>
      <c r="D27" s="3100"/>
      <c r="E27" s="3101">
        <v>1</v>
      </c>
      <c r="F27" s="3102" t="s">
        <v>2454</v>
      </c>
      <c r="G27" s="3102"/>
    </row>
    <row r="28" spans="1:13" ht="19.5" customHeight="1">
      <c r="A28" s="3795"/>
      <c r="B28" s="3791"/>
      <c r="C28" s="3103" t="s">
        <v>2455</v>
      </c>
      <c r="D28" s="3104"/>
      <c r="E28" s="3105">
        <v>1</v>
      </c>
      <c r="F28" s="3102" t="s">
        <v>2456</v>
      </c>
      <c r="G28" s="3102"/>
    </row>
    <row r="29" spans="1:13" ht="19.5" customHeight="1">
      <c r="A29" s="3795"/>
      <c r="B29" s="3791"/>
      <c r="C29" s="3103" t="s">
        <v>2457</v>
      </c>
      <c r="D29" s="3104"/>
      <c r="E29" s="3105">
        <v>0.8</v>
      </c>
      <c r="F29" s="3102" t="s">
        <v>2458</v>
      </c>
      <c r="G29" s="3102"/>
    </row>
    <row r="30" spans="1:13" ht="19.5" customHeight="1">
      <c r="A30" s="3795"/>
      <c r="B30" s="3791"/>
      <c r="C30" s="3103" t="s">
        <v>2459</v>
      </c>
      <c r="D30" s="3104"/>
      <c r="E30" s="3105">
        <v>0.8</v>
      </c>
      <c r="F30" s="3102" t="s">
        <v>2460</v>
      </c>
      <c r="G30" s="3102"/>
    </row>
    <row r="31" spans="1:13" ht="19.5" customHeight="1">
      <c r="A31" s="3795"/>
      <c r="B31" s="3791"/>
      <c r="C31" s="3103" t="s">
        <v>2461</v>
      </c>
      <c r="D31" s="3104"/>
      <c r="E31" s="3105">
        <v>0.8</v>
      </c>
      <c r="F31" s="3102" t="s">
        <v>2462</v>
      </c>
      <c r="G31" s="3102"/>
    </row>
    <row r="32" spans="1:13" ht="19.5" customHeight="1">
      <c r="A32" s="3795"/>
      <c r="B32" s="3791"/>
      <c r="C32" s="3103" t="s">
        <v>2463</v>
      </c>
      <c r="D32" s="3104"/>
      <c r="E32" s="3105">
        <v>0.7</v>
      </c>
      <c r="F32" s="3102" t="s">
        <v>2464</v>
      </c>
      <c r="G32" s="3102"/>
    </row>
    <row r="33" spans="1:7" ht="19.5" customHeight="1">
      <c r="A33" s="3795"/>
      <c r="B33" s="3791"/>
      <c r="C33" s="3103" t="s">
        <v>2465</v>
      </c>
      <c r="D33" s="3104"/>
      <c r="E33" s="3105">
        <v>0.8</v>
      </c>
      <c r="F33" s="3102" t="s">
        <v>2466</v>
      </c>
      <c r="G33" s="3102"/>
    </row>
    <row r="34" spans="1:7" ht="19.5" customHeight="1">
      <c r="A34" s="3795"/>
      <c r="B34" s="3791"/>
      <c r="C34" s="3103" t="s">
        <v>2467</v>
      </c>
      <c r="D34" s="3104"/>
      <c r="E34" s="3105">
        <v>0.6</v>
      </c>
      <c r="F34" s="3102" t="s">
        <v>2468</v>
      </c>
      <c r="G34" s="3102"/>
    </row>
    <row r="35" spans="1:7" ht="19.5" customHeight="1">
      <c r="A35" s="3795"/>
      <c r="B35" s="3791"/>
      <c r="C35" s="3103" t="s">
        <v>2469</v>
      </c>
      <c r="D35" s="3104"/>
      <c r="E35" s="3105">
        <v>0.2</v>
      </c>
      <c r="F35" s="3102" t="s">
        <v>2470</v>
      </c>
      <c r="G35" s="3102"/>
    </row>
    <row r="36" spans="1:7" ht="19.5" customHeight="1">
      <c r="A36" s="3795"/>
      <c r="B36" s="3791"/>
      <c r="C36" s="3103" t="s">
        <v>2471</v>
      </c>
      <c r="D36" s="3104"/>
      <c r="E36" s="3105">
        <v>0.2</v>
      </c>
      <c r="F36" s="3102" t="s">
        <v>2472</v>
      </c>
      <c r="G36" s="3102"/>
    </row>
    <row r="37" spans="1:7" ht="19.5" customHeight="1">
      <c r="A37" s="3795"/>
      <c r="B37" s="3789" t="s">
        <v>2633</v>
      </c>
      <c r="C37" s="3103" t="s">
        <v>2473</v>
      </c>
      <c r="D37" s="3104"/>
      <c r="E37" s="3105">
        <v>0.6</v>
      </c>
      <c r="F37" s="3102" t="s">
        <v>2474</v>
      </c>
      <c r="G37" s="3102"/>
    </row>
    <row r="38" spans="1:7" ht="19.5" customHeight="1">
      <c r="A38" s="3795"/>
      <c r="B38" s="3791"/>
      <c r="C38" s="3103" t="s">
        <v>2475</v>
      </c>
      <c r="D38" s="3104"/>
      <c r="E38" s="3105">
        <v>0.6</v>
      </c>
      <c r="F38" s="3102" t="s">
        <v>2476</v>
      </c>
      <c r="G38" s="3102"/>
    </row>
    <row r="39" spans="1:7" ht="19.5" customHeight="1" thickBot="1">
      <c r="A39" s="3796"/>
      <c r="B39" s="3793"/>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97" t="s">
        <v>2611</v>
      </c>
      <c r="B41" s="3792" t="s">
        <v>2635</v>
      </c>
      <c r="C41" s="3099" t="s">
        <v>2480</v>
      </c>
      <c r="D41" s="3100"/>
      <c r="E41" s="3101">
        <v>1</v>
      </c>
      <c r="F41" s="3102" t="s">
        <v>2481</v>
      </c>
      <c r="G41" s="3102"/>
    </row>
    <row r="42" spans="1:7" ht="19.5" customHeight="1">
      <c r="A42" s="3798"/>
      <c r="B42" s="3791"/>
      <c r="C42" s="3103" t="s">
        <v>2482</v>
      </c>
      <c r="D42" s="3104"/>
      <c r="E42" s="3105">
        <v>1</v>
      </c>
      <c r="F42" s="3102" t="s">
        <v>2483</v>
      </c>
      <c r="G42" s="3102"/>
    </row>
    <row r="43" spans="1:7" ht="19.5" customHeight="1">
      <c r="A43" s="3798"/>
      <c r="B43" s="3790"/>
      <c r="C43" s="3103" t="s">
        <v>2484</v>
      </c>
      <c r="D43" s="3104"/>
      <c r="E43" s="3105">
        <v>1.5</v>
      </c>
      <c r="F43" s="3102" t="s">
        <v>2485</v>
      </c>
      <c r="G43" s="3102"/>
    </row>
    <row r="44" spans="1:7" ht="19.5" customHeight="1">
      <c r="A44" s="3798"/>
      <c r="B44" s="3114" t="s">
        <v>2636</v>
      </c>
      <c r="C44" s="3103" t="s">
        <v>2637</v>
      </c>
      <c r="D44" s="3104"/>
      <c r="E44" s="3105">
        <v>2</v>
      </c>
      <c r="F44" s="3102" t="s">
        <v>2486</v>
      </c>
      <c r="G44" s="3102"/>
    </row>
    <row r="45" spans="1:7" ht="19.5" customHeight="1">
      <c r="A45" s="3798"/>
      <c r="B45" s="3789" t="s">
        <v>2638</v>
      </c>
      <c r="C45" s="3103" t="s">
        <v>2487</v>
      </c>
      <c r="D45" s="3104"/>
      <c r="E45" s="3105">
        <v>1</v>
      </c>
      <c r="F45" s="3102" t="s">
        <v>2488</v>
      </c>
      <c r="G45" s="3102"/>
    </row>
    <row r="46" spans="1:7" ht="19.5" customHeight="1">
      <c r="A46" s="3798"/>
      <c r="B46" s="3791"/>
      <c r="C46" s="3103" t="s">
        <v>2489</v>
      </c>
      <c r="D46" s="3104"/>
      <c r="E46" s="3105">
        <v>1</v>
      </c>
      <c r="F46" s="3102" t="s">
        <v>2490</v>
      </c>
      <c r="G46" s="3102"/>
    </row>
    <row r="47" spans="1:7" ht="19.5" customHeight="1">
      <c r="A47" s="3798"/>
      <c r="B47" s="3791"/>
      <c r="C47" s="3103" t="s">
        <v>2491</v>
      </c>
      <c r="D47" s="3104"/>
      <c r="E47" s="3105">
        <v>1</v>
      </c>
      <c r="F47" s="3102" t="s">
        <v>2492</v>
      </c>
      <c r="G47" s="3102"/>
    </row>
    <row r="48" spans="1:7" ht="19.5" customHeight="1">
      <c r="A48" s="3798"/>
      <c r="B48" s="3791"/>
      <c r="C48" s="3103" t="s">
        <v>2493</v>
      </c>
      <c r="D48" s="3104"/>
      <c r="E48" s="3105">
        <v>1</v>
      </c>
      <c r="F48" s="3102" t="s">
        <v>2494</v>
      </c>
      <c r="G48" s="3102"/>
    </row>
    <row r="49" spans="1:7" ht="19.5" customHeight="1">
      <c r="A49" s="3798"/>
      <c r="B49" s="3791"/>
      <c r="C49" s="3103" t="s">
        <v>2495</v>
      </c>
      <c r="D49" s="3104"/>
      <c r="E49" s="3105">
        <v>1</v>
      </c>
      <c r="F49" s="3102" t="s">
        <v>2496</v>
      </c>
      <c r="G49" s="3102"/>
    </row>
    <row r="50" spans="1:7" ht="19.5" customHeight="1">
      <c r="A50" s="3798"/>
      <c r="B50" s="3791"/>
      <c r="C50" s="3103" t="s">
        <v>2497</v>
      </c>
      <c r="D50" s="3104"/>
      <c r="E50" s="3105">
        <v>1</v>
      </c>
      <c r="F50" s="3102" t="s">
        <v>2498</v>
      </c>
      <c r="G50" s="3102"/>
    </row>
    <row r="51" spans="1:7" ht="19.5" customHeight="1" thickBot="1">
      <c r="A51" s="3799"/>
      <c r="B51" s="3793"/>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89" t="s">
        <v>2652</v>
      </c>
      <c r="C73" s="3088" t="s">
        <v>2653</v>
      </c>
      <c r="D73" s="3088" t="s">
        <v>2654</v>
      </c>
      <c r="E73" s="3114">
        <v>0.2</v>
      </c>
      <c r="F73" s="3114">
        <v>25</v>
      </c>
    </row>
    <row r="74" spans="1:7" ht="24">
      <c r="A74" s="3114">
        <v>2</v>
      </c>
      <c r="B74" s="3791"/>
      <c r="C74" s="3088" t="s">
        <v>2655</v>
      </c>
      <c r="D74" s="3088" t="s">
        <v>2656</v>
      </c>
      <c r="E74" s="3114">
        <v>0.2</v>
      </c>
      <c r="F74" s="3114">
        <v>25</v>
      </c>
    </row>
    <row r="75" spans="1:7" ht="24">
      <c r="A75" s="3114">
        <v>3</v>
      </c>
      <c r="B75" s="3791"/>
      <c r="C75" s="3088" t="s">
        <v>2657</v>
      </c>
      <c r="D75" s="3088" t="s">
        <v>2658</v>
      </c>
      <c r="E75" s="3114">
        <v>0.2</v>
      </c>
      <c r="F75" s="3114">
        <v>25</v>
      </c>
    </row>
    <row r="76" spans="1:7" ht="13.5">
      <c r="A76" s="3114">
        <v>4</v>
      </c>
      <c r="B76" s="3791"/>
      <c r="C76" s="3088" t="s">
        <v>2659</v>
      </c>
      <c r="D76" s="3088" t="s">
        <v>2660</v>
      </c>
      <c r="E76" s="3114">
        <v>0.15</v>
      </c>
      <c r="F76" s="3114">
        <v>20</v>
      </c>
    </row>
    <row r="77" spans="1:7" ht="24">
      <c r="A77" s="3114">
        <v>5</v>
      </c>
      <c r="B77" s="3791"/>
      <c r="C77" s="3088" t="s">
        <v>2661</v>
      </c>
      <c r="D77" s="3088" t="s">
        <v>2662</v>
      </c>
      <c r="E77" s="3114">
        <v>0.15</v>
      </c>
      <c r="F77" s="3114">
        <v>20</v>
      </c>
    </row>
    <row r="78" spans="1:7" ht="24">
      <c r="A78" s="3114">
        <v>6</v>
      </c>
      <c r="B78" s="3791"/>
      <c r="C78" s="3088" t="s">
        <v>2663</v>
      </c>
      <c r="D78" s="3088" t="s">
        <v>2664</v>
      </c>
      <c r="E78" s="3114">
        <v>0.15</v>
      </c>
      <c r="F78" s="3114">
        <v>20</v>
      </c>
    </row>
    <row r="79" spans="1:7" ht="24">
      <c r="A79" s="3114">
        <v>7</v>
      </c>
      <c r="B79" s="3791"/>
      <c r="C79" s="3088" t="s">
        <v>2665</v>
      </c>
      <c r="D79" s="3088" t="s">
        <v>2666</v>
      </c>
      <c r="E79" s="3114">
        <v>0.15</v>
      </c>
      <c r="F79" s="3114">
        <v>20</v>
      </c>
    </row>
    <row r="80" spans="1:7" ht="24">
      <c r="A80" s="3114">
        <v>8</v>
      </c>
      <c r="B80" s="3791"/>
      <c r="C80" s="3088" t="s">
        <v>2667</v>
      </c>
      <c r="D80" s="3088" t="s">
        <v>2668</v>
      </c>
      <c r="E80" s="3114">
        <v>0.1</v>
      </c>
      <c r="F80" s="3114">
        <v>15</v>
      </c>
    </row>
    <row r="81" spans="1:6" ht="24">
      <c r="A81" s="3114">
        <v>9</v>
      </c>
      <c r="B81" s="3791"/>
      <c r="C81" s="3088" t="s">
        <v>2669</v>
      </c>
      <c r="D81" s="3088" t="s">
        <v>2670</v>
      </c>
      <c r="E81" s="3114">
        <v>0.1</v>
      </c>
      <c r="F81" s="3114">
        <v>15</v>
      </c>
    </row>
    <row r="82" spans="1:6" ht="24">
      <c r="A82" s="3114">
        <v>10</v>
      </c>
      <c r="B82" s="3791"/>
      <c r="C82" s="3088" t="s">
        <v>2671</v>
      </c>
      <c r="D82" s="3088" t="s">
        <v>2672</v>
      </c>
      <c r="E82" s="3114">
        <v>0.1</v>
      </c>
      <c r="F82" s="3114">
        <v>15</v>
      </c>
    </row>
    <row r="83" spans="1:6" ht="24">
      <c r="A83" s="3114">
        <v>11</v>
      </c>
      <c r="B83" s="3791"/>
      <c r="C83" s="3088" t="s">
        <v>2673</v>
      </c>
      <c r="D83" s="3088" t="s">
        <v>2674</v>
      </c>
      <c r="E83" s="3114">
        <v>0.1</v>
      </c>
      <c r="F83" s="3114">
        <v>15</v>
      </c>
    </row>
    <row r="84" spans="1:6" ht="24">
      <c r="A84" s="3114">
        <v>12</v>
      </c>
      <c r="B84" s="3791"/>
      <c r="C84" s="3088" t="s">
        <v>2675</v>
      </c>
      <c r="D84" s="3088" t="s">
        <v>2676</v>
      </c>
      <c r="E84" s="3114">
        <v>0.1</v>
      </c>
      <c r="F84" s="3114">
        <v>15</v>
      </c>
    </row>
    <row r="85" spans="1:6" ht="13.5">
      <c r="A85" s="3114">
        <v>13</v>
      </c>
      <c r="B85" s="3791"/>
      <c r="C85" s="3088" t="s">
        <v>2677</v>
      </c>
      <c r="D85" s="3088" t="s">
        <v>2678</v>
      </c>
      <c r="E85" s="3114">
        <v>0.1</v>
      </c>
      <c r="F85" s="3114">
        <v>15</v>
      </c>
    </row>
    <row r="86" spans="1:6" ht="13.5">
      <c r="A86" s="3114">
        <v>14</v>
      </c>
      <c r="B86" s="3791"/>
      <c r="C86" s="3088" t="s">
        <v>2679</v>
      </c>
      <c r="D86" s="3088" t="s">
        <v>2680</v>
      </c>
      <c r="E86" s="3114">
        <v>0.1</v>
      </c>
      <c r="F86" s="3114">
        <v>15</v>
      </c>
    </row>
    <row r="87" spans="1:6" ht="13.5">
      <c r="A87" s="3114">
        <v>15</v>
      </c>
      <c r="B87" s="3791"/>
      <c r="C87" s="3088" t="s">
        <v>2681</v>
      </c>
      <c r="D87" s="3088" t="s">
        <v>2682</v>
      </c>
      <c r="E87" s="3114">
        <v>0.1</v>
      </c>
      <c r="F87" s="3114">
        <v>15</v>
      </c>
    </row>
    <row r="88" spans="1:6" ht="24">
      <c r="A88" s="3114">
        <v>16</v>
      </c>
      <c r="B88" s="3791"/>
      <c r="C88" s="3088" t="s">
        <v>2683</v>
      </c>
      <c r="D88" s="3088" t="s">
        <v>2684</v>
      </c>
      <c r="E88" s="3114">
        <v>0.1</v>
      </c>
      <c r="F88" s="3114">
        <v>15</v>
      </c>
    </row>
    <row r="89" spans="1:6" ht="24">
      <c r="A89" s="3114">
        <v>17</v>
      </c>
      <c r="B89" s="3790"/>
      <c r="C89" s="3088" t="s">
        <v>2685</v>
      </c>
      <c r="D89" s="3088" t="s">
        <v>2686</v>
      </c>
      <c r="E89" s="3114">
        <v>0.1</v>
      </c>
      <c r="F89" s="3114">
        <v>15</v>
      </c>
    </row>
    <row r="90" spans="1:6" ht="13.5">
      <c r="A90" s="3114">
        <v>18</v>
      </c>
      <c r="B90" s="3789" t="s">
        <v>2687</v>
      </c>
      <c r="C90" s="3088" t="s">
        <v>2688</v>
      </c>
      <c r="D90" s="3088" t="s">
        <v>2689</v>
      </c>
      <c r="E90" s="3114">
        <v>0.2</v>
      </c>
      <c r="F90" s="3114">
        <v>25</v>
      </c>
    </row>
    <row r="91" spans="1:6" ht="24">
      <c r="A91" s="3114">
        <v>19</v>
      </c>
      <c r="B91" s="3791"/>
      <c r="C91" s="3088" t="s">
        <v>2690</v>
      </c>
      <c r="D91" s="3088" t="s">
        <v>2691</v>
      </c>
      <c r="E91" s="3114">
        <v>0.2</v>
      </c>
      <c r="F91" s="3114">
        <v>25</v>
      </c>
    </row>
    <row r="92" spans="1:6" ht="13.5">
      <c r="A92" s="3114">
        <v>20</v>
      </c>
      <c r="B92" s="3791"/>
      <c r="C92" s="3088" t="s">
        <v>2692</v>
      </c>
      <c r="D92" s="3088" t="s">
        <v>2693</v>
      </c>
      <c r="E92" s="3114">
        <v>0.15</v>
      </c>
      <c r="F92" s="3114">
        <v>20</v>
      </c>
    </row>
    <row r="93" spans="1:6" ht="13.5">
      <c r="A93" s="3114">
        <v>21</v>
      </c>
      <c r="B93" s="3791"/>
      <c r="C93" s="3088" t="s">
        <v>2694</v>
      </c>
      <c r="D93" s="3088" t="s">
        <v>2695</v>
      </c>
      <c r="E93" s="3114">
        <v>0.15</v>
      </c>
      <c r="F93" s="3114">
        <v>20</v>
      </c>
    </row>
    <row r="94" spans="1:6" ht="13.5">
      <c r="A94" s="3114">
        <v>22</v>
      </c>
      <c r="B94" s="3791"/>
      <c r="C94" s="3088" t="s">
        <v>2696</v>
      </c>
      <c r="D94" s="3088" t="s">
        <v>2697</v>
      </c>
      <c r="E94" s="3114">
        <v>0.15</v>
      </c>
      <c r="F94" s="3114">
        <v>20</v>
      </c>
    </row>
    <row r="95" spans="1:6" ht="36">
      <c r="A95" s="3114">
        <v>23</v>
      </c>
      <c r="B95" s="3791"/>
      <c r="C95" s="3088" t="s">
        <v>2698</v>
      </c>
      <c r="D95" s="3088" t="s">
        <v>2699</v>
      </c>
      <c r="E95" s="3114">
        <v>0.15</v>
      </c>
      <c r="F95" s="3114">
        <v>20</v>
      </c>
    </row>
    <row r="96" spans="1:6" ht="13.5">
      <c r="A96" s="3114">
        <v>24</v>
      </c>
      <c r="B96" s="3791"/>
      <c r="C96" s="3088" t="s">
        <v>2700</v>
      </c>
      <c r="D96" s="3088" t="s">
        <v>2701</v>
      </c>
      <c r="E96" s="3114">
        <v>0.1</v>
      </c>
      <c r="F96" s="3114">
        <v>15</v>
      </c>
    </row>
    <row r="97" spans="1:6" ht="13.5">
      <c r="A97" s="3114">
        <v>25</v>
      </c>
      <c r="B97" s="3791"/>
      <c r="C97" s="3088" t="s">
        <v>2702</v>
      </c>
      <c r="D97" s="3088" t="s">
        <v>2703</v>
      </c>
      <c r="E97" s="3114">
        <v>0.1</v>
      </c>
      <c r="F97" s="3114">
        <v>15</v>
      </c>
    </row>
    <row r="98" spans="1:6" ht="24">
      <c r="A98" s="3114">
        <v>26</v>
      </c>
      <c r="B98" s="3791"/>
      <c r="C98" s="3088" t="s">
        <v>2704</v>
      </c>
      <c r="D98" s="3088" t="s">
        <v>2705</v>
      </c>
      <c r="E98" s="3114">
        <v>0.1</v>
      </c>
      <c r="F98" s="3114">
        <v>15</v>
      </c>
    </row>
    <row r="99" spans="1:6" ht="24">
      <c r="A99" s="3114">
        <v>27</v>
      </c>
      <c r="B99" s="3791"/>
      <c r="C99" s="3088" t="s">
        <v>2706</v>
      </c>
      <c r="D99" s="3088" t="s">
        <v>2707</v>
      </c>
      <c r="E99" s="3114">
        <v>0.1</v>
      </c>
      <c r="F99" s="3114">
        <v>15</v>
      </c>
    </row>
    <row r="100" spans="1:6" ht="13.5">
      <c r="A100" s="3114">
        <v>28</v>
      </c>
      <c r="B100" s="3791"/>
      <c r="C100" s="3088" t="s">
        <v>2708</v>
      </c>
      <c r="D100" s="3088" t="s">
        <v>2709</v>
      </c>
      <c r="E100" s="3114">
        <v>0.1</v>
      </c>
      <c r="F100" s="3114">
        <v>15</v>
      </c>
    </row>
    <row r="101" spans="1:6" ht="13.5">
      <c r="A101" s="3114">
        <v>29</v>
      </c>
      <c r="B101" s="3791"/>
      <c r="C101" s="3088" t="s">
        <v>2710</v>
      </c>
      <c r="D101" s="3088" t="s">
        <v>2711</v>
      </c>
      <c r="E101" s="3114">
        <v>0.1</v>
      </c>
      <c r="F101" s="3114">
        <v>15</v>
      </c>
    </row>
    <row r="102" spans="1:6" ht="13.5">
      <c r="A102" s="3114">
        <v>30</v>
      </c>
      <c r="B102" s="3791"/>
      <c r="C102" s="3088" t="s">
        <v>2712</v>
      </c>
      <c r="D102" s="3088" t="s">
        <v>2713</v>
      </c>
      <c r="E102" s="3114">
        <v>0.1</v>
      </c>
      <c r="F102" s="3114">
        <v>15</v>
      </c>
    </row>
    <row r="103" spans="1:6" ht="24">
      <c r="A103" s="3114">
        <v>31</v>
      </c>
      <c r="B103" s="3791"/>
      <c r="C103" s="3088" t="s">
        <v>2714</v>
      </c>
      <c r="D103" s="3088" t="s">
        <v>2715</v>
      </c>
      <c r="E103" s="3114">
        <v>0.1</v>
      </c>
      <c r="F103" s="3114">
        <v>15</v>
      </c>
    </row>
    <row r="104" spans="1:6" ht="24">
      <c r="A104" s="3114">
        <v>32</v>
      </c>
      <c r="B104" s="3791"/>
      <c r="C104" s="3088" t="s">
        <v>2716</v>
      </c>
      <c r="D104" s="3088" t="s">
        <v>2717</v>
      </c>
      <c r="E104" s="3114">
        <v>0.1</v>
      </c>
      <c r="F104" s="3114">
        <v>15</v>
      </c>
    </row>
    <row r="105" spans="1:6" ht="24">
      <c r="A105" s="3114">
        <v>33</v>
      </c>
      <c r="B105" s="3791"/>
      <c r="C105" s="3088" t="s">
        <v>2718</v>
      </c>
      <c r="D105" s="3088" t="s">
        <v>2719</v>
      </c>
      <c r="E105" s="3114">
        <v>0.1</v>
      </c>
      <c r="F105" s="3114">
        <v>15</v>
      </c>
    </row>
    <row r="106" spans="1:6" ht="24">
      <c r="A106" s="3114">
        <v>34</v>
      </c>
      <c r="B106" s="3790"/>
      <c r="C106" s="3088" t="s">
        <v>2720</v>
      </c>
      <c r="D106" s="3088" t="s">
        <v>2721</v>
      </c>
      <c r="E106" s="3114">
        <v>0.1</v>
      </c>
      <c r="F106" s="3114">
        <v>15</v>
      </c>
    </row>
    <row r="107" spans="1:6" ht="24">
      <c r="A107" s="3114">
        <v>35</v>
      </c>
      <c r="B107" s="3789" t="s">
        <v>2722</v>
      </c>
      <c r="C107" s="3114" t="s">
        <v>2723</v>
      </c>
      <c r="D107" s="3088" t="s">
        <v>2724</v>
      </c>
      <c r="E107" s="3114">
        <v>0.15</v>
      </c>
      <c r="F107" s="3114">
        <v>20</v>
      </c>
    </row>
    <row r="108" spans="1:6" ht="13.5">
      <c r="A108" s="3114">
        <v>36</v>
      </c>
      <c r="B108" s="3791"/>
      <c r="C108" s="3114" t="s">
        <v>2725</v>
      </c>
      <c r="D108" s="3088" t="s">
        <v>2726</v>
      </c>
      <c r="E108" s="3114">
        <v>0.15</v>
      </c>
      <c r="F108" s="3114">
        <v>20</v>
      </c>
    </row>
    <row r="109" spans="1:6" ht="13.5">
      <c r="A109" s="3114">
        <v>37</v>
      </c>
      <c r="B109" s="3791"/>
      <c r="C109" s="3114" t="s">
        <v>2727</v>
      </c>
      <c r="D109" s="3088" t="s">
        <v>2728</v>
      </c>
      <c r="E109" s="3114">
        <v>0.15</v>
      </c>
      <c r="F109" s="3114">
        <v>20</v>
      </c>
    </row>
    <row r="110" spans="1:6" ht="13.5">
      <c r="A110" s="3114">
        <v>38</v>
      </c>
      <c r="B110" s="3791"/>
      <c r="C110" s="3114" t="s">
        <v>2729</v>
      </c>
      <c r="D110" s="3088" t="s">
        <v>2730</v>
      </c>
      <c r="E110" s="3114">
        <v>0.1</v>
      </c>
      <c r="F110" s="3114">
        <v>15</v>
      </c>
    </row>
    <row r="111" spans="1:6" ht="24">
      <c r="A111" s="3114">
        <v>39</v>
      </c>
      <c r="B111" s="3791"/>
      <c r="C111" s="3114" t="s">
        <v>2731</v>
      </c>
      <c r="D111" s="3088" t="s">
        <v>2732</v>
      </c>
      <c r="E111" s="3114">
        <v>0.1</v>
      </c>
      <c r="F111" s="3114">
        <v>15</v>
      </c>
    </row>
    <row r="112" spans="1:6" ht="24">
      <c r="A112" s="3114">
        <v>40</v>
      </c>
      <c r="B112" s="3790"/>
      <c r="C112" s="3114" t="s">
        <v>2733</v>
      </c>
      <c r="D112" s="3088" t="s">
        <v>2734</v>
      </c>
      <c r="E112" s="3114">
        <v>0.1</v>
      </c>
      <c r="F112" s="3114">
        <v>15</v>
      </c>
    </row>
    <row r="113" spans="1:6" ht="13.5">
      <c r="A113" s="3114">
        <v>41</v>
      </c>
      <c r="B113" s="3788" t="s">
        <v>2735</v>
      </c>
      <c r="C113" s="3114" t="s">
        <v>2736</v>
      </c>
      <c r="D113" s="3088" t="s">
        <v>2737</v>
      </c>
      <c r="E113" s="3114">
        <v>0.1</v>
      </c>
      <c r="F113" s="3114">
        <v>15</v>
      </c>
    </row>
    <row r="114" spans="1:6" ht="13.5">
      <c r="A114" s="3114">
        <v>42</v>
      </c>
      <c r="B114" s="3788"/>
      <c r="C114" s="3114" t="s">
        <v>2738</v>
      </c>
      <c r="D114" s="3088" t="s">
        <v>2739</v>
      </c>
      <c r="E114" s="3114">
        <v>0.1</v>
      </c>
      <c r="F114" s="3114">
        <v>15</v>
      </c>
    </row>
    <row r="115" spans="1:6" ht="24">
      <c r="A115" s="3114">
        <v>43</v>
      </c>
      <c r="B115" s="3788"/>
      <c r="C115" s="3114" t="s">
        <v>2740</v>
      </c>
      <c r="D115" s="3088" t="s">
        <v>2741</v>
      </c>
      <c r="E115" s="3114">
        <v>0.1</v>
      </c>
      <c r="F115" s="3114">
        <v>15</v>
      </c>
    </row>
    <row r="116" spans="1:6" ht="13.5">
      <c r="A116" s="3114">
        <v>44</v>
      </c>
      <c r="B116" s="3789" t="s">
        <v>2742</v>
      </c>
      <c r="C116" s="3114" t="s">
        <v>2743</v>
      </c>
      <c r="D116" s="3088" t="s">
        <v>2744</v>
      </c>
      <c r="E116" s="3114">
        <v>0.1</v>
      </c>
      <c r="F116" s="3114">
        <v>15</v>
      </c>
    </row>
    <row r="117" spans="1:6" ht="24">
      <c r="A117" s="3114">
        <v>45</v>
      </c>
      <c r="B117" s="3790"/>
      <c r="C117" s="3088" t="s">
        <v>2745</v>
      </c>
      <c r="D117" s="3088" t="s">
        <v>2746</v>
      </c>
      <c r="E117" s="3114">
        <v>0.1</v>
      </c>
      <c r="F117" s="3114">
        <v>15</v>
      </c>
    </row>
    <row r="118" spans="1:6" ht="24">
      <c r="A118" s="3114">
        <v>46</v>
      </c>
      <c r="B118" s="3789" t="s">
        <v>2747</v>
      </c>
      <c r="C118" s="3114" t="s">
        <v>2748</v>
      </c>
      <c r="D118" s="3088" t="s">
        <v>2749</v>
      </c>
      <c r="E118" s="3114">
        <v>0.1</v>
      </c>
      <c r="F118" s="3114">
        <v>15</v>
      </c>
    </row>
    <row r="119" spans="1:6" ht="24">
      <c r="A119" s="3114">
        <v>47</v>
      </c>
      <c r="B119" s="3790"/>
      <c r="C119" s="3114" t="s">
        <v>2750</v>
      </c>
      <c r="D119" s="3088" t="s">
        <v>2751</v>
      </c>
      <c r="E119" s="3114">
        <v>0.1</v>
      </c>
      <c r="F119" s="3114">
        <v>15</v>
      </c>
    </row>
    <row r="120" spans="1:6" ht="13.5">
      <c r="A120" s="3114">
        <v>48</v>
      </c>
      <c r="B120" s="3789" t="s">
        <v>2752</v>
      </c>
      <c r="C120" s="3114" t="s">
        <v>2753</v>
      </c>
      <c r="D120" s="3088" t="s">
        <v>2754</v>
      </c>
      <c r="E120" s="3114">
        <v>0.1</v>
      </c>
      <c r="F120" s="3114">
        <v>15</v>
      </c>
    </row>
    <row r="121" spans="1:6" ht="13.5">
      <c r="A121" s="3114">
        <v>49</v>
      </c>
      <c r="B121" s="3790"/>
      <c r="C121" s="3114" t="s">
        <v>2755</v>
      </c>
      <c r="D121" s="3088" t="s">
        <v>2756</v>
      </c>
      <c r="E121" s="3114">
        <v>0.1</v>
      </c>
      <c r="F121" s="3114">
        <v>15</v>
      </c>
    </row>
    <row r="122" spans="1:6" ht="24">
      <c r="A122" s="3114">
        <v>50</v>
      </c>
      <c r="B122" s="3788" t="s">
        <v>2757</v>
      </c>
      <c r="C122" s="3114" t="s">
        <v>2758</v>
      </c>
      <c r="D122" s="3088" t="s">
        <v>2759</v>
      </c>
      <c r="E122" s="3114">
        <v>0.1</v>
      </c>
      <c r="F122" s="3114">
        <v>15</v>
      </c>
    </row>
    <row r="123" spans="1:6" ht="24">
      <c r="A123" s="3114">
        <v>51</v>
      </c>
      <c r="B123" s="3788"/>
      <c r="C123" s="3114" t="s">
        <v>2760</v>
      </c>
      <c r="D123" s="3088" t="s">
        <v>2761</v>
      </c>
      <c r="E123" s="3114">
        <v>0.1</v>
      </c>
      <c r="F123" s="3114">
        <v>15</v>
      </c>
    </row>
    <row r="124" spans="1:6" ht="24">
      <c r="A124" s="3114">
        <v>52</v>
      </c>
      <c r="B124" s="3788" t="s">
        <v>2762</v>
      </c>
      <c r="C124" s="3114" t="s">
        <v>2763</v>
      </c>
      <c r="D124" s="3088" t="s">
        <v>2764</v>
      </c>
      <c r="E124" s="3114">
        <v>0.1</v>
      </c>
      <c r="F124" s="3114">
        <v>15</v>
      </c>
    </row>
    <row r="125" spans="1:6" ht="24">
      <c r="A125" s="3114">
        <v>53</v>
      </c>
      <c r="B125" s="3788"/>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88" t="s">
        <v>2770</v>
      </c>
      <c r="C127" s="3114" t="s">
        <v>2771</v>
      </c>
      <c r="D127" s="3088" t="s">
        <v>2772</v>
      </c>
      <c r="E127" s="3114">
        <v>0.1</v>
      </c>
      <c r="F127" s="3114">
        <v>15</v>
      </c>
    </row>
    <row r="128" spans="1:6" ht="13.5">
      <c r="A128" s="3114">
        <v>56</v>
      </c>
      <c r="B128" s="3788"/>
      <c r="C128" s="3114" t="s">
        <v>2773</v>
      </c>
      <c r="D128" s="3088" t="s">
        <v>2774</v>
      </c>
      <c r="E128" s="3114">
        <v>0.1</v>
      </c>
      <c r="F128" s="3114">
        <v>15</v>
      </c>
    </row>
    <row r="129" spans="1:6" ht="24">
      <c r="A129" s="3114">
        <v>57</v>
      </c>
      <c r="B129" s="3788"/>
      <c r="C129" s="3114" t="s">
        <v>2775</v>
      </c>
      <c r="D129" s="3088" t="s">
        <v>2776</v>
      </c>
      <c r="E129" s="3114">
        <v>0.1</v>
      </c>
      <c r="F129" s="3114">
        <v>15</v>
      </c>
    </row>
    <row r="130" spans="1:6" ht="24">
      <c r="A130" s="3114">
        <v>58</v>
      </c>
      <c r="B130" s="3788" t="s">
        <v>2777</v>
      </c>
      <c r="C130" s="3114" t="s">
        <v>2778</v>
      </c>
      <c r="D130" s="3088" t="s">
        <v>2779</v>
      </c>
      <c r="E130" s="3114">
        <v>0.1</v>
      </c>
      <c r="F130" s="3114">
        <v>15</v>
      </c>
    </row>
    <row r="131" spans="1:6" ht="13.5">
      <c r="A131" s="3114">
        <v>59</v>
      </c>
      <c r="B131" s="3788"/>
      <c r="C131" s="3114" t="s">
        <v>2780</v>
      </c>
      <c r="D131" s="3088" t="s">
        <v>2781</v>
      </c>
      <c r="E131" s="3114">
        <v>0.1</v>
      </c>
      <c r="F131" s="3114">
        <v>15</v>
      </c>
    </row>
    <row r="132" spans="1:6" ht="13.5">
      <c r="A132" s="3114">
        <v>60</v>
      </c>
      <c r="B132" s="3789" t="s">
        <v>2782</v>
      </c>
      <c r="C132" s="3114" t="s">
        <v>2783</v>
      </c>
      <c r="D132" s="3088" t="s">
        <v>2784</v>
      </c>
      <c r="E132" s="3114">
        <v>0.1</v>
      </c>
      <c r="F132" s="3114">
        <v>15</v>
      </c>
    </row>
    <row r="133" spans="1:6" ht="13.5">
      <c r="A133" s="3114">
        <v>61</v>
      </c>
      <c r="B133" s="3790"/>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88" t="s">
        <v>2790</v>
      </c>
      <c r="C135" s="3114" t="s">
        <v>2791</v>
      </c>
      <c r="D135" s="3088" t="s">
        <v>2792</v>
      </c>
      <c r="E135" s="3114">
        <v>0.1</v>
      </c>
      <c r="F135" s="3114">
        <v>15</v>
      </c>
    </row>
    <row r="136" spans="1:6" ht="13.5">
      <c r="A136" s="3114">
        <v>64</v>
      </c>
      <c r="B136" s="3788"/>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1.1056999999999999</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1.0517000000000001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29403</v>
      </c>
      <c r="C2" s="2" t="s">
        <v>106</v>
      </c>
      <c r="D2" s="199"/>
      <c r="E2" s="199"/>
      <c r="F2" s="199"/>
      <c r="G2" s="199"/>
    </row>
    <row r="3" spans="1:7" s="200" customFormat="1" ht="18" customHeight="1" thickBot="1">
      <c r="A3" s="203" t="s">
        <v>58</v>
      </c>
      <c r="B3" s="204">
        <f ca="1">ROUND(B2*10000/'数据-汇总表'!E3,0)</f>
        <v>2328766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87.89</v>
      </c>
      <c r="E9" s="225">
        <f>'数据-取费表'!B27</f>
        <v>160</v>
      </c>
      <c r="F9" s="221"/>
      <c r="G9" s="226"/>
    </row>
    <row r="10" spans="1:7" s="214" customFormat="1" ht="13.5" customHeight="1">
      <c r="A10" s="779" t="s">
        <v>356</v>
      </c>
      <c r="B10" s="224" t="s">
        <v>67</v>
      </c>
      <c r="C10" s="225">
        <f>ROUND(D10*E10/10000,0)</f>
        <v>1</v>
      </c>
      <c r="D10" s="845">
        <f>'数据-汇总表'!E6</f>
        <v>38.36999999999999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126.25999999999999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3995</v>
      </c>
      <c r="D27" s="235">
        <f>C29</f>
        <v>3.8E-3</v>
      </c>
      <c r="E27" s="236" t="s">
        <v>99</v>
      </c>
      <c r="F27" s="246">
        <f>'数据-取费表'!Q16</f>
        <v>0.19</v>
      </c>
      <c r="G27" s="247" t="s">
        <v>431</v>
      </c>
    </row>
    <row r="28" spans="1:7" s="214" customFormat="1" ht="13.5" customHeight="1">
      <c r="A28" s="780" t="s">
        <v>349</v>
      </c>
      <c r="B28" s="248" t="s">
        <v>424</v>
      </c>
      <c r="C28" s="249">
        <f>ROUND((C5+C19+C20)*F27*'数据-取费表'!B21/'数据-取费表'!B20,0)</f>
        <v>3995</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3</v>
      </c>
      <c r="D37" s="217">
        <f>'数据-汇总表'!E3</f>
        <v>126.25999999999999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1E-3</v>
      </c>
      <c r="D44" s="238"/>
      <c r="E44" s="238"/>
      <c r="F44" s="239"/>
      <c r="G44" s="3666"/>
    </row>
    <row r="45" spans="1:7" s="214" customFormat="1" ht="13.5" customHeight="1">
      <c r="A45" s="777" t="s">
        <v>341</v>
      </c>
      <c r="B45" s="244" t="s">
        <v>85</v>
      </c>
      <c r="C45" s="245">
        <f>C46</f>
        <v>10</v>
      </c>
      <c r="D45" s="235">
        <f>C47</f>
        <v>3.8E-3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67</v>
      </c>
      <c r="D51" s="232"/>
      <c r="E51" s="232"/>
      <c r="F51" s="264"/>
      <c r="G51" s="234" t="s">
        <v>37</v>
      </c>
    </row>
    <row r="52" spans="1:7" s="208" customFormat="1" ht="16.5" thickBot="1">
      <c r="A52" s="265" t="s">
        <v>38</v>
      </c>
      <c r="B52" s="266"/>
      <c r="C52" s="267">
        <f ca="1">C31+C51</f>
        <v>29403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2" t="s">
        <v>2842</v>
      </c>
      <c r="B1" s="3802"/>
      <c r="C1" s="3802"/>
      <c r="D1" s="3802"/>
      <c r="E1" s="3802"/>
      <c r="F1" s="3802"/>
      <c r="G1" s="3803"/>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00"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01"/>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4" t="s">
        <v>3184</v>
      </c>
      <c r="B1" s="3804"/>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3286"/>
  </cols>
  <sheetData>
    <row r="1" spans="1:6" ht="15">
      <c r="A1" s="3805" t="s">
        <v>3235</v>
      </c>
      <c r="B1" s="3805"/>
      <c r="C1" s="3805"/>
      <c r="D1" s="3805"/>
      <c r="E1" s="3805"/>
      <c r="F1" s="3806"/>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topLeftCell="E1" zoomScale="80" zoomScaleNormal="80" workbookViewId="0">
      <selection activeCell="G1" sqref="G1:G1048576"/>
    </sheetView>
  </sheetViews>
  <sheetFormatPr defaultRowHeight="13.5"/>
  <cols>
    <col min="1" max="1" width="13.875" customWidth="1"/>
    <col min="11" max="17" width="0" hidden="1" customWidth="1"/>
    <col min="25" max="30" width="0" hidden="1" customWidth="1"/>
  </cols>
  <sheetData>
    <row r="1" spans="1:30">
      <c r="A1" s="3217">
        <f>基准地价修正!G23</f>
        <v>45162</v>
      </c>
      <c r="B1" s="3206" t="s">
        <v>2841</v>
      </c>
      <c r="C1" s="3207"/>
      <c r="D1" s="3207"/>
      <c r="E1" s="3207"/>
      <c r="F1" s="3207"/>
      <c r="G1" s="3207"/>
      <c r="H1" s="3207"/>
      <c r="I1" s="3207"/>
      <c r="J1" s="3161"/>
      <c r="K1" s="3207" t="s">
        <v>454</v>
      </c>
      <c r="L1" s="3207"/>
      <c r="M1" s="3207"/>
      <c r="N1" s="3207"/>
      <c r="O1" s="3207"/>
      <c r="P1" s="3207"/>
      <c r="Q1" s="3161"/>
      <c r="R1" s="3807" t="s">
        <v>456</v>
      </c>
      <c r="S1" s="3808"/>
      <c r="T1" s="3808"/>
      <c r="U1" s="3808"/>
      <c r="V1" s="3808"/>
      <c r="W1" s="3808"/>
      <c r="X1" s="3161"/>
      <c r="Y1" s="3807" t="s">
        <v>457</v>
      </c>
      <c r="Z1" s="3808"/>
      <c r="AA1" s="3808"/>
      <c r="AB1" s="3808"/>
      <c r="AC1" s="3808"/>
      <c r="AD1" s="3808"/>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3376</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3375</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3367</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3358</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3369</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07" t="s">
        <v>2829</v>
      </c>
      <c r="S21" s="3808"/>
      <c r="T21" s="3808"/>
      <c r="U21" s="3808"/>
      <c r="V21" s="3808"/>
      <c r="W21" s="3808"/>
      <c r="X21" s="3161"/>
      <c r="Y21" s="3807" t="s">
        <v>2830</v>
      </c>
      <c r="Z21" s="3808"/>
      <c r="AA21" s="3808"/>
      <c r="AB21" s="3808"/>
      <c r="AC21" s="3808"/>
      <c r="AD21" s="3808"/>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3374</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3375</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3358</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2311</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82"/>
  <sheetViews>
    <sheetView topLeftCell="B1" workbookViewId="0">
      <selection activeCell="P26" sqref="P26"/>
    </sheetView>
  </sheetViews>
  <sheetFormatPr defaultRowHeight="14.25"/>
  <cols>
    <col min="1" max="1" width="20" style="3469" hidden="1" customWidth="1"/>
    <col min="2" max="2" width="24.5" style="3469" customWidth="1"/>
    <col min="3" max="3" width="29.375" style="3469" bestFit="1" customWidth="1"/>
    <col min="4" max="4" width="20" style="3469" hidden="1" customWidth="1"/>
    <col min="5" max="5" width="14.125" style="3469" customWidth="1"/>
    <col min="6" max="6" width="9.625" style="3469" hidden="1" customWidth="1"/>
    <col min="7" max="7" width="7" style="3469" customWidth="1"/>
    <col min="8" max="8" width="8" style="3469" customWidth="1"/>
    <col min="9" max="9" width="9.875" style="3469" customWidth="1"/>
    <col min="10" max="10" width="11.625" style="3469" customWidth="1"/>
    <col min="11" max="12" width="20" style="3469" hidden="1" customWidth="1"/>
    <col min="13" max="13" width="11.875" style="3469" customWidth="1"/>
    <col min="14" max="14" width="20" style="3469" hidden="1" customWidth="1"/>
    <col min="15" max="15" width="9.75" style="3469" customWidth="1"/>
    <col min="16" max="16" width="12.125" style="3469" customWidth="1"/>
    <col min="17" max="17" width="20" style="3469" customWidth="1"/>
    <col min="18" max="18" width="20" style="3469" hidden="1" customWidth="1"/>
    <col min="19" max="19" width="20" style="3469" customWidth="1"/>
    <col min="20" max="16384" width="9" style="3469"/>
  </cols>
  <sheetData>
    <row r="1" spans="1:18">
      <c r="A1" s="3820"/>
      <c r="B1" s="3820" t="s">
        <v>3825</v>
      </c>
      <c r="C1" s="3820" t="s">
        <v>3824</v>
      </c>
      <c r="D1" s="3820" t="s">
        <v>3823</v>
      </c>
      <c r="E1" s="3820" t="s">
        <v>3822</v>
      </c>
      <c r="F1" s="3820" t="s">
        <v>3821</v>
      </c>
      <c r="G1" s="3820" t="s">
        <v>3820</v>
      </c>
      <c r="H1" s="3820" t="s">
        <v>3819</v>
      </c>
      <c r="I1" s="3820" t="s">
        <v>3818</v>
      </c>
      <c r="J1" s="3820" t="s">
        <v>3817</v>
      </c>
      <c r="K1" s="3820" t="s">
        <v>3816</v>
      </c>
      <c r="L1" s="3820" t="s">
        <v>3815</v>
      </c>
      <c r="M1" s="3820" t="s">
        <v>3814</v>
      </c>
      <c r="N1" s="3820" t="s">
        <v>3813</v>
      </c>
      <c r="O1" s="3820" t="s">
        <v>3812</v>
      </c>
      <c r="P1" s="3820" t="s">
        <v>3811</v>
      </c>
      <c r="Q1" s="3820" t="s">
        <v>3810</v>
      </c>
      <c r="R1" s="3820" t="s">
        <v>3809</v>
      </c>
    </row>
    <row r="2" spans="1:18" s="3474" customFormat="1">
      <c r="A2" s="3828"/>
      <c r="B2" s="3828" t="s">
        <v>3808</v>
      </c>
      <c r="C2" s="3828" t="s">
        <v>3807</v>
      </c>
      <c r="D2" s="3828" t="s">
        <v>3424</v>
      </c>
      <c r="E2" s="3828" t="s">
        <v>3423</v>
      </c>
      <c r="F2" s="3828" t="s">
        <v>3422</v>
      </c>
      <c r="G2" s="3828">
        <v>2.8</v>
      </c>
      <c r="H2" s="3828" t="s">
        <v>3806</v>
      </c>
      <c r="I2" s="3828">
        <v>191401</v>
      </c>
      <c r="J2" s="3828">
        <v>68397.55</v>
      </c>
      <c r="K2" s="3828" t="s">
        <v>3805</v>
      </c>
      <c r="L2" s="3828">
        <v>525000</v>
      </c>
      <c r="M2" s="3829">
        <v>45195.000497685185</v>
      </c>
      <c r="N2" s="3828">
        <v>525000</v>
      </c>
      <c r="O2" s="3828">
        <v>27429</v>
      </c>
      <c r="P2" s="3828">
        <v>0</v>
      </c>
      <c r="Q2" s="3828" t="s">
        <v>3804</v>
      </c>
      <c r="R2" s="3828">
        <v>105000</v>
      </c>
    </row>
    <row r="3" spans="1:18" s="3474" customFormat="1">
      <c r="A3" s="3828"/>
      <c r="B3" s="3828" t="s">
        <v>3803</v>
      </c>
      <c r="C3" s="3828" t="s">
        <v>3802</v>
      </c>
      <c r="D3" s="3828" t="s">
        <v>3424</v>
      </c>
      <c r="E3" s="3828" t="s">
        <v>3423</v>
      </c>
      <c r="F3" s="3828" t="s">
        <v>3422</v>
      </c>
      <c r="G3" s="3828">
        <v>1.88</v>
      </c>
      <c r="H3" s="3828" t="s">
        <v>3801</v>
      </c>
      <c r="I3" s="3828">
        <v>113759</v>
      </c>
      <c r="J3" s="3828">
        <v>60453.39</v>
      </c>
      <c r="K3" s="3828" t="s">
        <v>3800</v>
      </c>
      <c r="L3" s="3828">
        <v>323000</v>
      </c>
      <c r="M3" s="3829">
        <v>45093.000497685185</v>
      </c>
      <c r="N3" s="3828">
        <v>362000</v>
      </c>
      <c r="O3" s="3828">
        <v>31822</v>
      </c>
      <c r="P3" s="3828">
        <v>0.1207</v>
      </c>
      <c r="Q3" s="3828" t="s">
        <v>3799</v>
      </c>
      <c r="R3" s="3828">
        <v>65000</v>
      </c>
    </row>
    <row r="4" spans="1:18" s="3472" customFormat="1">
      <c r="A4" s="3826"/>
      <c r="B4" s="3826" t="s">
        <v>3798</v>
      </c>
      <c r="C4" s="3826" t="s">
        <v>3797</v>
      </c>
      <c r="D4" s="3826" t="s">
        <v>3424</v>
      </c>
      <c r="E4" s="3826" t="s">
        <v>3423</v>
      </c>
      <c r="F4" s="3826" t="s">
        <v>3422</v>
      </c>
      <c r="G4" s="3826">
        <v>3</v>
      </c>
      <c r="H4" s="3826" t="s">
        <v>3796</v>
      </c>
      <c r="I4" s="3826">
        <v>78747</v>
      </c>
      <c r="J4" s="3826">
        <v>26249.06</v>
      </c>
      <c r="K4" s="3826" t="s">
        <v>3795</v>
      </c>
      <c r="L4" s="3826">
        <v>283000</v>
      </c>
      <c r="M4" s="3827">
        <v>45078.000497685185</v>
      </c>
      <c r="N4" s="3826">
        <v>283000</v>
      </c>
      <c r="O4" s="3826">
        <v>35938</v>
      </c>
      <c r="P4" s="3826">
        <v>0</v>
      </c>
      <c r="Q4" s="3826" t="s">
        <v>3786</v>
      </c>
      <c r="R4" s="3826">
        <v>57000</v>
      </c>
    </row>
    <row r="5" spans="1:18" s="3473" customFormat="1">
      <c r="A5" s="3824"/>
      <c r="B5" s="3824" t="s">
        <v>3794</v>
      </c>
      <c r="C5" s="3824" t="s">
        <v>3793</v>
      </c>
      <c r="D5" s="3824" t="s">
        <v>3424</v>
      </c>
      <c r="E5" s="3824" t="s">
        <v>3423</v>
      </c>
      <c r="F5" s="3824" t="s">
        <v>3422</v>
      </c>
      <c r="G5" s="3824" t="s">
        <v>3792</v>
      </c>
      <c r="H5" s="3824" t="s">
        <v>3791</v>
      </c>
      <c r="I5" s="3824">
        <v>60278</v>
      </c>
      <c r="J5" s="3824">
        <v>26060.080000000002</v>
      </c>
      <c r="K5" s="3824" t="s">
        <v>3790</v>
      </c>
      <c r="L5" s="3824">
        <v>226000</v>
      </c>
      <c r="M5" s="3825">
        <v>44965.000497685185</v>
      </c>
      <c r="N5" s="3824">
        <v>259900</v>
      </c>
      <c r="O5" s="3824">
        <v>43117</v>
      </c>
      <c r="P5" s="3824">
        <v>0.15</v>
      </c>
      <c r="Q5" s="3824" t="s">
        <v>3789</v>
      </c>
      <c r="R5" s="3824">
        <v>46000</v>
      </c>
    </row>
    <row r="6" spans="1:18" s="3473" customFormat="1">
      <c r="A6" s="3824"/>
      <c r="B6" s="3824" t="s">
        <v>3788</v>
      </c>
      <c r="C6" s="3824" t="s">
        <v>3787</v>
      </c>
      <c r="D6" s="3824" t="s">
        <v>3424</v>
      </c>
      <c r="E6" s="3824" t="s">
        <v>3430</v>
      </c>
      <c r="F6" s="3824" t="s">
        <v>3422</v>
      </c>
      <c r="G6" s="3824">
        <v>2.3199999999999998</v>
      </c>
      <c r="H6" s="3824" t="s">
        <v>3602</v>
      </c>
      <c r="I6" s="3824">
        <v>70795</v>
      </c>
      <c r="J6" s="3824">
        <v>30556.98</v>
      </c>
      <c r="K6" s="3824" t="s">
        <v>3783</v>
      </c>
      <c r="L6" s="3824">
        <v>269000</v>
      </c>
      <c r="M6" s="3825">
        <v>44894.000497685185</v>
      </c>
      <c r="N6" s="3824">
        <v>284000</v>
      </c>
      <c r="O6" s="3824">
        <v>40116</v>
      </c>
      <c r="P6" s="3824">
        <v>5.5800000000000002E-2</v>
      </c>
      <c r="Q6" s="3824" t="s">
        <v>3786</v>
      </c>
      <c r="R6" s="3824">
        <v>54000</v>
      </c>
    </row>
    <row r="7" spans="1:18" s="3472" customFormat="1">
      <c r="A7" s="3826"/>
      <c r="B7" s="3826" t="s">
        <v>3785</v>
      </c>
      <c r="C7" s="3826" t="s">
        <v>3784</v>
      </c>
      <c r="D7" s="3826" t="s">
        <v>3431</v>
      </c>
      <c r="E7" s="3826" t="s">
        <v>3430</v>
      </c>
      <c r="F7" s="3826" t="s">
        <v>3422</v>
      </c>
      <c r="G7" s="3826">
        <v>1.4</v>
      </c>
      <c r="H7" s="3826" t="s">
        <v>3602</v>
      </c>
      <c r="I7" s="3826">
        <v>32205.81</v>
      </c>
      <c r="J7" s="3826">
        <v>23004.15</v>
      </c>
      <c r="K7" s="3826" t="s">
        <v>3783</v>
      </c>
      <c r="L7" s="3826">
        <v>79000</v>
      </c>
      <c r="M7" s="3827">
        <v>44893.000497685185</v>
      </c>
      <c r="N7" s="3826">
        <v>79000</v>
      </c>
      <c r="O7" s="3826">
        <v>24530</v>
      </c>
      <c r="P7" s="3826">
        <v>0</v>
      </c>
      <c r="Q7" s="3826" t="s">
        <v>3782</v>
      </c>
      <c r="R7" s="3826">
        <v>16000</v>
      </c>
    </row>
    <row r="8" spans="1:18" s="3473" customFormat="1">
      <c r="A8" s="3824"/>
      <c r="B8" s="3824" t="s">
        <v>3781</v>
      </c>
      <c r="C8" s="3824" t="s">
        <v>3780</v>
      </c>
      <c r="D8" s="3824" t="s">
        <v>3424</v>
      </c>
      <c r="E8" s="3824" t="s">
        <v>3423</v>
      </c>
      <c r="F8" s="3824" t="s">
        <v>3422</v>
      </c>
      <c r="G8" s="3824">
        <v>1.2</v>
      </c>
      <c r="H8" s="3824" t="s">
        <v>3753</v>
      </c>
      <c r="I8" s="3824">
        <v>99550</v>
      </c>
      <c r="J8" s="3824">
        <v>82958.13</v>
      </c>
      <c r="K8" s="3824" t="s">
        <v>3779</v>
      </c>
      <c r="L8" s="3824">
        <v>227000</v>
      </c>
      <c r="M8" s="3825">
        <v>44826.000497685185</v>
      </c>
      <c r="N8" s="3824">
        <v>227000</v>
      </c>
      <c r="O8" s="3824">
        <v>22803</v>
      </c>
      <c r="P8" s="3824">
        <v>0</v>
      </c>
      <c r="Q8" s="3824" t="s">
        <v>3778</v>
      </c>
      <c r="R8" s="3824">
        <v>46000</v>
      </c>
    </row>
    <row r="9" spans="1:18" s="3472" customFormat="1">
      <c r="A9" s="3826"/>
      <c r="B9" s="3826" t="s">
        <v>3777</v>
      </c>
      <c r="C9" s="3826" t="s">
        <v>3776</v>
      </c>
      <c r="D9" s="3826" t="s">
        <v>3424</v>
      </c>
      <c r="E9" s="3826" t="s">
        <v>3423</v>
      </c>
      <c r="F9" s="3826" t="s">
        <v>3422</v>
      </c>
      <c r="G9" s="3826" t="s">
        <v>3775</v>
      </c>
      <c r="H9" s="3826" t="s">
        <v>3513</v>
      </c>
      <c r="I9" s="3826">
        <v>72588</v>
      </c>
      <c r="J9" s="3826">
        <v>29035</v>
      </c>
      <c r="K9" s="3826" t="s">
        <v>3774</v>
      </c>
      <c r="L9" s="3826">
        <v>266000</v>
      </c>
      <c r="M9" s="3827">
        <v>44712.000497685185</v>
      </c>
      <c r="N9" s="3826">
        <v>266000</v>
      </c>
      <c r="O9" s="3826">
        <v>36645</v>
      </c>
      <c r="P9" s="3826">
        <v>0</v>
      </c>
      <c r="Q9" s="3826" t="s">
        <v>3773</v>
      </c>
      <c r="R9" s="3826">
        <v>54000</v>
      </c>
    </row>
    <row r="10" spans="1:18" s="3472" customFormat="1">
      <c r="A10" s="3826"/>
      <c r="B10" s="3826" t="s">
        <v>3772</v>
      </c>
      <c r="C10" s="3826" t="s">
        <v>3771</v>
      </c>
      <c r="D10" s="3826" t="s">
        <v>3424</v>
      </c>
      <c r="E10" s="3826" t="s">
        <v>3430</v>
      </c>
      <c r="F10" s="3826" t="s">
        <v>3422</v>
      </c>
      <c r="G10" s="3826">
        <v>2.8</v>
      </c>
      <c r="H10" s="3826" t="s">
        <v>3602</v>
      </c>
      <c r="I10" s="3826">
        <v>45896</v>
      </c>
      <c r="J10" s="3826">
        <v>16391.759999999998</v>
      </c>
      <c r="K10" s="3826" t="s">
        <v>3765</v>
      </c>
      <c r="L10" s="3826">
        <v>227000</v>
      </c>
      <c r="M10" s="3827">
        <v>44609.000497685185</v>
      </c>
      <c r="N10" s="3826">
        <v>228200</v>
      </c>
      <c r="O10" s="3826">
        <v>49721</v>
      </c>
      <c r="P10" s="3826">
        <v>5.3E-3</v>
      </c>
      <c r="Q10" s="3826" t="s">
        <v>3770</v>
      </c>
      <c r="R10" s="3826">
        <v>46000</v>
      </c>
    </row>
    <row r="11" spans="1:18" s="3473" customFormat="1">
      <c r="A11" s="3824"/>
      <c r="B11" s="3824" t="s">
        <v>3769</v>
      </c>
      <c r="C11" s="3824" t="s">
        <v>3768</v>
      </c>
      <c r="D11" s="3824" t="s">
        <v>3424</v>
      </c>
      <c r="E11" s="3824" t="s">
        <v>3423</v>
      </c>
      <c r="F11" s="3824" t="s">
        <v>3422</v>
      </c>
      <c r="G11" s="3824" t="s">
        <v>3767</v>
      </c>
      <c r="H11" s="3824" t="s">
        <v>3766</v>
      </c>
      <c r="I11" s="3824">
        <v>93794</v>
      </c>
      <c r="J11" s="3824">
        <v>73667.25</v>
      </c>
      <c r="K11" s="3824" t="s">
        <v>3765</v>
      </c>
      <c r="L11" s="3824">
        <v>377000</v>
      </c>
      <c r="M11" s="3825">
        <v>44609.000497685185</v>
      </c>
      <c r="N11" s="3824">
        <v>401700</v>
      </c>
      <c r="O11" s="3824">
        <v>42828</v>
      </c>
      <c r="P11" s="3824">
        <v>6.5500000000000003E-2</v>
      </c>
      <c r="Q11" s="3824" t="s">
        <v>3764</v>
      </c>
      <c r="R11" s="3824">
        <v>76000</v>
      </c>
    </row>
    <row r="12" spans="1:18">
      <c r="A12" s="3820"/>
      <c r="B12" s="3820" t="s">
        <v>3763</v>
      </c>
      <c r="C12" s="3820" t="s">
        <v>3762</v>
      </c>
      <c r="D12" s="3820" t="s">
        <v>3431</v>
      </c>
      <c r="E12" s="3820" t="s">
        <v>3430</v>
      </c>
      <c r="F12" s="3820" t="s">
        <v>3422</v>
      </c>
      <c r="G12" s="3820">
        <v>2.7</v>
      </c>
      <c r="H12" s="3820" t="s">
        <v>3602</v>
      </c>
      <c r="I12" s="3820">
        <v>67598.39</v>
      </c>
      <c r="J12" s="3820">
        <v>25036.44</v>
      </c>
      <c r="K12" s="3820" t="s">
        <v>3758</v>
      </c>
      <c r="L12" s="3820">
        <v>146000</v>
      </c>
      <c r="M12" s="3821">
        <v>44554.000497685185</v>
      </c>
      <c r="N12" s="3820">
        <v>148400</v>
      </c>
      <c r="O12" s="3820">
        <v>21953</v>
      </c>
      <c r="P12" s="3820">
        <v>1.6399999999999998E-2</v>
      </c>
      <c r="Q12" s="3820" t="s">
        <v>3761</v>
      </c>
      <c r="R12" s="3820">
        <v>30000</v>
      </c>
    </row>
    <row r="13" spans="1:18">
      <c r="A13" s="3820"/>
      <c r="B13" s="3820" t="s">
        <v>3760</v>
      </c>
      <c r="C13" s="3820" t="s">
        <v>3759</v>
      </c>
      <c r="D13" s="3820" t="s">
        <v>3431</v>
      </c>
      <c r="E13" s="3820" t="s">
        <v>3430</v>
      </c>
      <c r="F13" s="3820" t="s">
        <v>3422</v>
      </c>
      <c r="G13" s="3820">
        <v>2</v>
      </c>
      <c r="H13" s="3820" t="s">
        <v>3602</v>
      </c>
      <c r="I13" s="3820">
        <v>53582.42</v>
      </c>
      <c r="J13" s="3820">
        <v>26791.21</v>
      </c>
      <c r="K13" s="3820" t="s">
        <v>3758</v>
      </c>
      <c r="L13" s="3820">
        <v>115000</v>
      </c>
      <c r="M13" s="3821">
        <v>44554.000497685185</v>
      </c>
      <c r="N13" s="3820">
        <v>116800</v>
      </c>
      <c r="O13" s="3820">
        <v>21798</v>
      </c>
      <c r="P13" s="3820">
        <v>1.5700000000000002E-2</v>
      </c>
      <c r="Q13" s="3820" t="s">
        <v>3757</v>
      </c>
      <c r="R13" s="3820">
        <v>23000</v>
      </c>
    </row>
    <row r="14" spans="1:18">
      <c r="A14" s="3820"/>
      <c r="B14" s="3820" t="s">
        <v>3756</v>
      </c>
      <c r="C14" s="3820" t="s">
        <v>3755</v>
      </c>
      <c r="D14" s="3820" t="s">
        <v>3431</v>
      </c>
      <c r="E14" s="3820" t="s">
        <v>3423</v>
      </c>
      <c r="F14" s="3820" t="s">
        <v>3422</v>
      </c>
      <c r="G14" s="3820" t="s">
        <v>3754</v>
      </c>
      <c r="H14" s="3820" t="s">
        <v>3753</v>
      </c>
      <c r="I14" s="3820">
        <v>66171.58</v>
      </c>
      <c r="J14" s="3820">
        <v>26024.34</v>
      </c>
      <c r="K14" s="3820" t="s">
        <v>3752</v>
      </c>
      <c r="L14" s="3820">
        <v>120000</v>
      </c>
      <c r="M14" s="3821">
        <v>44482.000497685185</v>
      </c>
      <c r="N14" s="3820">
        <v>121800</v>
      </c>
      <c r="O14" s="3820">
        <v>18407</v>
      </c>
      <c r="P14" s="3820">
        <v>1.4999999999999999E-2</v>
      </c>
      <c r="Q14" s="3820" t="s">
        <v>3751</v>
      </c>
      <c r="R14" s="3820">
        <v>24000</v>
      </c>
    </row>
    <row r="15" spans="1:18">
      <c r="A15" s="3820"/>
      <c r="B15" s="3820" t="s">
        <v>3750</v>
      </c>
      <c r="C15" s="3820" t="s">
        <v>3749</v>
      </c>
      <c r="D15" s="3820" t="s">
        <v>3424</v>
      </c>
      <c r="E15" s="3820" t="s">
        <v>3430</v>
      </c>
      <c r="F15" s="3820" t="s">
        <v>3422</v>
      </c>
      <c r="G15" s="3820">
        <v>3</v>
      </c>
      <c r="H15" s="3820" t="s">
        <v>3513</v>
      </c>
      <c r="I15" s="3820">
        <v>35466</v>
      </c>
      <c r="J15" s="3820">
        <v>11822.2</v>
      </c>
      <c r="K15" s="3820" t="s">
        <v>3748</v>
      </c>
      <c r="L15" s="3820">
        <v>116000</v>
      </c>
      <c r="M15" s="3821">
        <v>44481.000497685185</v>
      </c>
      <c r="N15" s="3820">
        <v>116000</v>
      </c>
      <c r="O15" s="3820">
        <v>32707</v>
      </c>
      <c r="P15" s="3820">
        <v>0</v>
      </c>
      <c r="Q15" s="3820" t="s">
        <v>3747</v>
      </c>
      <c r="R15" s="3820">
        <v>23500</v>
      </c>
    </row>
    <row r="16" spans="1:18">
      <c r="A16" s="3820"/>
      <c r="B16" s="3820" t="s">
        <v>3746</v>
      </c>
      <c r="C16" s="3820" t="s">
        <v>3745</v>
      </c>
      <c r="D16" s="3820" t="s">
        <v>3431</v>
      </c>
      <c r="E16" s="3820" t="s">
        <v>3423</v>
      </c>
      <c r="F16" s="3820" t="s">
        <v>3422</v>
      </c>
      <c r="G16" s="3820" t="s">
        <v>3744</v>
      </c>
      <c r="H16" s="3820" t="s">
        <v>3743</v>
      </c>
      <c r="I16" s="3820">
        <v>51938.27</v>
      </c>
      <c r="J16" s="3820">
        <v>52916.1</v>
      </c>
      <c r="K16" s="3820" t="s">
        <v>3737</v>
      </c>
      <c r="L16" s="3820">
        <v>153000</v>
      </c>
      <c r="M16" s="3821">
        <v>44324.000497685185</v>
      </c>
      <c r="N16" s="3820">
        <v>153000</v>
      </c>
      <c r="O16" s="3820">
        <v>29458</v>
      </c>
      <c r="P16" s="3820">
        <v>0</v>
      </c>
      <c r="Q16" s="3820" t="s">
        <v>3742</v>
      </c>
      <c r="R16" s="3820">
        <v>31000</v>
      </c>
    </row>
    <row r="17" spans="1:18">
      <c r="A17" s="3820"/>
      <c r="B17" s="3820" t="s">
        <v>3741</v>
      </c>
      <c r="C17" s="3820" t="s">
        <v>3740</v>
      </c>
      <c r="D17" s="3820" t="s">
        <v>3424</v>
      </c>
      <c r="E17" s="3820" t="s">
        <v>3423</v>
      </c>
      <c r="F17" s="3820" t="s">
        <v>3422</v>
      </c>
      <c r="G17" s="3820" t="s">
        <v>3739</v>
      </c>
      <c r="H17" s="3820" t="s">
        <v>3738</v>
      </c>
      <c r="I17" s="3820">
        <v>110813.27</v>
      </c>
      <c r="J17" s="3820">
        <v>41608.92</v>
      </c>
      <c r="K17" s="3820" t="s">
        <v>3737</v>
      </c>
      <c r="L17" s="3820">
        <v>616000</v>
      </c>
      <c r="M17" s="3821">
        <v>44327.000497685185</v>
      </c>
      <c r="N17" s="3820">
        <v>644000</v>
      </c>
      <c r="O17" s="3820">
        <v>58116</v>
      </c>
      <c r="P17" s="3820">
        <v>4.5499999999999999E-2</v>
      </c>
      <c r="Q17" s="3820" t="s">
        <v>3736</v>
      </c>
      <c r="R17" s="3820">
        <v>124000</v>
      </c>
    </row>
    <row r="18" spans="1:18">
      <c r="A18" s="3820"/>
      <c r="B18" s="3820" t="s">
        <v>3735</v>
      </c>
      <c r="C18" s="3820" t="s">
        <v>3734</v>
      </c>
      <c r="D18" s="3820" t="s">
        <v>3424</v>
      </c>
      <c r="E18" s="3820" t="s">
        <v>3430</v>
      </c>
      <c r="F18" s="3820" t="s">
        <v>3422</v>
      </c>
      <c r="G18" s="3820" t="s">
        <v>3692</v>
      </c>
      <c r="H18" s="3820" t="s">
        <v>3733</v>
      </c>
      <c r="I18" s="3820">
        <v>38307.82</v>
      </c>
      <c r="J18" s="3820">
        <v>13681.37</v>
      </c>
      <c r="K18" s="3820" t="s">
        <v>3732</v>
      </c>
      <c r="L18" s="3820">
        <v>173500</v>
      </c>
      <c r="M18" s="3821">
        <v>44210.000497685185</v>
      </c>
      <c r="N18" s="3820">
        <v>179000</v>
      </c>
      <c r="O18" s="3820">
        <v>46727</v>
      </c>
      <c r="P18" s="3820">
        <v>3.1699999999999999E-2</v>
      </c>
      <c r="Q18" s="3820" t="s">
        <v>3720</v>
      </c>
      <c r="R18" s="3820">
        <v>35000</v>
      </c>
    </row>
    <row r="19" spans="1:18">
      <c r="A19" s="3820"/>
      <c r="B19" s="3820" t="s">
        <v>3731</v>
      </c>
      <c r="C19" s="3820" t="s">
        <v>3730</v>
      </c>
      <c r="D19" s="3820" t="s">
        <v>3424</v>
      </c>
      <c r="E19" s="3820" t="s">
        <v>3423</v>
      </c>
      <c r="F19" s="3820" t="s">
        <v>3422</v>
      </c>
      <c r="G19" s="3820" t="s">
        <v>3729</v>
      </c>
      <c r="H19" s="3820" t="s">
        <v>3728</v>
      </c>
      <c r="I19" s="3820">
        <v>155908</v>
      </c>
      <c r="J19" s="3820">
        <v>101127.8</v>
      </c>
      <c r="K19" s="3820" t="s">
        <v>3727</v>
      </c>
      <c r="L19" s="3820">
        <v>555600</v>
      </c>
      <c r="M19" s="3821">
        <v>44195.000497685185</v>
      </c>
      <c r="N19" s="3820">
        <v>555600</v>
      </c>
      <c r="O19" s="3820">
        <v>35636</v>
      </c>
      <c r="P19" s="3820">
        <v>0</v>
      </c>
      <c r="Q19" s="3820" t="s">
        <v>3726</v>
      </c>
      <c r="R19" s="3820">
        <v>111200</v>
      </c>
    </row>
    <row r="20" spans="1:18">
      <c r="A20" s="3820"/>
      <c r="B20" s="3820" t="s">
        <v>3725</v>
      </c>
      <c r="C20" s="3820" t="s">
        <v>3724</v>
      </c>
      <c r="D20" s="3820" t="s">
        <v>3424</v>
      </c>
      <c r="E20" s="3820" t="s">
        <v>3423</v>
      </c>
      <c r="F20" s="3820" t="s">
        <v>3422</v>
      </c>
      <c r="G20" s="3820" t="s">
        <v>3723</v>
      </c>
      <c r="H20" s="3820" t="s">
        <v>3722</v>
      </c>
      <c r="I20" s="3820">
        <v>267169.69</v>
      </c>
      <c r="J20" s="3820">
        <v>73884.72</v>
      </c>
      <c r="K20" s="3820" t="s">
        <v>3721</v>
      </c>
      <c r="L20" s="3820">
        <v>697800</v>
      </c>
      <c r="M20" s="3821">
        <v>44076.000497685185</v>
      </c>
      <c r="N20" s="3820">
        <v>697800</v>
      </c>
      <c r="O20" s="3820">
        <v>26118</v>
      </c>
      <c r="P20" s="3820">
        <v>0</v>
      </c>
      <c r="Q20" s="3820" t="s">
        <v>3720</v>
      </c>
      <c r="R20" s="3820">
        <v>140000</v>
      </c>
    </row>
    <row r="21" spans="1:18">
      <c r="A21" s="3820"/>
      <c r="B21" s="3820" t="s">
        <v>3719</v>
      </c>
      <c r="C21" s="3820" t="s">
        <v>3718</v>
      </c>
      <c r="D21" s="3820" t="s">
        <v>3431</v>
      </c>
      <c r="E21" s="3820" t="s">
        <v>3423</v>
      </c>
      <c r="F21" s="3820" t="s">
        <v>3422</v>
      </c>
      <c r="G21" s="3820" t="s">
        <v>3717</v>
      </c>
      <c r="H21" s="3820" t="s">
        <v>3716</v>
      </c>
      <c r="I21" s="3820">
        <v>209367</v>
      </c>
      <c r="J21" s="3820">
        <v>154004.04</v>
      </c>
      <c r="K21" s="3820" t="s">
        <v>3715</v>
      </c>
      <c r="L21" s="3820" t="s">
        <v>3439</v>
      </c>
      <c r="M21" s="3821">
        <v>44036.000497685185</v>
      </c>
      <c r="N21" s="3820">
        <v>269450</v>
      </c>
      <c r="O21" s="3820">
        <v>12870</v>
      </c>
      <c r="P21" s="3820">
        <v>0</v>
      </c>
      <c r="Q21" s="3820" t="s">
        <v>3714</v>
      </c>
      <c r="R21" s="3820">
        <v>54000</v>
      </c>
    </row>
    <row r="22" spans="1:18">
      <c r="A22" s="3820"/>
      <c r="B22" s="3820" t="s">
        <v>3713</v>
      </c>
      <c r="C22" s="3820" t="s">
        <v>3712</v>
      </c>
      <c r="D22" s="3820" t="s">
        <v>3431</v>
      </c>
      <c r="E22" s="3820" t="s">
        <v>3430</v>
      </c>
      <c r="F22" s="3820" t="s">
        <v>3422</v>
      </c>
      <c r="G22" s="3820" t="s">
        <v>3711</v>
      </c>
      <c r="H22" s="3820" t="s">
        <v>3602</v>
      </c>
      <c r="I22" s="3820">
        <v>40077.56</v>
      </c>
      <c r="J22" s="3820">
        <v>20038.78</v>
      </c>
      <c r="K22" s="3820" t="s">
        <v>3710</v>
      </c>
      <c r="L22" s="3820">
        <v>116500</v>
      </c>
      <c r="M22" s="3821">
        <v>44026.000497685185</v>
      </c>
      <c r="N22" s="3820">
        <v>126000</v>
      </c>
      <c r="O22" s="3820">
        <v>31439</v>
      </c>
      <c r="P22" s="3820">
        <v>8.1500000000000003E-2</v>
      </c>
      <c r="Q22" s="3820" t="s">
        <v>3709</v>
      </c>
      <c r="R22" s="3820">
        <v>24000</v>
      </c>
    </row>
    <row r="23" spans="1:18">
      <c r="A23" s="3820"/>
      <c r="B23" s="3820" t="s">
        <v>3708</v>
      </c>
      <c r="C23" s="3820" t="s">
        <v>3707</v>
      </c>
      <c r="D23" s="3820" t="s">
        <v>3431</v>
      </c>
      <c r="E23" s="3820" t="s">
        <v>3430</v>
      </c>
      <c r="F23" s="3820" t="s">
        <v>3422</v>
      </c>
      <c r="G23" s="3820" t="s">
        <v>3706</v>
      </c>
      <c r="H23" s="3820" t="s">
        <v>3602</v>
      </c>
      <c r="I23" s="3820">
        <v>42688.53</v>
      </c>
      <c r="J23" s="3820">
        <v>29746.01</v>
      </c>
      <c r="K23" s="3820" t="s">
        <v>3705</v>
      </c>
      <c r="L23" s="3820">
        <v>125000</v>
      </c>
      <c r="M23" s="3821">
        <v>43992.000497685185</v>
      </c>
      <c r="N23" s="3820">
        <v>125000</v>
      </c>
      <c r="O23" s="3820">
        <v>29282</v>
      </c>
      <c r="P23" s="3820">
        <v>0</v>
      </c>
      <c r="Q23" s="3820" t="s">
        <v>3704</v>
      </c>
      <c r="R23" s="3820">
        <v>25000</v>
      </c>
    </row>
    <row r="24" spans="1:18">
      <c r="A24" s="3820"/>
      <c r="B24" s="3820" t="s">
        <v>3703</v>
      </c>
      <c r="C24" s="3820" t="s">
        <v>3702</v>
      </c>
      <c r="D24" s="3820" t="s">
        <v>3424</v>
      </c>
      <c r="E24" s="3820" t="s">
        <v>3423</v>
      </c>
      <c r="F24" s="3820" t="s">
        <v>3422</v>
      </c>
      <c r="G24" s="3820" t="s">
        <v>3701</v>
      </c>
      <c r="H24" s="3820" t="s">
        <v>3700</v>
      </c>
      <c r="I24" s="3820">
        <v>117825</v>
      </c>
      <c r="J24" s="3820">
        <v>38379.370000000003</v>
      </c>
      <c r="K24" s="3820" t="s">
        <v>3699</v>
      </c>
      <c r="L24" s="3820">
        <v>297500</v>
      </c>
      <c r="M24" s="3821">
        <v>43872.000497685185</v>
      </c>
      <c r="N24" s="3820">
        <v>297500</v>
      </c>
      <c r="O24" s="3820">
        <v>25249</v>
      </c>
      <c r="P24" s="3820">
        <v>0</v>
      </c>
      <c r="Q24" s="3820" t="s">
        <v>3698</v>
      </c>
      <c r="R24" s="3820">
        <v>59500</v>
      </c>
    </row>
    <row r="25" spans="1:18">
      <c r="A25" s="3820"/>
      <c r="B25" s="3820" t="s">
        <v>3697</v>
      </c>
      <c r="C25" s="3820" t="s">
        <v>3696</v>
      </c>
      <c r="D25" s="3820" t="s">
        <v>3424</v>
      </c>
      <c r="E25" s="3820" t="s">
        <v>3430</v>
      </c>
      <c r="F25" s="3820" t="s">
        <v>3422</v>
      </c>
      <c r="G25" s="3820" t="s">
        <v>3692</v>
      </c>
      <c r="H25" s="3820" t="s">
        <v>3602</v>
      </c>
      <c r="I25" s="3820">
        <v>75025</v>
      </c>
      <c r="J25" s="3820">
        <v>26794.69</v>
      </c>
      <c r="K25" s="3820" t="s">
        <v>3691</v>
      </c>
      <c r="L25" s="3820">
        <v>310000</v>
      </c>
      <c r="M25" s="3821">
        <v>43833.000497685185</v>
      </c>
      <c r="N25" s="3820">
        <v>365000</v>
      </c>
      <c r="O25" s="3820">
        <v>48650</v>
      </c>
      <c r="P25" s="3820">
        <v>0.17739999999999997</v>
      </c>
      <c r="Q25" s="3820" t="s">
        <v>3695</v>
      </c>
      <c r="R25" s="3820">
        <v>62000</v>
      </c>
    </row>
    <row r="26" spans="1:18">
      <c r="A26" s="3820"/>
      <c r="B26" s="3820" t="s">
        <v>3694</v>
      </c>
      <c r="C26" s="3820" t="s">
        <v>3693</v>
      </c>
      <c r="D26" s="3820" t="s">
        <v>3424</v>
      </c>
      <c r="E26" s="3820" t="s">
        <v>3430</v>
      </c>
      <c r="F26" s="3820" t="s">
        <v>3422</v>
      </c>
      <c r="G26" s="3820" t="s">
        <v>3692</v>
      </c>
      <c r="H26" s="3820" t="s">
        <v>3602</v>
      </c>
      <c r="I26" s="3820">
        <v>65248</v>
      </c>
      <c r="J26" s="3820">
        <v>23302.84</v>
      </c>
      <c r="K26" s="3820" t="s">
        <v>3691</v>
      </c>
      <c r="L26" s="3820">
        <v>270000</v>
      </c>
      <c r="M26" s="3821">
        <v>43833.000497685185</v>
      </c>
      <c r="N26" s="3820">
        <v>340000</v>
      </c>
      <c r="O26" s="3820">
        <v>52109</v>
      </c>
      <c r="P26" s="3820">
        <v>0.25929999999999997</v>
      </c>
      <c r="Q26" s="3820" t="s">
        <v>3690</v>
      </c>
      <c r="R26" s="3820">
        <v>54000</v>
      </c>
    </row>
    <row r="27" spans="1:18">
      <c r="A27" s="3820"/>
      <c r="B27" s="3820" t="s">
        <v>3689</v>
      </c>
      <c r="C27" s="3820" t="s">
        <v>3688</v>
      </c>
      <c r="D27" s="3820" t="s">
        <v>3424</v>
      </c>
      <c r="E27" s="3820" t="s">
        <v>3423</v>
      </c>
      <c r="F27" s="3820" t="s">
        <v>3422</v>
      </c>
      <c r="G27" s="3820" t="s">
        <v>3687</v>
      </c>
      <c r="H27" s="3820" t="s">
        <v>3686</v>
      </c>
      <c r="I27" s="3820">
        <v>148649</v>
      </c>
      <c r="J27" s="3820">
        <v>61068.41</v>
      </c>
      <c r="K27" s="3820" t="s">
        <v>3685</v>
      </c>
      <c r="L27" s="3820">
        <v>510000</v>
      </c>
      <c r="M27" s="3821">
        <v>43789.000497685185</v>
      </c>
      <c r="N27" s="3820">
        <v>510000</v>
      </c>
      <c r="O27" s="3820">
        <v>34309</v>
      </c>
      <c r="P27" s="3820">
        <v>0</v>
      </c>
      <c r="Q27" s="3820" t="s">
        <v>3684</v>
      </c>
      <c r="R27" s="3820">
        <v>102000</v>
      </c>
    </row>
    <row r="28" spans="1:18">
      <c r="A28" s="3820"/>
      <c r="B28" s="3820" t="s">
        <v>3683</v>
      </c>
      <c r="C28" s="3820" t="s">
        <v>3682</v>
      </c>
      <c r="D28" s="3820" t="s">
        <v>3424</v>
      </c>
      <c r="E28" s="3820" t="s">
        <v>3423</v>
      </c>
      <c r="F28" s="3820" t="s">
        <v>3422</v>
      </c>
      <c r="G28" s="3820" t="s">
        <v>3681</v>
      </c>
      <c r="H28" s="3820" t="s">
        <v>3588</v>
      </c>
      <c r="I28" s="3820">
        <v>214138</v>
      </c>
      <c r="J28" s="3820">
        <v>64377.39</v>
      </c>
      <c r="K28" s="3820" t="s">
        <v>3680</v>
      </c>
      <c r="L28" s="3820">
        <v>657500</v>
      </c>
      <c r="M28" s="3821">
        <v>43643.000497685185</v>
      </c>
      <c r="N28" s="3820">
        <v>734000</v>
      </c>
      <c r="O28" s="3820">
        <v>34277</v>
      </c>
      <c r="P28" s="3820">
        <v>0.11630000000000001</v>
      </c>
      <c r="Q28" s="3820" t="s">
        <v>3679</v>
      </c>
      <c r="R28" s="3820">
        <v>131500</v>
      </c>
    </row>
    <row r="29" spans="1:18">
      <c r="A29" s="3820"/>
      <c r="B29" s="3820" t="s">
        <v>3678</v>
      </c>
      <c r="C29" s="3820" t="s">
        <v>3677</v>
      </c>
      <c r="D29" s="3820" t="s">
        <v>3431</v>
      </c>
      <c r="E29" s="3820" t="s">
        <v>3423</v>
      </c>
      <c r="F29" s="3820" t="s">
        <v>3422</v>
      </c>
      <c r="G29" s="3820" t="s">
        <v>3676</v>
      </c>
      <c r="H29" s="3820" t="s">
        <v>3675</v>
      </c>
      <c r="I29" s="3820">
        <v>57268</v>
      </c>
      <c r="J29" s="3820">
        <v>26109.25</v>
      </c>
      <c r="K29" s="3820" t="s">
        <v>3674</v>
      </c>
      <c r="L29" s="3820">
        <v>84900</v>
      </c>
      <c r="M29" s="3821">
        <v>43559.000497685185</v>
      </c>
      <c r="N29" s="3820">
        <v>102000</v>
      </c>
      <c r="O29" s="3820">
        <v>17811</v>
      </c>
      <c r="P29" s="3820">
        <v>0.2014</v>
      </c>
      <c r="Q29" s="3820" t="s">
        <v>3673</v>
      </c>
      <c r="R29" s="3820">
        <v>17000</v>
      </c>
    </row>
    <row r="30" spans="1:18">
      <c r="A30" s="3820"/>
      <c r="B30" s="3820" t="s">
        <v>3672</v>
      </c>
      <c r="C30" s="3820" t="s">
        <v>3671</v>
      </c>
      <c r="D30" s="3820" t="s">
        <v>3431</v>
      </c>
      <c r="E30" s="3820" t="s">
        <v>3423</v>
      </c>
      <c r="F30" s="3820" t="s">
        <v>3422</v>
      </c>
      <c r="G30" s="3820" t="s">
        <v>3670</v>
      </c>
      <c r="H30" s="3820" t="s">
        <v>3669</v>
      </c>
      <c r="I30" s="3820">
        <v>133434</v>
      </c>
      <c r="J30" s="3820">
        <v>50699.839999999997</v>
      </c>
      <c r="K30" s="3820" t="s">
        <v>3668</v>
      </c>
      <c r="L30" s="3820">
        <v>160000</v>
      </c>
      <c r="M30" s="3821">
        <v>43497.000497685185</v>
      </c>
      <c r="N30" s="3820">
        <v>160000</v>
      </c>
      <c r="O30" s="3820">
        <v>11991</v>
      </c>
      <c r="P30" s="3820">
        <v>0</v>
      </c>
      <c r="Q30" s="3820" t="s">
        <v>3667</v>
      </c>
      <c r="R30" s="3820">
        <v>32000</v>
      </c>
    </row>
    <row r="31" spans="1:18">
      <c r="A31" s="3820"/>
      <c r="B31" s="3820" t="s">
        <v>3666</v>
      </c>
      <c r="C31" s="3820" t="s">
        <v>3665</v>
      </c>
      <c r="D31" s="3820" t="s">
        <v>3424</v>
      </c>
      <c r="E31" s="3820" t="s">
        <v>3423</v>
      </c>
      <c r="F31" s="3820" t="s">
        <v>3422</v>
      </c>
      <c r="G31" s="3820">
        <v>2.4</v>
      </c>
      <c r="H31" s="3820" t="s">
        <v>3593</v>
      </c>
      <c r="I31" s="3820">
        <v>116359</v>
      </c>
      <c r="J31" s="3820">
        <v>48463.79</v>
      </c>
      <c r="K31" s="3820" t="s">
        <v>3664</v>
      </c>
      <c r="L31" s="3820">
        <v>495300</v>
      </c>
      <c r="M31" s="3821">
        <v>43496.000497685185</v>
      </c>
      <c r="N31" s="3820">
        <v>495300</v>
      </c>
      <c r="O31" s="3820">
        <v>42567</v>
      </c>
      <c r="P31" s="3820">
        <v>0</v>
      </c>
      <c r="Q31" s="3820" t="s">
        <v>3663</v>
      </c>
      <c r="R31" s="3820">
        <v>99100</v>
      </c>
    </row>
    <row r="32" spans="1:18">
      <c r="A32" s="3820"/>
      <c r="B32" s="3820" t="s">
        <v>3662</v>
      </c>
      <c r="C32" s="3820" t="s">
        <v>3661</v>
      </c>
      <c r="D32" s="3820" t="s">
        <v>3424</v>
      </c>
      <c r="E32" s="3820" t="s">
        <v>3430</v>
      </c>
      <c r="F32" s="3820" t="s">
        <v>3422</v>
      </c>
      <c r="G32" s="3820">
        <v>2.58</v>
      </c>
      <c r="H32" s="3820" t="s">
        <v>3602</v>
      </c>
      <c r="I32" s="3820">
        <v>43844.08</v>
      </c>
      <c r="J32" s="3820">
        <v>17006.62</v>
      </c>
      <c r="K32" s="3820" t="s">
        <v>3660</v>
      </c>
      <c r="L32" s="3820" t="s">
        <v>3439</v>
      </c>
      <c r="M32" s="3821">
        <v>43489.000497685185</v>
      </c>
      <c r="N32" s="3820">
        <v>98500</v>
      </c>
      <c r="O32" s="3820">
        <v>22466</v>
      </c>
      <c r="P32" s="3820">
        <v>0</v>
      </c>
      <c r="Q32" s="3820" t="s">
        <v>3449</v>
      </c>
      <c r="R32" s="3820">
        <v>20000</v>
      </c>
    </row>
    <row r="33" spans="1:18">
      <c r="A33" s="3820"/>
      <c r="B33" s="3820" t="s">
        <v>3659</v>
      </c>
      <c r="C33" s="3820" t="s">
        <v>3658</v>
      </c>
      <c r="D33" s="3820" t="s">
        <v>3424</v>
      </c>
      <c r="E33" s="3820" t="s">
        <v>3430</v>
      </c>
      <c r="F33" s="3820" t="s">
        <v>3422</v>
      </c>
      <c r="G33" s="3820">
        <v>2.5</v>
      </c>
      <c r="H33" s="3820" t="s">
        <v>3602</v>
      </c>
      <c r="I33" s="3820">
        <v>152820</v>
      </c>
      <c r="J33" s="3820">
        <v>61127.91</v>
      </c>
      <c r="K33" s="3820" t="s">
        <v>3657</v>
      </c>
      <c r="L33" s="3820">
        <v>483400</v>
      </c>
      <c r="M33" s="3821">
        <v>43404.000497685185</v>
      </c>
      <c r="N33" s="3820">
        <v>483400</v>
      </c>
      <c r="O33" s="3820">
        <v>31632</v>
      </c>
      <c r="P33" s="3820">
        <v>0</v>
      </c>
      <c r="Q33" s="3820" t="s">
        <v>3656</v>
      </c>
      <c r="R33" s="3820">
        <v>97000</v>
      </c>
    </row>
    <row r="34" spans="1:18">
      <c r="A34" s="3820"/>
      <c r="B34" s="3820" t="s">
        <v>3655</v>
      </c>
      <c r="C34" s="3820" t="s">
        <v>3654</v>
      </c>
      <c r="D34" s="3820" t="s">
        <v>3431</v>
      </c>
      <c r="E34" s="3820" t="s">
        <v>3423</v>
      </c>
      <c r="F34" s="3820" t="s">
        <v>3422</v>
      </c>
      <c r="G34" s="3820">
        <v>2.8</v>
      </c>
      <c r="H34" s="3820" t="s">
        <v>3498</v>
      </c>
      <c r="I34" s="3820">
        <v>91833</v>
      </c>
      <c r="J34" s="3820">
        <v>32797.360000000001</v>
      </c>
      <c r="K34" s="3820" t="s">
        <v>3653</v>
      </c>
      <c r="L34" s="3820">
        <v>165000</v>
      </c>
      <c r="M34" s="3821">
        <v>43137.000497685185</v>
      </c>
      <c r="N34" s="3820">
        <v>165000</v>
      </c>
      <c r="O34" s="3820">
        <v>17967</v>
      </c>
      <c r="P34" s="3820">
        <v>0</v>
      </c>
      <c r="Q34" s="3820" t="s">
        <v>3652</v>
      </c>
      <c r="R34" s="3820">
        <v>50000</v>
      </c>
    </row>
    <row r="35" spans="1:18">
      <c r="A35" s="3820"/>
      <c r="B35" s="3820" t="s">
        <v>3651</v>
      </c>
      <c r="C35" s="3820" t="s">
        <v>3650</v>
      </c>
      <c r="D35" s="3820" t="s">
        <v>3431</v>
      </c>
      <c r="E35" s="3820" t="s">
        <v>3430</v>
      </c>
      <c r="F35" s="3820" t="s">
        <v>3422</v>
      </c>
      <c r="G35" s="3820">
        <v>1.2</v>
      </c>
      <c r="H35" s="3820" t="s">
        <v>3602</v>
      </c>
      <c r="I35" s="3820">
        <v>99309</v>
      </c>
      <c r="J35" s="3820">
        <v>82458.61</v>
      </c>
      <c r="K35" s="3820" t="s">
        <v>3645</v>
      </c>
      <c r="L35" s="3820">
        <v>267800</v>
      </c>
      <c r="M35" s="3821">
        <v>43133.000497685185</v>
      </c>
      <c r="N35" s="3820">
        <v>345000</v>
      </c>
      <c r="O35" s="3820">
        <v>34740</v>
      </c>
      <c r="P35" s="3820">
        <v>0.2883</v>
      </c>
      <c r="Q35" s="3820" t="s">
        <v>3649</v>
      </c>
      <c r="R35" s="3820">
        <v>81000</v>
      </c>
    </row>
    <row r="36" spans="1:18">
      <c r="A36" s="3820"/>
      <c r="B36" s="3820" t="s">
        <v>3648</v>
      </c>
      <c r="C36" s="3820" t="s">
        <v>3647</v>
      </c>
      <c r="D36" s="3820" t="s">
        <v>3431</v>
      </c>
      <c r="E36" s="3820" t="s">
        <v>3423</v>
      </c>
      <c r="F36" s="3820" t="s">
        <v>3422</v>
      </c>
      <c r="G36" s="3820">
        <v>0.86</v>
      </c>
      <c r="H36" s="3820" t="s">
        <v>3646</v>
      </c>
      <c r="I36" s="3820">
        <v>272690</v>
      </c>
      <c r="J36" s="3820">
        <v>315990.3</v>
      </c>
      <c r="K36" s="3820" t="s">
        <v>3645</v>
      </c>
      <c r="L36" s="3820">
        <v>465000</v>
      </c>
      <c r="M36" s="3821">
        <v>43133.000497685185</v>
      </c>
      <c r="N36" s="3820">
        <v>465000</v>
      </c>
      <c r="O36" s="3820">
        <v>17052</v>
      </c>
      <c r="P36" s="3820">
        <v>0</v>
      </c>
      <c r="Q36" s="3820" t="s">
        <v>3644</v>
      </c>
      <c r="R36" s="3820">
        <v>140000</v>
      </c>
    </row>
    <row r="37" spans="1:18">
      <c r="A37" s="3820"/>
      <c r="B37" s="3820" t="s">
        <v>3643</v>
      </c>
      <c r="C37" s="3820" t="s">
        <v>3642</v>
      </c>
      <c r="D37" s="3820" t="s">
        <v>3424</v>
      </c>
      <c r="E37" s="3820" t="s">
        <v>3423</v>
      </c>
      <c r="F37" s="3820" t="s">
        <v>3422</v>
      </c>
      <c r="G37" s="3820">
        <v>1.7</v>
      </c>
      <c r="H37" s="3820" t="s">
        <v>3641</v>
      </c>
      <c r="I37" s="3820">
        <v>346496</v>
      </c>
      <c r="J37" s="3820">
        <v>202550.5</v>
      </c>
      <c r="K37" s="3820" t="s">
        <v>3640</v>
      </c>
      <c r="L37" s="3820">
        <v>694000</v>
      </c>
      <c r="M37" s="3821">
        <v>43053.000497685185</v>
      </c>
      <c r="N37" s="3820">
        <v>780000</v>
      </c>
      <c r="O37" s="3820">
        <v>22511</v>
      </c>
      <c r="P37" s="3820">
        <v>0.12390000000000001</v>
      </c>
      <c r="Q37" s="3820" t="s">
        <v>3639</v>
      </c>
      <c r="R37" s="3820">
        <v>209000</v>
      </c>
    </row>
    <row r="38" spans="1:18" s="3470" customFormat="1">
      <c r="A38" s="3822"/>
      <c r="B38" s="3822" t="s">
        <v>3638</v>
      </c>
      <c r="C38" s="3822" t="s">
        <v>3637</v>
      </c>
      <c r="D38" s="3822" t="s">
        <v>3424</v>
      </c>
      <c r="E38" s="3822" t="s">
        <v>3423</v>
      </c>
      <c r="F38" s="3822" t="s">
        <v>3422</v>
      </c>
      <c r="G38" s="3822">
        <v>1.61</v>
      </c>
      <c r="H38" s="3822" t="s">
        <v>3636</v>
      </c>
      <c r="I38" s="3822">
        <v>347895</v>
      </c>
      <c r="J38" s="3822">
        <v>216429.7</v>
      </c>
      <c r="K38" s="3822" t="s">
        <v>3635</v>
      </c>
      <c r="L38" s="3822">
        <v>719000</v>
      </c>
      <c r="M38" s="3823">
        <v>43046.000497685185</v>
      </c>
      <c r="N38" s="3822">
        <v>860000</v>
      </c>
      <c r="O38" s="3822">
        <v>24720</v>
      </c>
      <c r="P38" s="3822">
        <v>0.1961</v>
      </c>
      <c r="Q38" s="3822" t="s">
        <v>3634</v>
      </c>
      <c r="R38" s="3822">
        <v>216000</v>
      </c>
    </row>
    <row r="39" spans="1:18">
      <c r="A39" s="3820"/>
      <c r="B39" s="3820" t="s">
        <v>3633</v>
      </c>
      <c r="C39" s="3820" t="s">
        <v>3632</v>
      </c>
      <c r="D39" s="3820" t="s">
        <v>3424</v>
      </c>
      <c r="E39" s="3820" t="s">
        <v>3430</v>
      </c>
      <c r="F39" s="3820" t="s">
        <v>3422</v>
      </c>
      <c r="G39" s="3820">
        <v>2.8</v>
      </c>
      <c r="H39" s="3820" t="s">
        <v>3602</v>
      </c>
      <c r="I39" s="3820">
        <v>71267</v>
      </c>
      <c r="J39" s="3820">
        <v>25399.58</v>
      </c>
      <c r="K39" s="3820" t="s">
        <v>3631</v>
      </c>
      <c r="L39" s="3820">
        <v>160000</v>
      </c>
      <c r="M39" s="3821">
        <v>42991.000497685185</v>
      </c>
      <c r="N39" s="3820">
        <v>206500</v>
      </c>
      <c r="O39" s="3820">
        <v>28976</v>
      </c>
      <c r="P39" s="3820">
        <v>0.29059999999999997</v>
      </c>
      <c r="Q39" s="3820" t="s">
        <v>3630</v>
      </c>
      <c r="R39" s="3820">
        <v>48000</v>
      </c>
    </row>
    <row r="40" spans="1:18">
      <c r="A40" s="3820"/>
      <c r="B40" s="3820" t="s">
        <v>3629</v>
      </c>
      <c r="C40" s="3820" t="s">
        <v>3628</v>
      </c>
      <c r="D40" s="3820" t="s">
        <v>3431</v>
      </c>
      <c r="E40" s="3820" t="s">
        <v>3423</v>
      </c>
      <c r="F40" s="3820" t="s">
        <v>3422</v>
      </c>
      <c r="G40" s="3820" t="s">
        <v>3627</v>
      </c>
      <c r="H40" s="3820" t="s">
        <v>3626</v>
      </c>
      <c r="I40" s="3820">
        <v>57599</v>
      </c>
      <c r="J40" s="3820">
        <v>32606.69</v>
      </c>
      <c r="K40" s="3820" t="s">
        <v>3625</v>
      </c>
      <c r="L40" s="3820">
        <v>77000</v>
      </c>
      <c r="M40" s="3821">
        <v>42850.000497685185</v>
      </c>
      <c r="N40" s="3820">
        <v>103000</v>
      </c>
      <c r="O40" s="3820">
        <v>17882</v>
      </c>
      <c r="P40" s="3820">
        <v>0.33770000000000006</v>
      </c>
      <c r="Q40" s="3820" t="s">
        <v>3624</v>
      </c>
      <c r="R40" s="3820">
        <v>23000</v>
      </c>
    </row>
    <row r="41" spans="1:18">
      <c r="A41" s="3820"/>
      <c r="B41" s="3820" t="s">
        <v>3623</v>
      </c>
      <c r="C41" s="3820" t="s">
        <v>3622</v>
      </c>
      <c r="D41" s="3820" t="s">
        <v>3424</v>
      </c>
      <c r="E41" s="3820" t="s">
        <v>3430</v>
      </c>
      <c r="F41" s="3820" t="s">
        <v>3422</v>
      </c>
      <c r="G41" s="3820">
        <v>1.6</v>
      </c>
      <c r="H41" s="3820" t="s">
        <v>3602</v>
      </c>
      <c r="I41" s="3820">
        <v>43409</v>
      </c>
      <c r="J41" s="3820">
        <v>27130.69</v>
      </c>
      <c r="K41" s="3820" t="s">
        <v>3621</v>
      </c>
      <c r="L41" s="3820">
        <v>85000</v>
      </c>
      <c r="M41" s="3821">
        <v>42849.000497685185</v>
      </c>
      <c r="N41" s="3820">
        <v>123500</v>
      </c>
      <c r="O41" s="3820">
        <v>28450</v>
      </c>
      <c r="P41" s="3820">
        <v>0.45289999999999997</v>
      </c>
      <c r="Q41" s="3820" t="s">
        <v>3620</v>
      </c>
      <c r="R41" s="3820">
        <v>26000</v>
      </c>
    </row>
    <row r="42" spans="1:18">
      <c r="A42" s="3820"/>
      <c r="B42" s="3820" t="s">
        <v>3619</v>
      </c>
      <c r="C42" s="3820" t="s">
        <v>3618</v>
      </c>
      <c r="D42" s="3820" t="s">
        <v>3431</v>
      </c>
      <c r="E42" s="3820" t="s">
        <v>3423</v>
      </c>
      <c r="F42" s="3820" t="s">
        <v>3422</v>
      </c>
      <c r="G42" s="3820">
        <v>1.32</v>
      </c>
      <c r="H42" s="3820" t="s">
        <v>3617</v>
      </c>
      <c r="I42" s="3820">
        <v>238650</v>
      </c>
      <c r="J42" s="3820">
        <v>180851</v>
      </c>
      <c r="K42" s="3820" t="s">
        <v>3616</v>
      </c>
      <c r="L42" s="3820">
        <v>570000</v>
      </c>
      <c r="M42" s="3821">
        <v>42754.000497685185</v>
      </c>
      <c r="N42" s="3820">
        <v>633000</v>
      </c>
      <c r="O42" s="3820">
        <v>26524</v>
      </c>
      <c r="P42" s="3820">
        <v>0.1105</v>
      </c>
      <c r="Q42" s="3820" t="s">
        <v>3615</v>
      </c>
      <c r="R42" s="3820">
        <v>170000</v>
      </c>
    </row>
    <row r="43" spans="1:18">
      <c r="A43" s="3820"/>
      <c r="B43" s="3820" t="s">
        <v>3614</v>
      </c>
      <c r="C43" s="3820" t="s">
        <v>3613</v>
      </c>
      <c r="D43" s="3820" t="s">
        <v>3431</v>
      </c>
      <c r="E43" s="3820" t="s">
        <v>3423</v>
      </c>
      <c r="F43" s="3820" t="s">
        <v>3422</v>
      </c>
      <c r="G43" s="3820">
        <v>3.19</v>
      </c>
      <c r="H43" s="3820" t="s">
        <v>3612</v>
      </c>
      <c r="I43" s="3820">
        <v>263190</v>
      </c>
      <c r="J43" s="3820">
        <v>82624.91</v>
      </c>
      <c r="K43" s="3820" t="s">
        <v>3611</v>
      </c>
      <c r="L43" s="3820">
        <v>263200</v>
      </c>
      <c r="M43" s="3821">
        <v>42426.000497685185</v>
      </c>
      <c r="N43" s="3820">
        <v>394800</v>
      </c>
      <c r="O43" s="3820">
        <v>15001</v>
      </c>
      <c r="P43" s="3820">
        <v>0.5</v>
      </c>
      <c r="Q43" s="3820" t="s">
        <v>3610</v>
      </c>
      <c r="R43" s="3820">
        <v>79000</v>
      </c>
    </row>
    <row r="44" spans="1:18">
      <c r="A44" s="3820"/>
      <c r="B44" s="3820" t="s">
        <v>3609</v>
      </c>
      <c r="C44" s="3820" t="s">
        <v>3608</v>
      </c>
      <c r="D44" s="3820" t="s">
        <v>3424</v>
      </c>
      <c r="E44" s="3820" t="s">
        <v>3423</v>
      </c>
      <c r="F44" s="3820" t="s">
        <v>3422</v>
      </c>
      <c r="G44" s="3820" t="s">
        <v>3607</v>
      </c>
      <c r="H44" s="3820" t="s">
        <v>3606</v>
      </c>
      <c r="I44" s="3820">
        <v>979900</v>
      </c>
      <c r="J44" s="3820">
        <v>289526.8</v>
      </c>
      <c r="K44" s="3820" t="s">
        <v>3605</v>
      </c>
      <c r="L44" s="3820" t="s">
        <v>3439</v>
      </c>
      <c r="M44" s="3821">
        <v>42368.000497685185</v>
      </c>
      <c r="N44" s="3820">
        <v>1852637</v>
      </c>
      <c r="O44" s="3820">
        <v>18906</v>
      </c>
      <c r="P44" s="3820">
        <v>0</v>
      </c>
      <c r="Q44" s="3820" t="s">
        <v>3521</v>
      </c>
      <c r="R44" s="3820">
        <v>5000</v>
      </c>
    </row>
    <row r="45" spans="1:18">
      <c r="A45" s="3820"/>
      <c r="B45" s="3820" t="s">
        <v>3604</v>
      </c>
      <c r="C45" s="3820" t="s">
        <v>3603</v>
      </c>
      <c r="D45" s="3820" t="s">
        <v>3431</v>
      </c>
      <c r="E45" s="3820" t="s">
        <v>3430</v>
      </c>
      <c r="F45" s="3820" t="s">
        <v>3422</v>
      </c>
      <c r="G45" s="3820">
        <v>2.8</v>
      </c>
      <c r="H45" s="3820" t="s">
        <v>3602</v>
      </c>
      <c r="I45" s="3820">
        <v>202725</v>
      </c>
      <c r="J45" s="3820">
        <v>72401.83</v>
      </c>
      <c r="K45" s="3820" t="s">
        <v>3597</v>
      </c>
      <c r="L45" s="3820">
        <v>380000</v>
      </c>
      <c r="M45" s="3821">
        <v>42326.000497685185</v>
      </c>
      <c r="N45" s="3820">
        <v>570000</v>
      </c>
      <c r="O45" s="3820">
        <v>28117</v>
      </c>
      <c r="P45" s="3820">
        <v>0.5</v>
      </c>
      <c r="Q45" s="3820" t="s">
        <v>3601</v>
      </c>
      <c r="R45" s="3820">
        <v>114000</v>
      </c>
    </row>
    <row r="46" spans="1:18">
      <c r="A46" s="3820"/>
      <c r="B46" s="3820" t="s">
        <v>3600</v>
      </c>
      <c r="C46" s="3820" t="s">
        <v>3599</v>
      </c>
      <c r="D46" s="3820" t="s">
        <v>3431</v>
      </c>
      <c r="E46" s="3820" t="s">
        <v>3423</v>
      </c>
      <c r="F46" s="3820" t="s">
        <v>3422</v>
      </c>
      <c r="G46" s="3820">
        <v>3.82</v>
      </c>
      <c r="H46" s="3820" t="s">
        <v>3598</v>
      </c>
      <c r="I46" s="3820">
        <v>252082</v>
      </c>
      <c r="J46" s="3820">
        <v>65820.63</v>
      </c>
      <c r="K46" s="3820" t="s">
        <v>3597</v>
      </c>
      <c r="L46" s="3820">
        <v>410000</v>
      </c>
      <c r="M46" s="3821">
        <v>42326.000497685185</v>
      </c>
      <c r="N46" s="3820">
        <v>460000</v>
      </c>
      <c r="O46" s="3820">
        <v>18248</v>
      </c>
      <c r="P46" s="3820">
        <v>0.122</v>
      </c>
      <c r="Q46" s="3820" t="s">
        <v>3596</v>
      </c>
      <c r="R46" s="3820">
        <v>123000</v>
      </c>
    </row>
    <row r="47" spans="1:18">
      <c r="A47" s="3820"/>
      <c r="B47" s="3820" t="s">
        <v>3595</v>
      </c>
      <c r="C47" s="3820" t="s">
        <v>3594</v>
      </c>
      <c r="D47" s="3820" t="s">
        <v>3431</v>
      </c>
      <c r="E47" s="3820" t="s">
        <v>3423</v>
      </c>
      <c r="F47" s="3820" t="s">
        <v>3422</v>
      </c>
      <c r="G47" s="3820">
        <v>2.5499999999999998</v>
      </c>
      <c r="H47" s="3820" t="s">
        <v>3593</v>
      </c>
      <c r="I47" s="3820">
        <v>104782</v>
      </c>
      <c r="J47" s="3820">
        <v>41050.28</v>
      </c>
      <c r="K47" s="3820" t="s">
        <v>3592</v>
      </c>
      <c r="L47" s="3820">
        <v>185000</v>
      </c>
      <c r="M47" s="3821">
        <v>42276.000497685185</v>
      </c>
      <c r="N47" s="3820">
        <v>203000</v>
      </c>
      <c r="O47" s="3820">
        <v>19374</v>
      </c>
      <c r="P47" s="3820">
        <v>9.7299999999999998E-2</v>
      </c>
      <c r="Q47" s="3820" t="s">
        <v>3591</v>
      </c>
      <c r="R47" s="3820">
        <v>56000</v>
      </c>
    </row>
    <row r="48" spans="1:18">
      <c r="A48" s="3820"/>
      <c r="B48" s="3820" t="s">
        <v>3590</v>
      </c>
      <c r="C48" s="3820" t="s">
        <v>3589</v>
      </c>
      <c r="D48" s="3820" t="s">
        <v>3424</v>
      </c>
      <c r="E48" s="3820" t="s">
        <v>3423</v>
      </c>
      <c r="F48" s="3820" t="s">
        <v>3422</v>
      </c>
      <c r="G48" s="3820">
        <v>3.14</v>
      </c>
      <c r="H48" s="3820" t="s">
        <v>3588</v>
      </c>
      <c r="I48" s="3820">
        <v>334883</v>
      </c>
      <c r="J48" s="3820">
        <v>106573.7</v>
      </c>
      <c r="K48" s="3820" t="s">
        <v>3587</v>
      </c>
      <c r="L48" s="3820">
        <v>460000</v>
      </c>
      <c r="M48" s="3821">
        <v>41945.000497685185</v>
      </c>
      <c r="N48" s="3820">
        <v>590000</v>
      </c>
      <c r="O48" s="3820">
        <v>17618</v>
      </c>
      <c r="P48" s="3820">
        <v>0.28260000000000002</v>
      </c>
      <c r="Q48" s="3820" t="s">
        <v>3586</v>
      </c>
      <c r="R48" s="3820">
        <v>140000</v>
      </c>
    </row>
    <row r="49" spans="1:18">
      <c r="A49" s="3820"/>
      <c r="B49" s="3820" t="s">
        <v>3585</v>
      </c>
      <c r="C49" s="3820" t="s">
        <v>3584</v>
      </c>
      <c r="D49" s="3820" t="s">
        <v>3431</v>
      </c>
      <c r="E49" s="3820" t="s">
        <v>3423</v>
      </c>
      <c r="F49" s="3820" t="s">
        <v>3422</v>
      </c>
      <c r="G49" s="3820">
        <v>1.18</v>
      </c>
      <c r="H49" s="3820" t="s">
        <v>3583</v>
      </c>
      <c r="I49" s="3820">
        <v>279748</v>
      </c>
      <c r="J49" s="3820">
        <v>236154.7</v>
      </c>
      <c r="K49" s="3820" t="s">
        <v>3582</v>
      </c>
      <c r="L49" s="3820">
        <v>420000</v>
      </c>
      <c r="M49" s="3821">
        <v>41933.000497685185</v>
      </c>
      <c r="N49" s="3820">
        <v>420000</v>
      </c>
      <c r="O49" s="3820">
        <v>15014</v>
      </c>
      <c r="P49" s="3820">
        <v>0</v>
      </c>
      <c r="Q49" s="3820" t="s">
        <v>3581</v>
      </c>
      <c r="R49" s="3820">
        <v>130000</v>
      </c>
    </row>
    <row r="50" spans="1:18">
      <c r="A50" s="3820"/>
      <c r="B50" s="3820" t="s">
        <v>3580</v>
      </c>
      <c r="C50" s="3820" t="s">
        <v>3579</v>
      </c>
      <c r="D50" s="3820" t="s">
        <v>3431</v>
      </c>
      <c r="E50" s="3820" t="s">
        <v>3423</v>
      </c>
      <c r="F50" s="3820" t="s">
        <v>3422</v>
      </c>
      <c r="G50" s="3820">
        <v>2.4</v>
      </c>
      <c r="H50" s="3820" t="s">
        <v>3578</v>
      </c>
      <c r="I50" s="3820">
        <v>238274</v>
      </c>
      <c r="J50" s="3820">
        <v>99141.73</v>
      </c>
      <c r="K50" s="3820" t="s">
        <v>3573</v>
      </c>
      <c r="L50" s="3820">
        <v>250000</v>
      </c>
      <c r="M50" s="3821">
        <v>41929.000497685185</v>
      </c>
      <c r="N50" s="3820">
        <v>338000</v>
      </c>
      <c r="O50" s="3820">
        <v>14185</v>
      </c>
      <c r="P50" s="3820">
        <v>0.35200000000000004</v>
      </c>
      <c r="Q50" s="3820" t="s">
        <v>3577</v>
      </c>
      <c r="R50" s="3820">
        <v>75000</v>
      </c>
    </row>
    <row r="51" spans="1:18">
      <c r="A51" s="3820"/>
      <c r="B51" s="3820" t="s">
        <v>3576</v>
      </c>
      <c r="C51" s="3820" t="s">
        <v>3575</v>
      </c>
      <c r="D51" s="3820" t="s">
        <v>3431</v>
      </c>
      <c r="E51" s="3820" t="s">
        <v>3423</v>
      </c>
      <c r="F51" s="3820" t="s">
        <v>3422</v>
      </c>
      <c r="G51" s="3820">
        <v>2.04</v>
      </c>
      <c r="H51" s="3820" t="s">
        <v>3574</v>
      </c>
      <c r="I51" s="3820">
        <v>201676</v>
      </c>
      <c r="J51" s="3820">
        <v>98996.57</v>
      </c>
      <c r="K51" s="3820" t="s">
        <v>3573</v>
      </c>
      <c r="L51" s="3820">
        <v>185000</v>
      </c>
      <c r="M51" s="3821">
        <v>41929.000497685185</v>
      </c>
      <c r="N51" s="3820">
        <v>259000</v>
      </c>
      <c r="O51" s="3820">
        <v>12842</v>
      </c>
      <c r="P51" s="3820">
        <v>0.4</v>
      </c>
      <c r="Q51" s="3820" t="s">
        <v>3572</v>
      </c>
      <c r="R51" s="3820">
        <v>56000</v>
      </c>
    </row>
    <row r="52" spans="1:18">
      <c r="A52" s="3820"/>
      <c r="B52" s="3820" t="s">
        <v>3571</v>
      </c>
      <c r="C52" s="3820" t="s">
        <v>3570</v>
      </c>
      <c r="D52" s="3820" t="s">
        <v>3424</v>
      </c>
      <c r="E52" s="3820" t="s">
        <v>3423</v>
      </c>
      <c r="F52" s="3820" t="s">
        <v>3422</v>
      </c>
      <c r="G52" s="3820">
        <v>1.3</v>
      </c>
      <c r="H52" s="3820" t="s">
        <v>3523</v>
      </c>
      <c r="I52" s="3820">
        <v>151706</v>
      </c>
      <c r="J52" s="3820">
        <v>116645.8</v>
      </c>
      <c r="K52" s="3820" t="s">
        <v>3569</v>
      </c>
      <c r="L52" s="3820">
        <v>330000</v>
      </c>
      <c r="M52" s="3821">
        <v>41910.000497685185</v>
      </c>
      <c r="N52" s="3820">
        <v>491700</v>
      </c>
      <c r="O52" s="3820">
        <v>32411</v>
      </c>
      <c r="P52" s="3820">
        <v>0.49</v>
      </c>
      <c r="Q52" s="3820" t="s">
        <v>3568</v>
      </c>
      <c r="R52" s="3820">
        <v>100000</v>
      </c>
    </row>
    <row r="53" spans="1:18">
      <c r="A53" s="3820"/>
      <c r="B53" s="3820" t="s">
        <v>3567</v>
      </c>
      <c r="C53" s="3820" t="s">
        <v>3566</v>
      </c>
      <c r="D53" s="3820" t="s">
        <v>3424</v>
      </c>
      <c r="E53" s="3820" t="s">
        <v>3423</v>
      </c>
      <c r="F53" s="3820" t="s">
        <v>3422</v>
      </c>
      <c r="G53" s="3820">
        <v>2.63</v>
      </c>
      <c r="H53" s="3820" t="s">
        <v>3508</v>
      </c>
      <c r="I53" s="3820">
        <v>100690</v>
      </c>
      <c r="J53" s="3820">
        <v>38317.980000000003</v>
      </c>
      <c r="K53" s="3820" t="s">
        <v>3565</v>
      </c>
      <c r="L53" s="3820">
        <v>158000</v>
      </c>
      <c r="M53" s="3821">
        <v>41837.000497685185</v>
      </c>
      <c r="N53" s="3820">
        <v>158000</v>
      </c>
      <c r="O53" s="3820">
        <v>15692</v>
      </c>
      <c r="P53" s="3820">
        <v>0</v>
      </c>
      <c r="Q53" s="3820" t="s">
        <v>3564</v>
      </c>
      <c r="R53" s="3820">
        <v>48000</v>
      </c>
    </row>
    <row r="54" spans="1:18">
      <c r="A54" s="3820"/>
      <c r="B54" s="3820" t="s">
        <v>3563</v>
      </c>
      <c r="C54" s="3820" t="s">
        <v>3562</v>
      </c>
      <c r="D54" s="3820" t="s">
        <v>3431</v>
      </c>
      <c r="E54" s="3820" t="s">
        <v>3423</v>
      </c>
      <c r="F54" s="3820" t="s">
        <v>3422</v>
      </c>
      <c r="G54" s="3820">
        <v>2</v>
      </c>
      <c r="H54" s="3820" t="s">
        <v>3561</v>
      </c>
      <c r="I54" s="3820">
        <v>174324</v>
      </c>
      <c r="J54" s="3820">
        <v>87175.06</v>
      </c>
      <c r="K54" s="3820" t="s">
        <v>3557</v>
      </c>
      <c r="L54" s="3820">
        <v>255000</v>
      </c>
      <c r="M54" s="3821">
        <v>41747.000497685185</v>
      </c>
      <c r="N54" s="3820">
        <v>357000</v>
      </c>
      <c r="O54" s="3820">
        <v>20479</v>
      </c>
      <c r="P54" s="3820">
        <v>0.4</v>
      </c>
      <c r="Q54" s="3820" t="s">
        <v>3560</v>
      </c>
      <c r="R54" s="3820">
        <v>77000</v>
      </c>
    </row>
    <row r="55" spans="1:18">
      <c r="A55" s="3820"/>
      <c r="B55" s="3820" t="s">
        <v>3559</v>
      </c>
      <c r="C55" s="3820" t="s">
        <v>3558</v>
      </c>
      <c r="D55" s="3820" t="s">
        <v>3431</v>
      </c>
      <c r="E55" s="3820" t="s">
        <v>3423</v>
      </c>
      <c r="F55" s="3820" t="s">
        <v>3422</v>
      </c>
      <c r="G55" s="3820">
        <v>2.5</v>
      </c>
      <c r="H55" s="3820" t="s">
        <v>3513</v>
      </c>
      <c r="I55" s="3820">
        <v>193512</v>
      </c>
      <c r="J55" s="3820">
        <v>77404.94</v>
      </c>
      <c r="K55" s="3820" t="s">
        <v>3557</v>
      </c>
      <c r="L55" s="3820">
        <v>213000</v>
      </c>
      <c r="M55" s="3821">
        <v>41747.000497685185</v>
      </c>
      <c r="N55" s="3820">
        <v>217400</v>
      </c>
      <c r="O55" s="3820">
        <v>11234</v>
      </c>
      <c r="P55" s="3820">
        <v>2.07E-2</v>
      </c>
      <c r="Q55" s="3820" t="s">
        <v>3556</v>
      </c>
      <c r="R55" s="3820">
        <v>64000</v>
      </c>
    </row>
    <row r="56" spans="1:18">
      <c r="A56" s="3820"/>
      <c r="B56" s="3820" t="s">
        <v>3555</v>
      </c>
      <c r="C56" s="3820" t="s">
        <v>3554</v>
      </c>
      <c r="D56" s="3820" t="s">
        <v>3431</v>
      </c>
      <c r="E56" s="3820" t="s">
        <v>3423</v>
      </c>
      <c r="F56" s="3820" t="s">
        <v>3422</v>
      </c>
      <c r="G56" s="3820">
        <v>3.41</v>
      </c>
      <c r="H56" s="3820" t="s">
        <v>3553</v>
      </c>
      <c r="I56" s="3820">
        <v>347272</v>
      </c>
      <c r="J56" s="3820">
        <v>101831.3</v>
      </c>
      <c r="K56" s="3820" t="s">
        <v>3552</v>
      </c>
      <c r="L56" s="3820" t="s">
        <v>3439</v>
      </c>
      <c r="M56" s="3821">
        <v>41627.000497685185</v>
      </c>
      <c r="N56" s="3820">
        <v>586600</v>
      </c>
      <c r="O56" s="3820">
        <v>16892</v>
      </c>
      <c r="P56" s="3820">
        <v>0</v>
      </c>
      <c r="Q56" s="3820" t="s">
        <v>3551</v>
      </c>
      <c r="R56" s="3820">
        <v>100000</v>
      </c>
    </row>
    <row r="57" spans="1:18">
      <c r="A57" s="3820"/>
      <c r="B57" s="3820" t="s">
        <v>3550</v>
      </c>
      <c r="C57" s="3820" t="s">
        <v>3549</v>
      </c>
      <c r="D57" s="3820" t="s">
        <v>3431</v>
      </c>
      <c r="E57" s="3820" t="s">
        <v>3423</v>
      </c>
      <c r="F57" s="3820" t="s">
        <v>3422</v>
      </c>
      <c r="G57" s="3820">
        <v>3.42</v>
      </c>
      <c r="H57" s="3820" t="s">
        <v>3548</v>
      </c>
      <c r="I57" s="3820">
        <v>201697</v>
      </c>
      <c r="J57" s="3820">
        <v>58900.84</v>
      </c>
      <c r="K57" s="3820" t="s">
        <v>3547</v>
      </c>
      <c r="L57" s="3820" t="s">
        <v>3439</v>
      </c>
      <c r="M57" s="3821">
        <v>41599.000497685185</v>
      </c>
      <c r="N57" s="3820">
        <v>230000</v>
      </c>
      <c r="O57" s="3820">
        <v>11403</v>
      </c>
      <c r="P57" s="3820">
        <v>0</v>
      </c>
      <c r="Q57" s="3820" t="s">
        <v>3546</v>
      </c>
      <c r="R57" s="3820">
        <v>40000</v>
      </c>
    </row>
    <row r="58" spans="1:18">
      <c r="A58" s="3820"/>
      <c r="B58" s="3820" t="s">
        <v>3545</v>
      </c>
      <c r="C58" s="3820" t="s">
        <v>3544</v>
      </c>
      <c r="D58" s="3820" t="s">
        <v>3424</v>
      </c>
      <c r="E58" s="3820" t="s">
        <v>3423</v>
      </c>
      <c r="F58" s="3820" t="s">
        <v>3422</v>
      </c>
      <c r="G58" s="3820" t="s">
        <v>3543</v>
      </c>
      <c r="H58" s="3820" t="s">
        <v>3542</v>
      </c>
      <c r="I58" s="3820">
        <v>355890</v>
      </c>
      <c r="J58" s="3820">
        <v>111501</v>
      </c>
      <c r="K58" s="3820" t="s">
        <v>3536</v>
      </c>
      <c r="L58" s="3820" t="s">
        <v>3439</v>
      </c>
      <c r="M58" s="3821">
        <v>41470.000497685185</v>
      </c>
      <c r="N58" s="3820">
        <v>381201</v>
      </c>
      <c r="O58" s="3820">
        <v>10711</v>
      </c>
      <c r="P58" s="3820">
        <v>0</v>
      </c>
      <c r="Q58" s="3820" t="s">
        <v>3541</v>
      </c>
      <c r="R58" s="3820">
        <v>86000</v>
      </c>
    </row>
    <row r="59" spans="1:18">
      <c r="A59" s="3820"/>
      <c r="B59" s="3820" t="s">
        <v>3540</v>
      </c>
      <c r="C59" s="3820" t="s">
        <v>3539</v>
      </c>
      <c r="D59" s="3820" t="s">
        <v>3424</v>
      </c>
      <c r="E59" s="3820" t="s">
        <v>3423</v>
      </c>
      <c r="F59" s="3820" t="s">
        <v>3422</v>
      </c>
      <c r="G59" s="3820" t="s">
        <v>3538</v>
      </c>
      <c r="H59" s="3820" t="s">
        <v>3537</v>
      </c>
      <c r="I59" s="3820">
        <v>318121</v>
      </c>
      <c r="J59" s="3820">
        <v>103357</v>
      </c>
      <c r="K59" s="3820" t="s">
        <v>3536</v>
      </c>
      <c r="L59" s="3820" t="s">
        <v>3439</v>
      </c>
      <c r="M59" s="3821">
        <v>41470.000497685185</v>
      </c>
      <c r="N59" s="3820">
        <v>330000</v>
      </c>
      <c r="O59" s="3820">
        <v>10373</v>
      </c>
      <c r="P59" s="3820">
        <v>0</v>
      </c>
      <c r="Q59" s="3820" t="s">
        <v>3535</v>
      </c>
      <c r="R59" s="3820">
        <v>60600</v>
      </c>
    </row>
    <row r="60" spans="1:18">
      <c r="A60" s="3820"/>
      <c r="B60" s="3820" t="s">
        <v>3534</v>
      </c>
      <c r="C60" s="3820" t="s">
        <v>3533</v>
      </c>
      <c r="D60" s="3820" t="s">
        <v>3431</v>
      </c>
      <c r="E60" s="3820" t="s">
        <v>3423</v>
      </c>
      <c r="F60" s="3820" t="s">
        <v>3422</v>
      </c>
      <c r="G60" s="3820">
        <v>1.1599999999999999</v>
      </c>
      <c r="H60" s="3820" t="s">
        <v>3532</v>
      </c>
      <c r="I60" s="3820">
        <v>176477</v>
      </c>
      <c r="J60" s="3820">
        <v>152185</v>
      </c>
      <c r="K60" s="3820" t="s">
        <v>3531</v>
      </c>
      <c r="L60" s="3820" t="s">
        <v>3439</v>
      </c>
      <c r="M60" s="3821">
        <v>41312.000497685185</v>
      </c>
      <c r="N60" s="3820">
        <v>190000</v>
      </c>
      <c r="O60" s="3820">
        <v>10766</v>
      </c>
      <c r="P60" s="3820">
        <v>0</v>
      </c>
      <c r="Q60" s="3820" t="s">
        <v>3526</v>
      </c>
      <c r="R60" s="3820">
        <v>40000</v>
      </c>
    </row>
    <row r="61" spans="1:18">
      <c r="A61" s="3820"/>
      <c r="B61" s="3820" t="s">
        <v>3530</v>
      </c>
      <c r="C61" s="3820" t="s">
        <v>3529</v>
      </c>
      <c r="D61" s="3820" t="s">
        <v>3431</v>
      </c>
      <c r="E61" s="3820" t="s">
        <v>3423</v>
      </c>
      <c r="F61" s="3820" t="s">
        <v>3422</v>
      </c>
      <c r="G61" s="3820">
        <v>1.1499999999999999</v>
      </c>
      <c r="H61" s="3820" t="s">
        <v>3528</v>
      </c>
      <c r="I61" s="3820">
        <v>162583</v>
      </c>
      <c r="J61" s="3820">
        <v>141791</v>
      </c>
      <c r="K61" s="3820" t="s">
        <v>3527</v>
      </c>
      <c r="L61" s="3820" t="s">
        <v>3439</v>
      </c>
      <c r="M61" s="3821">
        <v>41309.000497685185</v>
      </c>
      <c r="N61" s="3820">
        <v>213000</v>
      </c>
      <c r="O61" s="3820">
        <v>13101</v>
      </c>
      <c r="P61" s="3820">
        <v>0</v>
      </c>
      <c r="Q61" s="3820" t="s">
        <v>3526</v>
      </c>
      <c r="R61" s="3820">
        <v>40000</v>
      </c>
    </row>
    <row r="62" spans="1:18">
      <c r="A62" s="3820"/>
      <c r="B62" s="3820" t="s">
        <v>3525</v>
      </c>
      <c r="C62" s="3820" t="s">
        <v>3524</v>
      </c>
      <c r="D62" s="3820" t="s">
        <v>3424</v>
      </c>
      <c r="E62" s="3820" t="s">
        <v>3423</v>
      </c>
      <c r="F62" s="3820" t="s">
        <v>3422</v>
      </c>
      <c r="G62" s="3820">
        <v>2.5099999999999998</v>
      </c>
      <c r="H62" s="3820" t="s">
        <v>3523</v>
      </c>
      <c r="I62" s="3820">
        <v>133701</v>
      </c>
      <c r="J62" s="3820">
        <v>38097.08</v>
      </c>
      <c r="K62" s="3820" t="s">
        <v>3522</v>
      </c>
      <c r="L62" s="3820" t="s">
        <v>3439</v>
      </c>
      <c r="M62" s="3821">
        <v>41284.000497685185</v>
      </c>
      <c r="N62" s="3820">
        <v>201800</v>
      </c>
      <c r="O62" s="3820">
        <v>15093</v>
      </c>
      <c r="P62" s="3820">
        <v>0</v>
      </c>
      <c r="Q62" s="3820" t="s">
        <v>3521</v>
      </c>
      <c r="R62" s="3820">
        <v>60000</v>
      </c>
    </row>
    <row r="63" spans="1:18">
      <c r="A63" s="3820"/>
      <c r="B63" s="3820" t="s">
        <v>3520</v>
      </c>
      <c r="C63" s="3820" t="s">
        <v>3519</v>
      </c>
      <c r="D63" s="3820" t="s">
        <v>3431</v>
      </c>
      <c r="E63" s="3820" t="s">
        <v>3430</v>
      </c>
      <c r="F63" s="3820" t="s">
        <v>3422</v>
      </c>
      <c r="G63" s="3820">
        <v>1.76</v>
      </c>
      <c r="H63" s="3820" t="s">
        <v>3518</v>
      </c>
      <c r="I63" s="3820">
        <v>75938</v>
      </c>
      <c r="J63" s="3820">
        <v>43058.39</v>
      </c>
      <c r="K63" s="3820" t="s">
        <v>3517</v>
      </c>
      <c r="L63" s="3820">
        <v>23000</v>
      </c>
      <c r="M63" s="3821">
        <v>41214.000497685185</v>
      </c>
      <c r="N63" s="3820">
        <v>25000</v>
      </c>
      <c r="O63" s="3820">
        <v>3292</v>
      </c>
      <c r="P63" s="3820">
        <v>8.6999999999999994E-2</v>
      </c>
      <c r="Q63" s="3820" t="s">
        <v>3516</v>
      </c>
      <c r="R63" s="3820">
        <v>7000</v>
      </c>
    </row>
    <row r="64" spans="1:18">
      <c r="A64" s="3820"/>
      <c r="B64" s="3820" t="s">
        <v>3515</v>
      </c>
      <c r="C64" s="3820" t="s">
        <v>3514</v>
      </c>
      <c r="D64" s="3820" t="s">
        <v>3431</v>
      </c>
      <c r="E64" s="3820" t="s">
        <v>3430</v>
      </c>
      <c r="F64" s="3820" t="s">
        <v>3422</v>
      </c>
      <c r="G64" s="3820">
        <v>3.5</v>
      </c>
      <c r="H64" s="3820" t="s">
        <v>3513</v>
      </c>
      <c r="I64" s="3820">
        <v>41836</v>
      </c>
      <c r="J64" s="3820">
        <v>11953</v>
      </c>
      <c r="K64" s="3820" t="s">
        <v>3512</v>
      </c>
      <c r="L64" s="3820">
        <v>18585</v>
      </c>
      <c r="M64" s="3821">
        <v>41078.000497685185</v>
      </c>
      <c r="N64" s="3820">
        <v>27850</v>
      </c>
      <c r="O64" s="3820">
        <v>6657</v>
      </c>
      <c r="P64" s="3820">
        <v>0.4985</v>
      </c>
      <c r="Q64" s="3820" t="s">
        <v>3511</v>
      </c>
      <c r="R64" s="3820">
        <v>5600</v>
      </c>
    </row>
    <row r="65" spans="1:18">
      <c r="A65" s="3820"/>
      <c r="B65" s="3820" t="s">
        <v>3510</v>
      </c>
      <c r="C65" s="3820" t="s">
        <v>3509</v>
      </c>
      <c r="D65" s="3820" t="s">
        <v>3431</v>
      </c>
      <c r="E65" s="3820" t="s">
        <v>3430</v>
      </c>
      <c r="F65" s="3820" t="s">
        <v>3422</v>
      </c>
      <c r="G65" s="3820">
        <v>2.82</v>
      </c>
      <c r="H65" s="3820" t="s">
        <v>3508</v>
      </c>
      <c r="I65" s="3820">
        <v>139213</v>
      </c>
      <c r="J65" s="3820">
        <v>49372.44</v>
      </c>
      <c r="K65" s="3820" t="s">
        <v>3507</v>
      </c>
      <c r="L65" s="3820">
        <v>110100</v>
      </c>
      <c r="M65" s="3821">
        <v>40906.000497685185</v>
      </c>
      <c r="N65" s="3820">
        <v>110100</v>
      </c>
      <c r="O65" s="3820">
        <v>7909</v>
      </c>
      <c r="P65" s="3820">
        <v>0</v>
      </c>
      <c r="Q65" s="3820" t="s">
        <v>3506</v>
      </c>
      <c r="R65" s="3820">
        <v>33000</v>
      </c>
    </row>
    <row r="66" spans="1:18">
      <c r="A66" s="3820"/>
      <c r="B66" s="3820" t="s">
        <v>3505</v>
      </c>
      <c r="C66" s="3820" t="s">
        <v>3504</v>
      </c>
      <c r="D66" s="3820" t="s">
        <v>3431</v>
      </c>
      <c r="E66" s="3820" t="s">
        <v>3430</v>
      </c>
      <c r="F66" s="3820" t="s">
        <v>3422</v>
      </c>
      <c r="G66" s="3820">
        <v>2.7</v>
      </c>
      <c r="H66" s="3820" t="s">
        <v>3503</v>
      </c>
      <c r="I66" s="3820">
        <v>379975</v>
      </c>
      <c r="J66" s="3820">
        <v>140362</v>
      </c>
      <c r="K66" s="3820" t="s">
        <v>3502</v>
      </c>
      <c r="L66" s="3820">
        <v>222285</v>
      </c>
      <c r="M66" s="3821">
        <v>40807.000497685185</v>
      </c>
      <c r="N66" s="3820">
        <v>222285</v>
      </c>
      <c r="O66" s="3820">
        <v>5850</v>
      </c>
      <c r="P66" s="3820">
        <v>0</v>
      </c>
      <c r="Q66" s="3820" t="s">
        <v>3501</v>
      </c>
      <c r="R66" s="3820">
        <v>46000</v>
      </c>
    </row>
    <row r="67" spans="1:18">
      <c r="A67" s="3820"/>
      <c r="B67" s="3820" t="s">
        <v>3500</v>
      </c>
      <c r="C67" s="3820" t="s">
        <v>3499</v>
      </c>
      <c r="D67" s="3820" t="s">
        <v>3431</v>
      </c>
      <c r="E67" s="3820" t="s">
        <v>3423</v>
      </c>
      <c r="F67" s="3820" t="s">
        <v>3422</v>
      </c>
      <c r="G67" s="3820">
        <v>2.83</v>
      </c>
      <c r="H67" s="3820" t="s">
        <v>3498</v>
      </c>
      <c r="I67" s="3820">
        <v>207452</v>
      </c>
      <c r="J67" s="3820">
        <v>73188</v>
      </c>
      <c r="K67" s="3820" t="s">
        <v>3497</v>
      </c>
      <c r="L67" s="3820">
        <v>105000</v>
      </c>
      <c r="M67" s="3821">
        <v>40707.000497685185</v>
      </c>
      <c r="N67" s="3820">
        <v>115800</v>
      </c>
      <c r="O67" s="3820">
        <v>5582</v>
      </c>
      <c r="P67" s="3820">
        <v>0.10289999999999999</v>
      </c>
      <c r="Q67" s="3820" t="s">
        <v>3496</v>
      </c>
      <c r="R67" s="3820">
        <v>20000</v>
      </c>
    </row>
    <row r="68" spans="1:18">
      <c r="A68" s="3820"/>
      <c r="B68" s="3820" t="s">
        <v>3495</v>
      </c>
      <c r="C68" s="3820" t="s">
        <v>3494</v>
      </c>
      <c r="D68" s="3820" t="s">
        <v>3424</v>
      </c>
      <c r="E68" s="3820" t="s">
        <v>3430</v>
      </c>
      <c r="F68" s="3820" t="s">
        <v>3422</v>
      </c>
      <c r="G68" s="3820">
        <v>1.5</v>
      </c>
      <c r="H68" s="3820" t="s">
        <v>3493</v>
      </c>
      <c r="I68" s="3820">
        <v>35400</v>
      </c>
      <c r="J68" s="3820">
        <v>23600</v>
      </c>
      <c r="K68" s="3820" t="s">
        <v>3492</v>
      </c>
      <c r="L68" s="3820">
        <v>14400</v>
      </c>
      <c r="M68" s="3821">
        <v>40409.000497685185</v>
      </c>
      <c r="N68" s="3820">
        <v>25000</v>
      </c>
      <c r="O68" s="3820">
        <v>7062</v>
      </c>
      <c r="P68" s="3820">
        <v>0.73609999999999998</v>
      </c>
      <c r="Q68" s="3820" t="s">
        <v>3491</v>
      </c>
      <c r="R68" s="3820">
        <v>4300</v>
      </c>
    </row>
    <row r="69" spans="1:18">
      <c r="A69" s="3820"/>
      <c r="B69" s="3820" t="s">
        <v>3490</v>
      </c>
      <c r="C69" s="3820" t="s">
        <v>3489</v>
      </c>
      <c r="D69" s="3820" t="s">
        <v>3431</v>
      </c>
      <c r="E69" s="3820" t="s">
        <v>3423</v>
      </c>
      <c r="F69" s="3820" t="s">
        <v>3422</v>
      </c>
      <c r="G69" s="3820">
        <v>2.5</v>
      </c>
      <c r="H69" s="3820" t="s">
        <v>3488</v>
      </c>
      <c r="I69" s="3820">
        <v>86105.600000000006</v>
      </c>
      <c r="J69" s="3820">
        <v>34442.239999999998</v>
      </c>
      <c r="K69" s="3820" t="s">
        <v>3487</v>
      </c>
      <c r="L69" s="3820" t="s">
        <v>3439</v>
      </c>
      <c r="M69" s="3821">
        <v>40177.000497685185</v>
      </c>
      <c r="N69" s="3820">
        <v>80200</v>
      </c>
      <c r="O69" s="3820">
        <v>9314</v>
      </c>
      <c r="P69" s="3820">
        <v>0</v>
      </c>
      <c r="Q69" s="3820" t="s">
        <v>3486</v>
      </c>
      <c r="R69" s="3820">
        <v>1200</v>
      </c>
    </row>
    <row r="70" spans="1:18">
      <c r="A70" s="3820"/>
      <c r="B70" s="3820" t="s">
        <v>3485</v>
      </c>
      <c r="C70" s="3820" t="s">
        <v>3484</v>
      </c>
      <c r="D70" s="3820" t="s">
        <v>3424</v>
      </c>
      <c r="E70" s="3820" t="s">
        <v>3423</v>
      </c>
      <c r="F70" s="3820" t="s">
        <v>3422</v>
      </c>
      <c r="G70" s="3820">
        <v>3.4</v>
      </c>
      <c r="H70" s="3820" t="s">
        <v>3476</v>
      </c>
      <c r="I70" s="3820">
        <v>140578.5</v>
      </c>
      <c r="J70" s="3820">
        <v>40985</v>
      </c>
      <c r="K70" s="3820" t="s">
        <v>3483</v>
      </c>
      <c r="L70" s="3820">
        <v>73775</v>
      </c>
      <c r="M70" s="3821">
        <v>40000.000497685185</v>
      </c>
      <c r="N70" s="3820">
        <v>74825</v>
      </c>
      <c r="O70" s="3820">
        <v>5323</v>
      </c>
      <c r="P70" s="3820">
        <v>1.4199999999999999E-2</v>
      </c>
      <c r="Q70" s="3820" t="s">
        <v>3463</v>
      </c>
      <c r="R70" s="3820" t="s">
        <v>3418</v>
      </c>
    </row>
    <row r="71" spans="1:18">
      <c r="A71" s="3820"/>
      <c r="B71" s="3820" t="s">
        <v>3482</v>
      </c>
      <c r="C71" s="3820" t="s">
        <v>3481</v>
      </c>
      <c r="D71" s="3820" t="s">
        <v>3424</v>
      </c>
      <c r="E71" s="3820" t="s">
        <v>3423</v>
      </c>
      <c r="F71" s="3820" t="s">
        <v>3422</v>
      </c>
      <c r="G71" s="3820">
        <v>2.5</v>
      </c>
      <c r="H71" s="3820" t="s">
        <v>3476</v>
      </c>
      <c r="I71" s="3820">
        <v>21331.07</v>
      </c>
      <c r="J71" s="3820">
        <v>8532.43</v>
      </c>
      <c r="K71" s="3820" t="s">
        <v>3480</v>
      </c>
      <c r="L71" s="3820">
        <v>8160</v>
      </c>
      <c r="M71" s="3821">
        <v>39945.000497685185</v>
      </c>
      <c r="N71" s="3820">
        <v>8260</v>
      </c>
      <c r="O71" s="3820">
        <v>3872</v>
      </c>
      <c r="P71" s="3820">
        <v>1.23E-2</v>
      </c>
      <c r="Q71" s="3820" t="s">
        <v>3479</v>
      </c>
      <c r="R71" s="3820" t="s">
        <v>3418</v>
      </c>
    </row>
    <row r="72" spans="1:18">
      <c r="A72" s="3820"/>
      <c r="B72" s="3820" t="s">
        <v>3478</v>
      </c>
      <c r="C72" s="3820" t="s">
        <v>3477</v>
      </c>
      <c r="D72" s="3820" t="s">
        <v>3424</v>
      </c>
      <c r="E72" s="3820" t="s">
        <v>3423</v>
      </c>
      <c r="F72" s="3820" t="s">
        <v>3422</v>
      </c>
      <c r="G72" s="3820">
        <v>2</v>
      </c>
      <c r="H72" s="3820" t="s">
        <v>3476</v>
      </c>
      <c r="I72" s="3820">
        <v>25125</v>
      </c>
      <c r="J72" s="3820">
        <v>12305.81</v>
      </c>
      <c r="K72" s="3820" t="s">
        <v>3475</v>
      </c>
      <c r="L72" s="3820" t="s">
        <v>3439</v>
      </c>
      <c r="M72" s="3821">
        <v>39878.000497685185</v>
      </c>
      <c r="N72" s="3820">
        <v>5373</v>
      </c>
      <c r="O72" s="3820">
        <v>2139</v>
      </c>
      <c r="P72" s="3820">
        <v>0</v>
      </c>
      <c r="Q72" s="3820" t="s">
        <v>3474</v>
      </c>
      <c r="R72" s="3820">
        <v>500</v>
      </c>
    </row>
    <row r="73" spans="1:18">
      <c r="A73" s="3820"/>
      <c r="B73" s="3820" t="s">
        <v>3473</v>
      </c>
      <c r="C73" s="3820" t="s">
        <v>3472</v>
      </c>
      <c r="D73" s="3820" t="s">
        <v>3424</v>
      </c>
      <c r="E73" s="3820" t="s">
        <v>3423</v>
      </c>
      <c r="F73" s="3820" t="s">
        <v>3422</v>
      </c>
      <c r="G73" s="3820" t="s">
        <v>3471</v>
      </c>
      <c r="H73" s="3820" t="s">
        <v>3470</v>
      </c>
      <c r="I73" s="3820">
        <v>350742.3</v>
      </c>
      <c r="J73" s="3820">
        <v>137589</v>
      </c>
      <c r="K73" s="3820" t="s">
        <v>3469</v>
      </c>
      <c r="L73" s="3820" t="s">
        <v>3439</v>
      </c>
      <c r="M73" s="3821">
        <v>39735.000497685185</v>
      </c>
      <c r="N73" s="3820">
        <v>122500</v>
      </c>
      <c r="O73" s="3820">
        <v>3493</v>
      </c>
      <c r="P73" s="3820">
        <v>0</v>
      </c>
      <c r="Q73" s="3820" t="s">
        <v>3468</v>
      </c>
      <c r="R73" s="3820">
        <v>16000</v>
      </c>
    </row>
    <row r="74" spans="1:18">
      <c r="A74" s="3820"/>
      <c r="B74" s="3820" t="s">
        <v>3467</v>
      </c>
      <c r="C74" s="3820" t="s">
        <v>3466</v>
      </c>
      <c r="D74" s="3820" t="s">
        <v>3424</v>
      </c>
      <c r="E74" s="3820" t="s">
        <v>3423</v>
      </c>
      <c r="F74" s="3820" t="s">
        <v>3422</v>
      </c>
      <c r="G74" s="3820">
        <v>3</v>
      </c>
      <c r="H74" s="3820" t="s">
        <v>3465</v>
      </c>
      <c r="I74" s="3820">
        <v>310050</v>
      </c>
      <c r="J74" s="3820">
        <v>105663.2</v>
      </c>
      <c r="K74" s="3820" t="s">
        <v>3464</v>
      </c>
      <c r="L74" s="3820">
        <v>157800</v>
      </c>
      <c r="M74" s="3821">
        <v>39464.000497685185</v>
      </c>
      <c r="N74" s="3820">
        <v>165000</v>
      </c>
      <c r="O74" s="3820">
        <v>5322</v>
      </c>
      <c r="P74" s="3820">
        <v>4.5599999999999995E-2</v>
      </c>
      <c r="Q74" s="3820" t="s">
        <v>3463</v>
      </c>
      <c r="R74" s="3820">
        <v>25000</v>
      </c>
    </row>
    <row r="75" spans="1:18">
      <c r="A75" s="3820"/>
      <c r="B75" s="3820" t="s">
        <v>3462</v>
      </c>
      <c r="C75" s="3820" t="s">
        <v>3461</v>
      </c>
      <c r="D75" s="3820" t="s">
        <v>3431</v>
      </c>
      <c r="E75" s="3820" t="s">
        <v>3430</v>
      </c>
      <c r="F75" s="3820" t="s">
        <v>3422</v>
      </c>
      <c r="G75" s="3820">
        <v>1.4</v>
      </c>
      <c r="H75" s="3820" t="s">
        <v>3446</v>
      </c>
      <c r="I75" s="3820">
        <v>286120.8</v>
      </c>
      <c r="J75" s="3820">
        <v>201496.2</v>
      </c>
      <c r="K75" s="3820" t="s">
        <v>3460</v>
      </c>
      <c r="L75" s="3820">
        <v>44332.17</v>
      </c>
      <c r="M75" s="3821">
        <v>39433.000497685185</v>
      </c>
      <c r="N75" s="3820">
        <v>150000</v>
      </c>
      <c r="O75" s="3820">
        <v>5243</v>
      </c>
      <c r="P75" s="3820">
        <v>2.3834999999999997</v>
      </c>
      <c r="Q75" s="3820" t="s">
        <v>3459</v>
      </c>
      <c r="R75" s="3820">
        <v>4500</v>
      </c>
    </row>
    <row r="76" spans="1:18">
      <c r="A76" s="3820"/>
      <c r="B76" s="3820" t="s">
        <v>3458</v>
      </c>
      <c r="C76" s="3820" t="s">
        <v>3457</v>
      </c>
      <c r="D76" s="3820" t="s">
        <v>3424</v>
      </c>
      <c r="E76" s="3820" t="s">
        <v>3430</v>
      </c>
      <c r="F76" s="3820" t="s">
        <v>3422</v>
      </c>
      <c r="G76" s="3820">
        <v>5</v>
      </c>
      <c r="H76" s="3820" t="s">
        <v>3456</v>
      </c>
      <c r="I76" s="3820">
        <v>52545</v>
      </c>
      <c r="J76" s="3820">
        <v>10468.299999999999</v>
      </c>
      <c r="K76" s="3820" t="s">
        <v>3455</v>
      </c>
      <c r="L76" s="3820">
        <v>18300</v>
      </c>
      <c r="M76" s="3821">
        <v>39231.000497685185</v>
      </c>
      <c r="N76" s="3820">
        <v>22841</v>
      </c>
      <c r="O76" s="3820">
        <v>4347</v>
      </c>
      <c r="P76" s="3820">
        <v>0.24809999999999999</v>
      </c>
      <c r="Q76" s="3820" t="s">
        <v>3454</v>
      </c>
      <c r="R76" s="3820">
        <v>2000</v>
      </c>
    </row>
    <row r="77" spans="1:18">
      <c r="A77" s="3820"/>
      <c r="B77" s="3820" t="s">
        <v>3453</v>
      </c>
      <c r="C77" s="3820" t="s">
        <v>3452</v>
      </c>
      <c r="D77" s="3820" t="s">
        <v>3424</v>
      </c>
      <c r="E77" s="3820" t="s">
        <v>3423</v>
      </c>
      <c r="F77" s="3820" t="s">
        <v>3422</v>
      </c>
      <c r="G77" s="3820">
        <v>2.27</v>
      </c>
      <c r="H77" s="3820" t="s">
        <v>3451</v>
      </c>
      <c r="I77" s="3820">
        <v>427200</v>
      </c>
      <c r="J77" s="3820">
        <v>188130.1</v>
      </c>
      <c r="K77" s="3820" t="s">
        <v>3450</v>
      </c>
      <c r="L77" s="3820">
        <v>106400</v>
      </c>
      <c r="M77" s="3821">
        <v>39220.000497685185</v>
      </c>
      <c r="N77" s="3820">
        <v>124800</v>
      </c>
      <c r="O77" s="3820">
        <v>2921</v>
      </c>
      <c r="P77" s="3820">
        <v>0.1729</v>
      </c>
      <c r="Q77" s="3820" t="s">
        <v>3449</v>
      </c>
      <c r="R77" s="3820">
        <v>12000</v>
      </c>
    </row>
    <row r="78" spans="1:18">
      <c r="A78" s="3820"/>
      <c r="B78" s="3820" t="s">
        <v>3448</v>
      </c>
      <c r="C78" s="3820" t="s">
        <v>3447</v>
      </c>
      <c r="D78" s="3820" t="s">
        <v>3431</v>
      </c>
      <c r="E78" s="3820" t="s">
        <v>3430</v>
      </c>
      <c r="F78" s="3820" t="s">
        <v>3422</v>
      </c>
      <c r="G78" s="3820">
        <v>2.5</v>
      </c>
      <c r="H78" s="3820" t="s">
        <v>3446</v>
      </c>
      <c r="I78" s="3820">
        <v>13553.4</v>
      </c>
      <c r="J78" s="3820">
        <v>5421.36</v>
      </c>
      <c r="K78" s="3820" t="s">
        <v>3445</v>
      </c>
      <c r="L78" s="3820">
        <v>1608.18</v>
      </c>
      <c r="M78" s="3821">
        <v>39212.000497685185</v>
      </c>
      <c r="N78" s="3820">
        <v>1688.18</v>
      </c>
      <c r="O78" s="3820">
        <v>1246</v>
      </c>
      <c r="P78" s="3820">
        <v>4.9699999999999994E-2</v>
      </c>
      <c r="Q78" s="3820" t="s">
        <v>3444</v>
      </c>
      <c r="R78" s="3820">
        <v>160</v>
      </c>
    </row>
    <row r="79" spans="1:18">
      <c r="A79" s="3820"/>
      <c r="B79" s="3820" t="s">
        <v>3443</v>
      </c>
      <c r="C79" s="3820" t="s">
        <v>3442</v>
      </c>
      <c r="D79" s="3820" t="s">
        <v>3424</v>
      </c>
      <c r="E79" s="3820" t="s">
        <v>3423</v>
      </c>
      <c r="F79" s="3820" t="s">
        <v>3422</v>
      </c>
      <c r="G79" s="3820">
        <v>3.33</v>
      </c>
      <c r="H79" s="3820" t="s">
        <v>3441</v>
      </c>
      <c r="I79" s="3820">
        <v>154834.6</v>
      </c>
      <c r="J79" s="3820">
        <v>46542</v>
      </c>
      <c r="K79" s="3820" t="s">
        <v>3440</v>
      </c>
      <c r="L79" s="3820" t="s">
        <v>3439</v>
      </c>
      <c r="M79" s="3821">
        <v>38827.000497685185</v>
      </c>
      <c r="N79" s="3820">
        <v>43732.08</v>
      </c>
      <c r="O79" s="3820">
        <v>2824</v>
      </c>
      <c r="P79" s="3820">
        <v>0</v>
      </c>
      <c r="Q79" s="3820" t="s">
        <v>3438</v>
      </c>
      <c r="R79" s="3820">
        <v>3800</v>
      </c>
    </row>
    <row r="80" spans="1:18">
      <c r="A80" s="3820"/>
      <c r="B80" s="3820" t="s">
        <v>3437</v>
      </c>
      <c r="C80" s="3820" t="s">
        <v>3436</v>
      </c>
      <c r="D80" s="3820" t="s">
        <v>3431</v>
      </c>
      <c r="E80" s="3820" t="s">
        <v>3430</v>
      </c>
      <c r="F80" s="3820" t="s">
        <v>3422</v>
      </c>
      <c r="G80" s="3820">
        <v>2.41</v>
      </c>
      <c r="H80" s="3820" t="s">
        <v>3429</v>
      </c>
      <c r="I80" s="3820">
        <v>5400</v>
      </c>
      <c r="J80" s="3820">
        <v>2243</v>
      </c>
      <c r="K80" s="3820" t="s">
        <v>3435</v>
      </c>
      <c r="L80" s="3820">
        <v>429</v>
      </c>
      <c r="M80" s="3821">
        <v>38175.000497685185</v>
      </c>
      <c r="N80" s="3820">
        <v>429</v>
      </c>
      <c r="O80" s="3820">
        <v>794</v>
      </c>
      <c r="P80" s="3820">
        <v>0</v>
      </c>
      <c r="Q80" s="3820" t="s">
        <v>3434</v>
      </c>
      <c r="R80" s="3820" t="s">
        <v>3418</v>
      </c>
    </row>
    <row r="81" spans="1:18">
      <c r="A81" s="3820"/>
      <c r="B81" s="3820" t="s">
        <v>3433</v>
      </c>
      <c r="C81" s="3820" t="s">
        <v>3432</v>
      </c>
      <c r="D81" s="3820" t="s">
        <v>3431</v>
      </c>
      <c r="E81" s="3820" t="s">
        <v>3430</v>
      </c>
      <c r="F81" s="3820" t="s">
        <v>3422</v>
      </c>
      <c r="G81" s="3820">
        <v>2</v>
      </c>
      <c r="H81" s="3820" t="s">
        <v>3429</v>
      </c>
      <c r="I81" s="3820">
        <v>13414</v>
      </c>
      <c r="J81" s="3820">
        <v>6720</v>
      </c>
      <c r="K81" s="3820" t="s">
        <v>3428</v>
      </c>
      <c r="L81" s="3820">
        <v>630</v>
      </c>
      <c r="M81" s="3821">
        <v>37974.000497685185</v>
      </c>
      <c r="N81" s="3820">
        <v>630</v>
      </c>
      <c r="O81" s="3820">
        <v>470</v>
      </c>
      <c r="P81" s="3820">
        <v>0</v>
      </c>
      <c r="Q81" s="3820" t="s">
        <v>3427</v>
      </c>
      <c r="R81" s="3820" t="s">
        <v>3418</v>
      </c>
    </row>
    <row r="82" spans="1:18">
      <c r="A82" s="3820"/>
      <c r="B82" s="3820" t="s">
        <v>3426</v>
      </c>
      <c r="C82" s="3820" t="s">
        <v>3425</v>
      </c>
      <c r="D82" s="3820" t="s">
        <v>3424</v>
      </c>
      <c r="E82" s="3820" t="s">
        <v>3423</v>
      </c>
      <c r="F82" s="3820" t="s">
        <v>3422</v>
      </c>
      <c r="G82" s="3820">
        <v>1.6</v>
      </c>
      <c r="H82" s="3820" t="s">
        <v>3421</v>
      </c>
      <c r="I82" s="3820">
        <v>6300</v>
      </c>
      <c r="J82" s="3820">
        <v>5737</v>
      </c>
      <c r="K82" s="3820" t="s">
        <v>3420</v>
      </c>
      <c r="L82" s="3820">
        <v>1232.9100000000001</v>
      </c>
      <c r="M82" s="3821">
        <v>37965.000497685185</v>
      </c>
      <c r="N82" s="3820">
        <v>1810</v>
      </c>
      <c r="O82" s="3820">
        <v>2873</v>
      </c>
      <c r="P82" s="3820">
        <v>0.46810000000000002</v>
      </c>
      <c r="Q82" s="3820" t="s">
        <v>3419</v>
      </c>
      <c r="R82" s="3820" t="s">
        <v>3418</v>
      </c>
    </row>
  </sheetData>
  <mergeCells count="1476">
    <mergeCell ref="R2"/>
    <mergeCell ref="A1"/>
    <mergeCell ref="B1"/>
    <mergeCell ref="C1"/>
    <mergeCell ref="D1"/>
    <mergeCell ref="E1"/>
    <mergeCell ref="F1"/>
    <mergeCell ref="G1"/>
    <mergeCell ref="H1"/>
    <mergeCell ref="I1"/>
    <mergeCell ref="L2"/>
    <mergeCell ref="M2"/>
    <mergeCell ref="N2"/>
    <mergeCell ref="O2"/>
    <mergeCell ref="P2"/>
    <mergeCell ref="Q2"/>
    <mergeCell ref="F2"/>
    <mergeCell ref="G2"/>
    <mergeCell ref="H2"/>
    <mergeCell ref="I2"/>
    <mergeCell ref="J2"/>
    <mergeCell ref="K2"/>
    <mergeCell ref="N1"/>
    <mergeCell ref="O1"/>
    <mergeCell ref="P1"/>
    <mergeCell ref="Q1"/>
    <mergeCell ref="R1"/>
    <mergeCell ref="A2"/>
    <mergeCell ref="B2"/>
    <mergeCell ref="C2"/>
    <mergeCell ref="D2"/>
    <mergeCell ref="E2"/>
    <mergeCell ref="A4"/>
    <mergeCell ref="B4"/>
    <mergeCell ref="C4"/>
    <mergeCell ref="D4"/>
    <mergeCell ref="E4"/>
    <mergeCell ref="G3"/>
    <mergeCell ref="H3"/>
    <mergeCell ref="I3"/>
    <mergeCell ref="J3"/>
    <mergeCell ref="K3"/>
    <mergeCell ref="L3"/>
    <mergeCell ref="J1"/>
    <mergeCell ref="K1"/>
    <mergeCell ref="L1"/>
    <mergeCell ref="M1"/>
    <mergeCell ref="A3"/>
    <mergeCell ref="B3"/>
    <mergeCell ref="C3"/>
    <mergeCell ref="D3"/>
    <mergeCell ref="E3"/>
    <mergeCell ref="F3"/>
    <mergeCell ref="B5"/>
    <mergeCell ref="C5"/>
    <mergeCell ref="D5"/>
    <mergeCell ref="E5"/>
    <mergeCell ref="F5"/>
    <mergeCell ref="G5"/>
    <mergeCell ref="L4"/>
    <mergeCell ref="M4"/>
    <mergeCell ref="N4"/>
    <mergeCell ref="O4"/>
    <mergeCell ref="P4"/>
    <mergeCell ref="Q4"/>
    <mergeCell ref="F4"/>
    <mergeCell ref="G4"/>
    <mergeCell ref="H4"/>
    <mergeCell ref="I4"/>
    <mergeCell ref="J4"/>
    <mergeCell ref="K4"/>
    <mergeCell ref="O7"/>
    <mergeCell ref="P7"/>
    <mergeCell ref="Q7"/>
    <mergeCell ref="F7"/>
    <mergeCell ref="G7"/>
    <mergeCell ref="H7"/>
    <mergeCell ref="I7"/>
    <mergeCell ref="J7"/>
    <mergeCell ref="K7"/>
    <mergeCell ref="N5"/>
    <mergeCell ref="O5"/>
    <mergeCell ref="P5"/>
    <mergeCell ref="Q5"/>
    <mergeCell ref="R3"/>
    <mergeCell ref="R4"/>
    <mergeCell ref="R5"/>
    <mergeCell ref="H5"/>
    <mergeCell ref="I5"/>
    <mergeCell ref="J5"/>
    <mergeCell ref="K5"/>
    <mergeCell ref="L5"/>
    <mergeCell ref="M5"/>
    <mergeCell ref="M3"/>
    <mergeCell ref="N3"/>
    <mergeCell ref="O3"/>
    <mergeCell ref="P3"/>
    <mergeCell ref="Q3"/>
    <mergeCell ref="F8"/>
    <mergeCell ref="A5"/>
    <mergeCell ref="J9"/>
    <mergeCell ref="K9"/>
    <mergeCell ref="L9"/>
    <mergeCell ref="M9"/>
    <mergeCell ref="N9"/>
    <mergeCell ref="G8"/>
    <mergeCell ref="H8"/>
    <mergeCell ref="I8"/>
    <mergeCell ref="J8"/>
    <mergeCell ref="M6"/>
    <mergeCell ref="N6"/>
    <mergeCell ref="O6"/>
    <mergeCell ref="P6"/>
    <mergeCell ref="Q6"/>
    <mergeCell ref="R6"/>
    <mergeCell ref="G6"/>
    <mergeCell ref="H6"/>
    <mergeCell ref="I6"/>
    <mergeCell ref="J6"/>
    <mergeCell ref="K6"/>
    <mergeCell ref="L6"/>
    <mergeCell ref="A6"/>
    <mergeCell ref="B6"/>
    <mergeCell ref="C6"/>
    <mergeCell ref="D6"/>
    <mergeCell ref="E6"/>
    <mergeCell ref="F6"/>
    <mergeCell ref="L7"/>
    <mergeCell ref="M7"/>
    <mergeCell ref="N7"/>
    <mergeCell ref="N11"/>
    <mergeCell ref="O11"/>
    <mergeCell ref="P11"/>
    <mergeCell ref="Q11"/>
    <mergeCell ref="R9"/>
    <mergeCell ref="A10"/>
    <mergeCell ref="B10"/>
    <mergeCell ref="C10"/>
    <mergeCell ref="D10"/>
    <mergeCell ref="E10"/>
    <mergeCell ref="Q8"/>
    <mergeCell ref="R8"/>
    <mergeCell ref="A7"/>
    <mergeCell ref="B7"/>
    <mergeCell ref="C7"/>
    <mergeCell ref="D7"/>
    <mergeCell ref="E7"/>
    <mergeCell ref="K8"/>
    <mergeCell ref="L8"/>
    <mergeCell ref="M8"/>
    <mergeCell ref="N8"/>
    <mergeCell ref="O8"/>
    <mergeCell ref="P8"/>
    <mergeCell ref="O9"/>
    <mergeCell ref="P9"/>
    <mergeCell ref="Q9"/>
    <mergeCell ref="R7"/>
    <mergeCell ref="A8"/>
    <mergeCell ref="B8"/>
    <mergeCell ref="C8"/>
    <mergeCell ref="D8"/>
    <mergeCell ref="E8"/>
    <mergeCell ref="R10"/>
    <mergeCell ref="A9"/>
    <mergeCell ref="B9"/>
    <mergeCell ref="C9"/>
    <mergeCell ref="D9"/>
    <mergeCell ref="E9"/>
    <mergeCell ref="F9"/>
    <mergeCell ref="G9"/>
    <mergeCell ref="H9"/>
    <mergeCell ref="I9"/>
    <mergeCell ref="L10"/>
    <mergeCell ref="M10"/>
    <mergeCell ref="N10"/>
    <mergeCell ref="O10"/>
    <mergeCell ref="P10"/>
    <mergeCell ref="Q10"/>
    <mergeCell ref="F10"/>
    <mergeCell ref="G10"/>
    <mergeCell ref="H10"/>
    <mergeCell ref="I10"/>
    <mergeCell ref="J10"/>
    <mergeCell ref="K10"/>
    <mergeCell ref="H11"/>
    <mergeCell ref="I11"/>
    <mergeCell ref="J11"/>
    <mergeCell ref="K11"/>
    <mergeCell ref="L11"/>
    <mergeCell ref="M11"/>
    <mergeCell ref="P12"/>
    <mergeCell ref="Q12"/>
    <mergeCell ref="R12"/>
    <mergeCell ref="A11"/>
    <mergeCell ref="B11"/>
    <mergeCell ref="C11"/>
    <mergeCell ref="D11"/>
    <mergeCell ref="E11"/>
    <mergeCell ref="F11"/>
    <mergeCell ref="G11"/>
    <mergeCell ref="J12"/>
    <mergeCell ref="K12"/>
    <mergeCell ref="L12"/>
    <mergeCell ref="M12"/>
    <mergeCell ref="N12"/>
    <mergeCell ref="O12"/>
    <mergeCell ref="R11"/>
    <mergeCell ref="A12"/>
    <mergeCell ref="B12"/>
    <mergeCell ref="C12"/>
    <mergeCell ref="D12"/>
    <mergeCell ref="E12"/>
    <mergeCell ref="F12"/>
    <mergeCell ref="G12"/>
    <mergeCell ref="H12"/>
    <mergeCell ref="I12"/>
    <mergeCell ref="A14"/>
    <mergeCell ref="B14"/>
    <mergeCell ref="C14"/>
    <mergeCell ref="D14"/>
    <mergeCell ref="E14"/>
    <mergeCell ref="G13"/>
    <mergeCell ref="H13"/>
    <mergeCell ref="I13"/>
    <mergeCell ref="J13"/>
    <mergeCell ref="K13"/>
    <mergeCell ref="L13"/>
    <mergeCell ref="A13"/>
    <mergeCell ref="B13"/>
    <mergeCell ref="C13"/>
    <mergeCell ref="D13"/>
    <mergeCell ref="E13"/>
    <mergeCell ref="F13"/>
    <mergeCell ref="B15"/>
    <mergeCell ref="C15"/>
    <mergeCell ref="D15"/>
    <mergeCell ref="E15"/>
    <mergeCell ref="F15"/>
    <mergeCell ref="G15"/>
    <mergeCell ref="L14"/>
    <mergeCell ref="M14"/>
    <mergeCell ref="N14"/>
    <mergeCell ref="O14"/>
    <mergeCell ref="P14"/>
    <mergeCell ref="Q14"/>
    <mergeCell ref="F14"/>
    <mergeCell ref="G14"/>
    <mergeCell ref="H14"/>
    <mergeCell ref="I14"/>
    <mergeCell ref="J14"/>
    <mergeCell ref="K14"/>
    <mergeCell ref="O17"/>
    <mergeCell ref="P17"/>
    <mergeCell ref="Q17"/>
    <mergeCell ref="F17"/>
    <mergeCell ref="G17"/>
    <mergeCell ref="H17"/>
    <mergeCell ref="I17"/>
    <mergeCell ref="J17"/>
    <mergeCell ref="K17"/>
    <mergeCell ref="N15"/>
    <mergeCell ref="O15"/>
    <mergeCell ref="P15"/>
    <mergeCell ref="Q15"/>
    <mergeCell ref="R13"/>
    <mergeCell ref="R14"/>
    <mergeCell ref="R15"/>
    <mergeCell ref="H15"/>
    <mergeCell ref="I15"/>
    <mergeCell ref="J15"/>
    <mergeCell ref="K15"/>
    <mergeCell ref="L15"/>
    <mergeCell ref="M15"/>
    <mergeCell ref="M13"/>
    <mergeCell ref="N13"/>
    <mergeCell ref="O13"/>
    <mergeCell ref="P13"/>
    <mergeCell ref="Q13"/>
    <mergeCell ref="F18"/>
    <mergeCell ref="A15"/>
    <mergeCell ref="J19"/>
    <mergeCell ref="K19"/>
    <mergeCell ref="L19"/>
    <mergeCell ref="M19"/>
    <mergeCell ref="N19"/>
    <mergeCell ref="G18"/>
    <mergeCell ref="H18"/>
    <mergeCell ref="I18"/>
    <mergeCell ref="J18"/>
    <mergeCell ref="M16"/>
    <mergeCell ref="N16"/>
    <mergeCell ref="O16"/>
    <mergeCell ref="P16"/>
    <mergeCell ref="Q16"/>
    <mergeCell ref="R16"/>
    <mergeCell ref="G16"/>
    <mergeCell ref="H16"/>
    <mergeCell ref="I16"/>
    <mergeCell ref="J16"/>
    <mergeCell ref="K16"/>
    <mergeCell ref="L16"/>
    <mergeCell ref="A16"/>
    <mergeCell ref="B16"/>
    <mergeCell ref="C16"/>
    <mergeCell ref="D16"/>
    <mergeCell ref="E16"/>
    <mergeCell ref="F16"/>
    <mergeCell ref="L17"/>
    <mergeCell ref="M17"/>
    <mergeCell ref="N17"/>
    <mergeCell ref="N21"/>
    <mergeCell ref="O21"/>
    <mergeCell ref="P21"/>
    <mergeCell ref="Q21"/>
    <mergeCell ref="R19"/>
    <mergeCell ref="A20"/>
    <mergeCell ref="B20"/>
    <mergeCell ref="C20"/>
    <mergeCell ref="D20"/>
    <mergeCell ref="E20"/>
    <mergeCell ref="Q18"/>
    <mergeCell ref="R18"/>
    <mergeCell ref="A17"/>
    <mergeCell ref="B17"/>
    <mergeCell ref="C17"/>
    <mergeCell ref="D17"/>
    <mergeCell ref="E17"/>
    <mergeCell ref="K18"/>
    <mergeCell ref="L18"/>
    <mergeCell ref="M18"/>
    <mergeCell ref="N18"/>
    <mergeCell ref="O18"/>
    <mergeCell ref="P18"/>
    <mergeCell ref="O19"/>
    <mergeCell ref="P19"/>
    <mergeCell ref="Q19"/>
    <mergeCell ref="R17"/>
    <mergeCell ref="A18"/>
    <mergeCell ref="B18"/>
    <mergeCell ref="C18"/>
    <mergeCell ref="D18"/>
    <mergeCell ref="E18"/>
    <mergeCell ref="R20"/>
    <mergeCell ref="A19"/>
    <mergeCell ref="B19"/>
    <mergeCell ref="C19"/>
    <mergeCell ref="D19"/>
    <mergeCell ref="E19"/>
    <mergeCell ref="F19"/>
    <mergeCell ref="G19"/>
    <mergeCell ref="H19"/>
    <mergeCell ref="I19"/>
    <mergeCell ref="L20"/>
    <mergeCell ref="M20"/>
    <mergeCell ref="N20"/>
    <mergeCell ref="O20"/>
    <mergeCell ref="P20"/>
    <mergeCell ref="Q20"/>
    <mergeCell ref="F20"/>
    <mergeCell ref="G20"/>
    <mergeCell ref="H20"/>
    <mergeCell ref="I20"/>
    <mergeCell ref="J20"/>
    <mergeCell ref="K20"/>
    <mergeCell ref="H21"/>
    <mergeCell ref="I21"/>
    <mergeCell ref="J21"/>
    <mergeCell ref="K21"/>
    <mergeCell ref="L21"/>
    <mergeCell ref="M21"/>
    <mergeCell ref="P22"/>
    <mergeCell ref="Q22"/>
    <mergeCell ref="R22"/>
    <mergeCell ref="A21"/>
    <mergeCell ref="B21"/>
    <mergeCell ref="C21"/>
    <mergeCell ref="D21"/>
    <mergeCell ref="E21"/>
    <mergeCell ref="F21"/>
    <mergeCell ref="G21"/>
    <mergeCell ref="J22"/>
    <mergeCell ref="K22"/>
    <mergeCell ref="L22"/>
    <mergeCell ref="M22"/>
    <mergeCell ref="N22"/>
    <mergeCell ref="O22"/>
    <mergeCell ref="R21"/>
    <mergeCell ref="A22"/>
    <mergeCell ref="B22"/>
    <mergeCell ref="C22"/>
    <mergeCell ref="D22"/>
    <mergeCell ref="E22"/>
    <mergeCell ref="F22"/>
    <mergeCell ref="G22"/>
    <mergeCell ref="H22"/>
    <mergeCell ref="I22"/>
    <mergeCell ref="A24"/>
    <mergeCell ref="B24"/>
    <mergeCell ref="C24"/>
    <mergeCell ref="D24"/>
    <mergeCell ref="E24"/>
    <mergeCell ref="G23"/>
    <mergeCell ref="H23"/>
    <mergeCell ref="I23"/>
    <mergeCell ref="J23"/>
    <mergeCell ref="K23"/>
    <mergeCell ref="L23"/>
    <mergeCell ref="A23"/>
    <mergeCell ref="B23"/>
    <mergeCell ref="C23"/>
    <mergeCell ref="D23"/>
    <mergeCell ref="E23"/>
    <mergeCell ref="F23"/>
    <mergeCell ref="B25"/>
    <mergeCell ref="C25"/>
    <mergeCell ref="D25"/>
    <mergeCell ref="E25"/>
    <mergeCell ref="F25"/>
    <mergeCell ref="G25"/>
    <mergeCell ref="L24"/>
    <mergeCell ref="M24"/>
    <mergeCell ref="N24"/>
    <mergeCell ref="O24"/>
    <mergeCell ref="P24"/>
    <mergeCell ref="Q24"/>
    <mergeCell ref="F24"/>
    <mergeCell ref="G24"/>
    <mergeCell ref="H24"/>
    <mergeCell ref="I24"/>
    <mergeCell ref="J24"/>
    <mergeCell ref="K24"/>
    <mergeCell ref="O27"/>
    <mergeCell ref="P27"/>
    <mergeCell ref="Q27"/>
    <mergeCell ref="F27"/>
    <mergeCell ref="G27"/>
    <mergeCell ref="H27"/>
    <mergeCell ref="I27"/>
    <mergeCell ref="J27"/>
    <mergeCell ref="K27"/>
    <mergeCell ref="N25"/>
    <mergeCell ref="O25"/>
    <mergeCell ref="P25"/>
    <mergeCell ref="Q25"/>
    <mergeCell ref="R23"/>
    <mergeCell ref="R24"/>
    <mergeCell ref="R25"/>
    <mergeCell ref="H25"/>
    <mergeCell ref="I25"/>
    <mergeCell ref="J25"/>
    <mergeCell ref="K25"/>
    <mergeCell ref="L25"/>
    <mergeCell ref="M25"/>
    <mergeCell ref="M23"/>
    <mergeCell ref="N23"/>
    <mergeCell ref="O23"/>
    <mergeCell ref="P23"/>
    <mergeCell ref="Q23"/>
    <mergeCell ref="F28"/>
    <mergeCell ref="A25"/>
    <mergeCell ref="J29"/>
    <mergeCell ref="K29"/>
    <mergeCell ref="L29"/>
    <mergeCell ref="M29"/>
    <mergeCell ref="N29"/>
    <mergeCell ref="G28"/>
    <mergeCell ref="H28"/>
    <mergeCell ref="I28"/>
    <mergeCell ref="J28"/>
    <mergeCell ref="M26"/>
    <mergeCell ref="N26"/>
    <mergeCell ref="O26"/>
    <mergeCell ref="P26"/>
    <mergeCell ref="Q26"/>
    <mergeCell ref="R26"/>
    <mergeCell ref="G26"/>
    <mergeCell ref="H26"/>
    <mergeCell ref="I26"/>
    <mergeCell ref="J26"/>
    <mergeCell ref="K26"/>
    <mergeCell ref="L26"/>
    <mergeCell ref="A26"/>
    <mergeCell ref="B26"/>
    <mergeCell ref="C26"/>
    <mergeCell ref="D26"/>
    <mergeCell ref="E26"/>
    <mergeCell ref="F26"/>
    <mergeCell ref="L27"/>
    <mergeCell ref="M27"/>
    <mergeCell ref="N27"/>
    <mergeCell ref="N31"/>
    <mergeCell ref="O31"/>
    <mergeCell ref="P31"/>
    <mergeCell ref="Q31"/>
    <mergeCell ref="R29"/>
    <mergeCell ref="A30"/>
    <mergeCell ref="B30"/>
    <mergeCell ref="C30"/>
    <mergeCell ref="D30"/>
    <mergeCell ref="E30"/>
    <mergeCell ref="Q28"/>
    <mergeCell ref="R28"/>
    <mergeCell ref="A27"/>
    <mergeCell ref="B27"/>
    <mergeCell ref="C27"/>
    <mergeCell ref="D27"/>
    <mergeCell ref="E27"/>
    <mergeCell ref="K28"/>
    <mergeCell ref="L28"/>
    <mergeCell ref="M28"/>
    <mergeCell ref="N28"/>
    <mergeCell ref="O28"/>
    <mergeCell ref="P28"/>
    <mergeCell ref="O29"/>
    <mergeCell ref="P29"/>
    <mergeCell ref="Q29"/>
    <mergeCell ref="R27"/>
    <mergeCell ref="A28"/>
    <mergeCell ref="B28"/>
    <mergeCell ref="C28"/>
    <mergeCell ref="D28"/>
    <mergeCell ref="E28"/>
    <mergeCell ref="R30"/>
    <mergeCell ref="A29"/>
    <mergeCell ref="B29"/>
    <mergeCell ref="C29"/>
    <mergeCell ref="D29"/>
    <mergeCell ref="E29"/>
    <mergeCell ref="F29"/>
    <mergeCell ref="G29"/>
    <mergeCell ref="H29"/>
    <mergeCell ref="I29"/>
    <mergeCell ref="L30"/>
    <mergeCell ref="M30"/>
    <mergeCell ref="N30"/>
    <mergeCell ref="O30"/>
    <mergeCell ref="P30"/>
    <mergeCell ref="Q30"/>
    <mergeCell ref="F30"/>
    <mergeCell ref="G30"/>
    <mergeCell ref="H30"/>
    <mergeCell ref="I30"/>
    <mergeCell ref="J30"/>
    <mergeCell ref="K30"/>
    <mergeCell ref="H31"/>
    <mergeCell ref="I31"/>
    <mergeCell ref="J31"/>
    <mergeCell ref="K31"/>
    <mergeCell ref="L31"/>
    <mergeCell ref="M31"/>
    <mergeCell ref="P32"/>
    <mergeCell ref="Q32"/>
    <mergeCell ref="R32"/>
    <mergeCell ref="A31"/>
    <mergeCell ref="B31"/>
    <mergeCell ref="C31"/>
    <mergeCell ref="D31"/>
    <mergeCell ref="E31"/>
    <mergeCell ref="F31"/>
    <mergeCell ref="G31"/>
    <mergeCell ref="J32"/>
    <mergeCell ref="K32"/>
    <mergeCell ref="L32"/>
    <mergeCell ref="M32"/>
    <mergeCell ref="N32"/>
    <mergeCell ref="O32"/>
    <mergeCell ref="R31"/>
    <mergeCell ref="A32"/>
    <mergeCell ref="B32"/>
    <mergeCell ref="C32"/>
    <mergeCell ref="D32"/>
    <mergeCell ref="E32"/>
    <mergeCell ref="F32"/>
    <mergeCell ref="G32"/>
    <mergeCell ref="H32"/>
    <mergeCell ref="I32"/>
    <mergeCell ref="A34"/>
    <mergeCell ref="B34"/>
    <mergeCell ref="C34"/>
    <mergeCell ref="D34"/>
    <mergeCell ref="E34"/>
    <mergeCell ref="G33"/>
    <mergeCell ref="H33"/>
    <mergeCell ref="I33"/>
    <mergeCell ref="J33"/>
    <mergeCell ref="K33"/>
    <mergeCell ref="L33"/>
    <mergeCell ref="A33"/>
    <mergeCell ref="B33"/>
    <mergeCell ref="C33"/>
    <mergeCell ref="D33"/>
    <mergeCell ref="E33"/>
    <mergeCell ref="F33"/>
    <mergeCell ref="B35"/>
    <mergeCell ref="C35"/>
    <mergeCell ref="D35"/>
    <mergeCell ref="E35"/>
    <mergeCell ref="F35"/>
    <mergeCell ref="G35"/>
    <mergeCell ref="L34"/>
    <mergeCell ref="M34"/>
    <mergeCell ref="N34"/>
    <mergeCell ref="O34"/>
    <mergeCell ref="P34"/>
    <mergeCell ref="Q34"/>
    <mergeCell ref="F34"/>
    <mergeCell ref="G34"/>
    <mergeCell ref="H34"/>
    <mergeCell ref="I34"/>
    <mergeCell ref="J34"/>
    <mergeCell ref="K34"/>
    <mergeCell ref="O37"/>
    <mergeCell ref="P37"/>
    <mergeCell ref="Q37"/>
    <mergeCell ref="F37"/>
    <mergeCell ref="G37"/>
    <mergeCell ref="H37"/>
    <mergeCell ref="I37"/>
    <mergeCell ref="J37"/>
    <mergeCell ref="K37"/>
    <mergeCell ref="N35"/>
    <mergeCell ref="O35"/>
    <mergeCell ref="P35"/>
    <mergeCell ref="Q35"/>
    <mergeCell ref="R33"/>
    <mergeCell ref="R34"/>
    <mergeCell ref="R35"/>
    <mergeCell ref="H35"/>
    <mergeCell ref="I35"/>
    <mergeCell ref="J35"/>
    <mergeCell ref="K35"/>
    <mergeCell ref="L35"/>
    <mergeCell ref="M35"/>
    <mergeCell ref="M33"/>
    <mergeCell ref="N33"/>
    <mergeCell ref="O33"/>
    <mergeCell ref="P33"/>
    <mergeCell ref="Q33"/>
    <mergeCell ref="F38"/>
    <mergeCell ref="A35"/>
    <mergeCell ref="J39"/>
    <mergeCell ref="K39"/>
    <mergeCell ref="L39"/>
    <mergeCell ref="M39"/>
    <mergeCell ref="N39"/>
    <mergeCell ref="G38"/>
    <mergeCell ref="H38"/>
    <mergeCell ref="I38"/>
    <mergeCell ref="J38"/>
    <mergeCell ref="M36"/>
    <mergeCell ref="N36"/>
    <mergeCell ref="O36"/>
    <mergeCell ref="P36"/>
    <mergeCell ref="Q36"/>
    <mergeCell ref="R36"/>
    <mergeCell ref="G36"/>
    <mergeCell ref="H36"/>
    <mergeCell ref="I36"/>
    <mergeCell ref="J36"/>
    <mergeCell ref="K36"/>
    <mergeCell ref="L36"/>
    <mergeCell ref="A36"/>
    <mergeCell ref="B36"/>
    <mergeCell ref="C36"/>
    <mergeCell ref="D36"/>
    <mergeCell ref="E36"/>
    <mergeCell ref="F36"/>
    <mergeCell ref="L37"/>
    <mergeCell ref="M37"/>
    <mergeCell ref="N37"/>
    <mergeCell ref="N41"/>
    <mergeCell ref="O41"/>
    <mergeCell ref="P41"/>
    <mergeCell ref="Q41"/>
    <mergeCell ref="R39"/>
    <mergeCell ref="A40"/>
    <mergeCell ref="B40"/>
    <mergeCell ref="C40"/>
    <mergeCell ref="D40"/>
    <mergeCell ref="E40"/>
    <mergeCell ref="Q38"/>
    <mergeCell ref="R38"/>
    <mergeCell ref="A37"/>
    <mergeCell ref="B37"/>
    <mergeCell ref="C37"/>
    <mergeCell ref="D37"/>
    <mergeCell ref="E37"/>
    <mergeCell ref="K38"/>
    <mergeCell ref="L38"/>
    <mergeCell ref="M38"/>
    <mergeCell ref="N38"/>
    <mergeCell ref="O38"/>
    <mergeCell ref="P38"/>
    <mergeCell ref="O39"/>
    <mergeCell ref="P39"/>
    <mergeCell ref="Q39"/>
    <mergeCell ref="R37"/>
    <mergeCell ref="A38"/>
    <mergeCell ref="B38"/>
    <mergeCell ref="C38"/>
    <mergeCell ref="D38"/>
    <mergeCell ref="E38"/>
    <mergeCell ref="R40"/>
    <mergeCell ref="A39"/>
    <mergeCell ref="B39"/>
    <mergeCell ref="C39"/>
    <mergeCell ref="D39"/>
    <mergeCell ref="E39"/>
    <mergeCell ref="F39"/>
    <mergeCell ref="G39"/>
    <mergeCell ref="H39"/>
    <mergeCell ref="I39"/>
    <mergeCell ref="L40"/>
    <mergeCell ref="M40"/>
    <mergeCell ref="N40"/>
    <mergeCell ref="O40"/>
    <mergeCell ref="P40"/>
    <mergeCell ref="Q40"/>
    <mergeCell ref="F40"/>
    <mergeCell ref="G40"/>
    <mergeCell ref="H40"/>
    <mergeCell ref="I40"/>
    <mergeCell ref="J40"/>
    <mergeCell ref="K40"/>
    <mergeCell ref="H41"/>
    <mergeCell ref="I41"/>
    <mergeCell ref="J41"/>
    <mergeCell ref="K41"/>
    <mergeCell ref="L41"/>
    <mergeCell ref="M41"/>
    <mergeCell ref="P42"/>
    <mergeCell ref="Q42"/>
    <mergeCell ref="R42"/>
    <mergeCell ref="A41"/>
    <mergeCell ref="B41"/>
    <mergeCell ref="C41"/>
    <mergeCell ref="D41"/>
    <mergeCell ref="E41"/>
    <mergeCell ref="F41"/>
    <mergeCell ref="G41"/>
    <mergeCell ref="J42"/>
    <mergeCell ref="K42"/>
    <mergeCell ref="L42"/>
    <mergeCell ref="M42"/>
    <mergeCell ref="N42"/>
    <mergeCell ref="O42"/>
    <mergeCell ref="R41"/>
    <mergeCell ref="A42"/>
    <mergeCell ref="B42"/>
    <mergeCell ref="C42"/>
    <mergeCell ref="D42"/>
    <mergeCell ref="E42"/>
    <mergeCell ref="F42"/>
    <mergeCell ref="G42"/>
    <mergeCell ref="H42"/>
    <mergeCell ref="I42"/>
    <mergeCell ref="A44"/>
    <mergeCell ref="B44"/>
    <mergeCell ref="C44"/>
    <mergeCell ref="D44"/>
    <mergeCell ref="E44"/>
    <mergeCell ref="G43"/>
    <mergeCell ref="H43"/>
    <mergeCell ref="I43"/>
    <mergeCell ref="J43"/>
    <mergeCell ref="K43"/>
    <mergeCell ref="L43"/>
    <mergeCell ref="A43"/>
    <mergeCell ref="B43"/>
    <mergeCell ref="C43"/>
    <mergeCell ref="D43"/>
    <mergeCell ref="E43"/>
    <mergeCell ref="F43"/>
    <mergeCell ref="B45"/>
    <mergeCell ref="C45"/>
    <mergeCell ref="D45"/>
    <mergeCell ref="E45"/>
    <mergeCell ref="F45"/>
    <mergeCell ref="G45"/>
    <mergeCell ref="L44"/>
    <mergeCell ref="M44"/>
    <mergeCell ref="N44"/>
    <mergeCell ref="O44"/>
    <mergeCell ref="P44"/>
    <mergeCell ref="Q44"/>
    <mergeCell ref="F44"/>
    <mergeCell ref="G44"/>
    <mergeCell ref="H44"/>
    <mergeCell ref="I44"/>
    <mergeCell ref="J44"/>
    <mergeCell ref="K44"/>
    <mergeCell ref="O47"/>
    <mergeCell ref="P47"/>
    <mergeCell ref="Q47"/>
    <mergeCell ref="F47"/>
    <mergeCell ref="G47"/>
    <mergeCell ref="H47"/>
    <mergeCell ref="I47"/>
    <mergeCell ref="J47"/>
    <mergeCell ref="K47"/>
    <mergeCell ref="N45"/>
    <mergeCell ref="O45"/>
    <mergeCell ref="P45"/>
    <mergeCell ref="Q45"/>
    <mergeCell ref="R43"/>
    <mergeCell ref="R44"/>
    <mergeCell ref="R45"/>
    <mergeCell ref="H45"/>
    <mergeCell ref="I45"/>
    <mergeCell ref="J45"/>
    <mergeCell ref="K45"/>
    <mergeCell ref="L45"/>
    <mergeCell ref="M45"/>
    <mergeCell ref="M43"/>
    <mergeCell ref="N43"/>
    <mergeCell ref="O43"/>
    <mergeCell ref="P43"/>
    <mergeCell ref="Q43"/>
    <mergeCell ref="F48"/>
    <mergeCell ref="A45"/>
    <mergeCell ref="J49"/>
    <mergeCell ref="K49"/>
    <mergeCell ref="L49"/>
    <mergeCell ref="M49"/>
    <mergeCell ref="N49"/>
    <mergeCell ref="G48"/>
    <mergeCell ref="H48"/>
    <mergeCell ref="I48"/>
    <mergeCell ref="J48"/>
    <mergeCell ref="M46"/>
    <mergeCell ref="N46"/>
    <mergeCell ref="O46"/>
    <mergeCell ref="P46"/>
    <mergeCell ref="Q46"/>
    <mergeCell ref="R46"/>
    <mergeCell ref="G46"/>
    <mergeCell ref="H46"/>
    <mergeCell ref="I46"/>
    <mergeCell ref="J46"/>
    <mergeCell ref="K46"/>
    <mergeCell ref="L46"/>
    <mergeCell ref="A46"/>
    <mergeCell ref="B46"/>
    <mergeCell ref="C46"/>
    <mergeCell ref="D46"/>
    <mergeCell ref="E46"/>
    <mergeCell ref="F46"/>
    <mergeCell ref="L47"/>
    <mergeCell ref="M47"/>
    <mergeCell ref="N47"/>
    <mergeCell ref="N51"/>
    <mergeCell ref="O51"/>
    <mergeCell ref="P51"/>
    <mergeCell ref="Q51"/>
    <mergeCell ref="R49"/>
    <mergeCell ref="A50"/>
    <mergeCell ref="B50"/>
    <mergeCell ref="C50"/>
    <mergeCell ref="D50"/>
    <mergeCell ref="E50"/>
    <mergeCell ref="Q48"/>
    <mergeCell ref="R48"/>
    <mergeCell ref="A47"/>
    <mergeCell ref="B47"/>
    <mergeCell ref="C47"/>
    <mergeCell ref="D47"/>
    <mergeCell ref="E47"/>
    <mergeCell ref="K48"/>
    <mergeCell ref="L48"/>
    <mergeCell ref="M48"/>
    <mergeCell ref="N48"/>
    <mergeCell ref="O48"/>
    <mergeCell ref="P48"/>
    <mergeCell ref="O49"/>
    <mergeCell ref="P49"/>
    <mergeCell ref="Q49"/>
    <mergeCell ref="R47"/>
    <mergeCell ref="A48"/>
    <mergeCell ref="B48"/>
    <mergeCell ref="C48"/>
    <mergeCell ref="D48"/>
    <mergeCell ref="E48"/>
    <mergeCell ref="R50"/>
    <mergeCell ref="A49"/>
    <mergeCell ref="B49"/>
    <mergeCell ref="C49"/>
    <mergeCell ref="D49"/>
    <mergeCell ref="E49"/>
    <mergeCell ref="F49"/>
    <mergeCell ref="G49"/>
    <mergeCell ref="H49"/>
    <mergeCell ref="I49"/>
    <mergeCell ref="L50"/>
    <mergeCell ref="M50"/>
    <mergeCell ref="N50"/>
    <mergeCell ref="O50"/>
    <mergeCell ref="P50"/>
    <mergeCell ref="Q50"/>
    <mergeCell ref="F50"/>
    <mergeCell ref="G50"/>
    <mergeCell ref="H50"/>
    <mergeCell ref="I50"/>
    <mergeCell ref="J50"/>
    <mergeCell ref="K50"/>
    <mergeCell ref="H51"/>
    <mergeCell ref="I51"/>
    <mergeCell ref="J51"/>
    <mergeCell ref="K51"/>
    <mergeCell ref="L51"/>
    <mergeCell ref="M51"/>
    <mergeCell ref="P52"/>
    <mergeCell ref="Q52"/>
    <mergeCell ref="R52"/>
    <mergeCell ref="A51"/>
    <mergeCell ref="B51"/>
    <mergeCell ref="C51"/>
    <mergeCell ref="D51"/>
    <mergeCell ref="E51"/>
    <mergeCell ref="F51"/>
    <mergeCell ref="G51"/>
    <mergeCell ref="J52"/>
    <mergeCell ref="K52"/>
    <mergeCell ref="L52"/>
    <mergeCell ref="M52"/>
    <mergeCell ref="N52"/>
    <mergeCell ref="O52"/>
    <mergeCell ref="R51"/>
    <mergeCell ref="A52"/>
    <mergeCell ref="B52"/>
    <mergeCell ref="C52"/>
    <mergeCell ref="D52"/>
    <mergeCell ref="E52"/>
    <mergeCell ref="F52"/>
    <mergeCell ref="G52"/>
    <mergeCell ref="H52"/>
    <mergeCell ref="I52"/>
    <mergeCell ref="A54"/>
    <mergeCell ref="B54"/>
    <mergeCell ref="C54"/>
    <mergeCell ref="D54"/>
    <mergeCell ref="E54"/>
    <mergeCell ref="G53"/>
    <mergeCell ref="H53"/>
    <mergeCell ref="I53"/>
    <mergeCell ref="J53"/>
    <mergeCell ref="K53"/>
    <mergeCell ref="L53"/>
    <mergeCell ref="A53"/>
    <mergeCell ref="B53"/>
    <mergeCell ref="C53"/>
    <mergeCell ref="D53"/>
    <mergeCell ref="E53"/>
    <mergeCell ref="F53"/>
    <mergeCell ref="B55"/>
    <mergeCell ref="C55"/>
    <mergeCell ref="D55"/>
    <mergeCell ref="E55"/>
    <mergeCell ref="F55"/>
    <mergeCell ref="G55"/>
    <mergeCell ref="L54"/>
    <mergeCell ref="M54"/>
    <mergeCell ref="N54"/>
    <mergeCell ref="O54"/>
    <mergeCell ref="P54"/>
    <mergeCell ref="Q54"/>
    <mergeCell ref="F54"/>
    <mergeCell ref="G54"/>
    <mergeCell ref="H54"/>
    <mergeCell ref="I54"/>
    <mergeCell ref="J54"/>
    <mergeCell ref="K54"/>
    <mergeCell ref="O57"/>
    <mergeCell ref="P57"/>
    <mergeCell ref="Q57"/>
    <mergeCell ref="F57"/>
    <mergeCell ref="G57"/>
    <mergeCell ref="H57"/>
    <mergeCell ref="I57"/>
    <mergeCell ref="J57"/>
    <mergeCell ref="K57"/>
    <mergeCell ref="N55"/>
    <mergeCell ref="O55"/>
    <mergeCell ref="P55"/>
    <mergeCell ref="Q55"/>
    <mergeCell ref="R53"/>
    <mergeCell ref="R54"/>
    <mergeCell ref="R55"/>
    <mergeCell ref="H55"/>
    <mergeCell ref="I55"/>
    <mergeCell ref="J55"/>
    <mergeCell ref="K55"/>
    <mergeCell ref="L55"/>
    <mergeCell ref="M55"/>
    <mergeCell ref="M53"/>
    <mergeCell ref="N53"/>
    <mergeCell ref="O53"/>
    <mergeCell ref="P53"/>
    <mergeCell ref="Q53"/>
    <mergeCell ref="F58"/>
    <mergeCell ref="A55"/>
    <mergeCell ref="J59"/>
    <mergeCell ref="K59"/>
    <mergeCell ref="L59"/>
    <mergeCell ref="M59"/>
    <mergeCell ref="N59"/>
    <mergeCell ref="G58"/>
    <mergeCell ref="H58"/>
    <mergeCell ref="I58"/>
    <mergeCell ref="J58"/>
    <mergeCell ref="M56"/>
    <mergeCell ref="N56"/>
    <mergeCell ref="O56"/>
    <mergeCell ref="P56"/>
    <mergeCell ref="Q56"/>
    <mergeCell ref="R56"/>
    <mergeCell ref="G56"/>
    <mergeCell ref="H56"/>
    <mergeCell ref="I56"/>
    <mergeCell ref="J56"/>
    <mergeCell ref="K56"/>
    <mergeCell ref="L56"/>
    <mergeCell ref="A56"/>
    <mergeCell ref="B56"/>
    <mergeCell ref="C56"/>
    <mergeCell ref="D56"/>
    <mergeCell ref="E56"/>
    <mergeCell ref="F56"/>
    <mergeCell ref="L57"/>
    <mergeCell ref="M57"/>
    <mergeCell ref="N57"/>
    <mergeCell ref="N61"/>
    <mergeCell ref="O61"/>
    <mergeCell ref="P61"/>
    <mergeCell ref="Q61"/>
    <mergeCell ref="R59"/>
    <mergeCell ref="A60"/>
    <mergeCell ref="B60"/>
    <mergeCell ref="C60"/>
    <mergeCell ref="D60"/>
    <mergeCell ref="E60"/>
    <mergeCell ref="Q58"/>
    <mergeCell ref="R58"/>
    <mergeCell ref="A57"/>
    <mergeCell ref="B57"/>
    <mergeCell ref="C57"/>
    <mergeCell ref="D57"/>
    <mergeCell ref="E57"/>
    <mergeCell ref="K58"/>
    <mergeCell ref="L58"/>
    <mergeCell ref="M58"/>
    <mergeCell ref="N58"/>
    <mergeCell ref="O58"/>
    <mergeCell ref="P58"/>
    <mergeCell ref="O59"/>
    <mergeCell ref="P59"/>
    <mergeCell ref="Q59"/>
    <mergeCell ref="R57"/>
    <mergeCell ref="A58"/>
    <mergeCell ref="B58"/>
    <mergeCell ref="C58"/>
    <mergeCell ref="D58"/>
    <mergeCell ref="E58"/>
    <mergeCell ref="R60"/>
    <mergeCell ref="A59"/>
    <mergeCell ref="B59"/>
    <mergeCell ref="C59"/>
    <mergeCell ref="D59"/>
    <mergeCell ref="E59"/>
    <mergeCell ref="F59"/>
    <mergeCell ref="G59"/>
    <mergeCell ref="H59"/>
    <mergeCell ref="I59"/>
    <mergeCell ref="L60"/>
    <mergeCell ref="M60"/>
    <mergeCell ref="N60"/>
    <mergeCell ref="O60"/>
    <mergeCell ref="P60"/>
    <mergeCell ref="Q60"/>
    <mergeCell ref="F60"/>
    <mergeCell ref="G60"/>
    <mergeCell ref="H60"/>
    <mergeCell ref="I60"/>
    <mergeCell ref="J60"/>
    <mergeCell ref="K60"/>
    <mergeCell ref="H61"/>
    <mergeCell ref="I61"/>
    <mergeCell ref="J61"/>
    <mergeCell ref="K61"/>
    <mergeCell ref="L61"/>
    <mergeCell ref="M61"/>
    <mergeCell ref="P62"/>
    <mergeCell ref="Q62"/>
    <mergeCell ref="R62"/>
    <mergeCell ref="A61"/>
    <mergeCell ref="B61"/>
    <mergeCell ref="C61"/>
    <mergeCell ref="D61"/>
    <mergeCell ref="E61"/>
    <mergeCell ref="F61"/>
    <mergeCell ref="G61"/>
    <mergeCell ref="J62"/>
    <mergeCell ref="K62"/>
    <mergeCell ref="L62"/>
    <mergeCell ref="M62"/>
    <mergeCell ref="N62"/>
    <mergeCell ref="O62"/>
    <mergeCell ref="R61"/>
    <mergeCell ref="A62"/>
    <mergeCell ref="B62"/>
    <mergeCell ref="C62"/>
    <mergeCell ref="D62"/>
    <mergeCell ref="E62"/>
    <mergeCell ref="F62"/>
    <mergeCell ref="G62"/>
    <mergeCell ref="H62"/>
    <mergeCell ref="I62"/>
    <mergeCell ref="A64"/>
    <mergeCell ref="B64"/>
    <mergeCell ref="C64"/>
    <mergeCell ref="D64"/>
    <mergeCell ref="E64"/>
    <mergeCell ref="G63"/>
    <mergeCell ref="H63"/>
    <mergeCell ref="I63"/>
    <mergeCell ref="J63"/>
    <mergeCell ref="K63"/>
    <mergeCell ref="L63"/>
    <mergeCell ref="A63"/>
    <mergeCell ref="B63"/>
    <mergeCell ref="C63"/>
    <mergeCell ref="D63"/>
    <mergeCell ref="E63"/>
    <mergeCell ref="F63"/>
    <mergeCell ref="B65"/>
    <mergeCell ref="C65"/>
    <mergeCell ref="D65"/>
    <mergeCell ref="E65"/>
    <mergeCell ref="F65"/>
    <mergeCell ref="G65"/>
    <mergeCell ref="L64"/>
    <mergeCell ref="M64"/>
    <mergeCell ref="N64"/>
    <mergeCell ref="O64"/>
    <mergeCell ref="P64"/>
    <mergeCell ref="Q64"/>
    <mergeCell ref="F64"/>
    <mergeCell ref="G64"/>
    <mergeCell ref="H64"/>
    <mergeCell ref="I64"/>
    <mergeCell ref="J64"/>
    <mergeCell ref="K64"/>
    <mergeCell ref="O67"/>
    <mergeCell ref="P67"/>
    <mergeCell ref="Q67"/>
    <mergeCell ref="F67"/>
    <mergeCell ref="G67"/>
    <mergeCell ref="H67"/>
    <mergeCell ref="I67"/>
    <mergeCell ref="J67"/>
    <mergeCell ref="K67"/>
    <mergeCell ref="N65"/>
    <mergeCell ref="O65"/>
    <mergeCell ref="P65"/>
    <mergeCell ref="Q65"/>
    <mergeCell ref="R63"/>
    <mergeCell ref="R64"/>
    <mergeCell ref="R65"/>
    <mergeCell ref="H65"/>
    <mergeCell ref="I65"/>
    <mergeCell ref="J65"/>
    <mergeCell ref="K65"/>
    <mergeCell ref="L65"/>
    <mergeCell ref="M65"/>
    <mergeCell ref="M63"/>
    <mergeCell ref="N63"/>
    <mergeCell ref="O63"/>
    <mergeCell ref="P63"/>
    <mergeCell ref="Q63"/>
    <mergeCell ref="F68"/>
    <mergeCell ref="A65"/>
    <mergeCell ref="J69"/>
    <mergeCell ref="K69"/>
    <mergeCell ref="L69"/>
    <mergeCell ref="M69"/>
    <mergeCell ref="N69"/>
    <mergeCell ref="G68"/>
    <mergeCell ref="H68"/>
    <mergeCell ref="I68"/>
    <mergeCell ref="J68"/>
    <mergeCell ref="M66"/>
    <mergeCell ref="N66"/>
    <mergeCell ref="O66"/>
    <mergeCell ref="P66"/>
    <mergeCell ref="Q66"/>
    <mergeCell ref="R66"/>
    <mergeCell ref="G66"/>
    <mergeCell ref="H66"/>
    <mergeCell ref="I66"/>
    <mergeCell ref="J66"/>
    <mergeCell ref="K66"/>
    <mergeCell ref="L66"/>
    <mergeCell ref="A66"/>
    <mergeCell ref="B66"/>
    <mergeCell ref="C66"/>
    <mergeCell ref="D66"/>
    <mergeCell ref="E66"/>
    <mergeCell ref="F66"/>
    <mergeCell ref="L67"/>
    <mergeCell ref="M67"/>
    <mergeCell ref="N67"/>
    <mergeCell ref="N71"/>
    <mergeCell ref="O71"/>
    <mergeCell ref="P71"/>
    <mergeCell ref="Q71"/>
    <mergeCell ref="R69"/>
    <mergeCell ref="A70"/>
    <mergeCell ref="B70"/>
    <mergeCell ref="C70"/>
    <mergeCell ref="D70"/>
    <mergeCell ref="E70"/>
    <mergeCell ref="Q68"/>
    <mergeCell ref="R68"/>
    <mergeCell ref="A67"/>
    <mergeCell ref="B67"/>
    <mergeCell ref="C67"/>
    <mergeCell ref="D67"/>
    <mergeCell ref="E67"/>
    <mergeCell ref="K68"/>
    <mergeCell ref="L68"/>
    <mergeCell ref="M68"/>
    <mergeCell ref="N68"/>
    <mergeCell ref="O68"/>
    <mergeCell ref="P68"/>
    <mergeCell ref="O69"/>
    <mergeCell ref="P69"/>
    <mergeCell ref="Q69"/>
    <mergeCell ref="R67"/>
    <mergeCell ref="A68"/>
    <mergeCell ref="B68"/>
    <mergeCell ref="C68"/>
    <mergeCell ref="D68"/>
    <mergeCell ref="E68"/>
    <mergeCell ref="R70"/>
    <mergeCell ref="A69"/>
    <mergeCell ref="B69"/>
    <mergeCell ref="C69"/>
    <mergeCell ref="D69"/>
    <mergeCell ref="E69"/>
    <mergeCell ref="F69"/>
    <mergeCell ref="G69"/>
    <mergeCell ref="H69"/>
    <mergeCell ref="I69"/>
    <mergeCell ref="L70"/>
    <mergeCell ref="M70"/>
    <mergeCell ref="N70"/>
    <mergeCell ref="O70"/>
    <mergeCell ref="P70"/>
    <mergeCell ref="Q70"/>
    <mergeCell ref="F70"/>
    <mergeCell ref="G70"/>
    <mergeCell ref="H70"/>
    <mergeCell ref="I70"/>
    <mergeCell ref="J70"/>
    <mergeCell ref="K70"/>
    <mergeCell ref="H71"/>
    <mergeCell ref="I71"/>
    <mergeCell ref="J71"/>
    <mergeCell ref="K71"/>
    <mergeCell ref="L71"/>
    <mergeCell ref="M71"/>
    <mergeCell ref="P72"/>
    <mergeCell ref="Q72"/>
    <mergeCell ref="R72"/>
    <mergeCell ref="A71"/>
    <mergeCell ref="B71"/>
    <mergeCell ref="C71"/>
    <mergeCell ref="D71"/>
    <mergeCell ref="E71"/>
    <mergeCell ref="F71"/>
    <mergeCell ref="G71"/>
    <mergeCell ref="J72"/>
    <mergeCell ref="K72"/>
    <mergeCell ref="L72"/>
    <mergeCell ref="M72"/>
    <mergeCell ref="N72"/>
    <mergeCell ref="O72"/>
    <mergeCell ref="R71"/>
    <mergeCell ref="A72"/>
    <mergeCell ref="B72"/>
    <mergeCell ref="C72"/>
    <mergeCell ref="D72"/>
    <mergeCell ref="E72"/>
    <mergeCell ref="F72"/>
    <mergeCell ref="G72"/>
    <mergeCell ref="H72"/>
    <mergeCell ref="I72"/>
    <mergeCell ref="A74"/>
    <mergeCell ref="B74"/>
    <mergeCell ref="C74"/>
    <mergeCell ref="D74"/>
    <mergeCell ref="E74"/>
    <mergeCell ref="G73"/>
    <mergeCell ref="H73"/>
    <mergeCell ref="I73"/>
    <mergeCell ref="J73"/>
    <mergeCell ref="K73"/>
    <mergeCell ref="L73"/>
    <mergeCell ref="A73"/>
    <mergeCell ref="B73"/>
    <mergeCell ref="C73"/>
    <mergeCell ref="D73"/>
    <mergeCell ref="E73"/>
    <mergeCell ref="F73"/>
    <mergeCell ref="B75"/>
    <mergeCell ref="C75"/>
    <mergeCell ref="D75"/>
    <mergeCell ref="E75"/>
    <mergeCell ref="F75"/>
    <mergeCell ref="G75"/>
    <mergeCell ref="L74"/>
    <mergeCell ref="M74"/>
    <mergeCell ref="N74"/>
    <mergeCell ref="O74"/>
    <mergeCell ref="P74"/>
    <mergeCell ref="Q74"/>
    <mergeCell ref="F74"/>
    <mergeCell ref="G74"/>
    <mergeCell ref="H74"/>
    <mergeCell ref="I74"/>
    <mergeCell ref="J74"/>
    <mergeCell ref="K74"/>
    <mergeCell ref="O77"/>
    <mergeCell ref="P77"/>
    <mergeCell ref="Q77"/>
    <mergeCell ref="F77"/>
    <mergeCell ref="G77"/>
    <mergeCell ref="H77"/>
    <mergeCell ref="I77"/>
    <mergeCell ref="J77"/>
    <mergeCell ref="K77"/>
    <mergeCell ref="N75"/>
    <mergeCell ref="O75"/>
    <mergeCell ref="P75"/>
    <mergeCell ref="Q75"/>
    <mergeCell ref="R73"/>
    <mergeCell ref="R74"/>
    <mergeCell ref="R75"/>
    <mergeCell ref="H75"/>
    <mergeCell ref="I75"/>
    <mergeCell ref="J75"/>
    <mergeCell ref="K75"/>
    <mergeCell ref="L75"/>
    <mergeCell ref="M75"/>
    <mergeCell ref="M73"/>
    <mergeCell ref="N73"/>
    <mergeCell ref="O73"/>
    <mergeCell ref="P73"/>
    <mergeCell ref="Q73"/>
    <mergeCell ref="F78"/>
    <mergeCell ref="A75"/>
    <mergeCell ref="J79"/>
    <mergeCell ref="K79"/>
    <mergeCell ref="L79"/>
    <mergeCell ref="M79"/>
    <mergeCell ref="N79"/>
    <mergeCell ref="G78"/>
    <mergeCell ref="H78"/>
    <mergeCell ref="I78"/>
    <mergeCell ref="J78"/>
    <mergeCell ref="M76"/>
    <mergeCell ref="N76"/>
    <mergeCell ref="O76"/>
    <mergeCell ref="P76"/>
    <mergeCell ref="Q76"/>
    <mergeCell ref="R76"/>
    <mergeCell ref="G76"/>
    <mergeCell ref="H76"/>
    <mergeCell ref="I76"/>
    <mergeCell ref="J76"/>
    <mergeCell ref="K76"/>
    <mergeCell ref="L76"/>
    <mergeCell ref="A76"/>
    <mergeCell ref="B76"/>
    <mergeCell ref="C76"/>
    <mergeCell ref="D76"/>
    <mergeCell ref="E76"/>
    <mergeCell ref="F76"/>
    <mergeCell ref="L77"/>
    <mergeCell ref="M77"/>
    <mergeCell ref="N77"/>
    <mergeCell ref="N81"/>
    <mergeCell ref="O81"/>
    <mergeCell ref="P81"/>
    <mergeCell ref="Q81"/>
    <mergeCell ref="R79"/>
    <mergeCell ref="A80"/>
    <mergeCell ref="B80"/>
    <mergeCell ref="C80"/>
    <mergeCell ref="D80"/>
    <mergeCell ref="E80"/>
    <mergeCell ref="Q78"/>
    <mergeCell ref="R78"/>
    <mergeCell ref="A77"/>
    <mergeCell ref="B77"/>
    <mergeCell ref="C77"/>
    <mergeCell ref="D77"/>
    <mergeCell ref="E77"/>
    <mergeCell ref="K78"/>
    <mergeCell ref="L78"/>
    <mergeCell ref="M78"/>
    <mergeCell ref="N78"/>
    <mergeCell ref="O78"/>
    <mergeCell ref="P78"/>
    <mergeCell ref="O79"/>
    <mergeCell ref="P79"/>
    <mergeCell ref="Q79"/>
    <mergeCell ref="R77"/>
    <mergeCell ref="A78"/>
    <mergeCell ref="B78"/>
    <mergeCell ref="C78"/>
    <mergeCell ref="D78"/>
    <mergeCell ref="E78"/>
    <mergeCell ref="R80"/>
    <mergeCell ref="A79"/>
    <mergeCell ref="B79"/>
    <mergeCell ref="C79"/>
    <mergeCell ref="D79"/>
    <mergeCell ref="E79"/>
    <mergeCell ref="F79"/>
    <mergeCell ref="G79"/>
    <mergeCell ref="H79"/>
    <mergeCell ref="I79"/>
    <mergeCell ref="L80"/>
    <mergeCell ref="M80"/>
    <mergeCell ref="N80"/>
    <mergeCell ref="O80"/>
    <mergeCell ref="P80"/>
    <mergeCell ref="Q80"/>
    <mergeCell ref="F80"/>
    <mergeCell ref="G80"/>
    <mergeCell ref="H80"/>
    <mergeCell ref="I80"/>
    <mergeCell ref="J80"/>
    <mergeCell ref="K80"/>
    <mergeCell ref="H81"/>
    <mergeCell ref="I81"/>
    <mergeCell ref="J81"/>
    <mergeCell ref="K81"/>
    <mergeCell ref="L81"/>
    <mergeCell ref="M81"/>
    <mergeCell ref="P82"/>
    <mergeCell ref="Q82"/>
    <mergeCell ref="R82"/>
    <mergeCell ref="A81"/>
    <mergeCell ref="B81"/>
    <mergeCell ref="C81"/>
    <mergeCell ref="D81"/>
    <mergeCell ref="E81"/>
    <mergeCell ref="F81"/>
    <mergeCell ref="G81"/>
    <mergeCell ref="J82"/>
    <mergeCell ref="K82"/>
    <mergeCell ref="L82"/>
    <mergeCell ref="M82"/>
    <mergeCell ref="N82"/>
    <mergeCell ref="O82"/>
    <mergeCell ref="R81"/>
    <mergeCell ref="A82"/>
    <mergeCell ref="B82"/>
    <mergeCell ref="C82"/>
    <mergeCell ref="D82"/>
    <mergeCell ref="E82"/>
    <mergeCell ref="F82"/>
    <mergeCell ref="G82"/>
    <mergeCell ref="H82"/>
    <mergeCell ref="I82"/>
  </mergeCells>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'结果表-住宅'!D116</f>
        <v>出让国有建设用地使用权价值</v>
      </c>
      <c r="E2" s="3500"/>
      <c r="F2" s="3500" t="str">
        <f>'结果表-住宅'!F116</f>
        <v>在建建筑物价值</v>
      </c>
      <c r="G2" s="3500"/>
      <c r="H2" s="3500" t="str">
        <f>IF(项目基本情况!B9="房地产市场价值","房地产市场价值","房地产价值")</f>
        <v>房地产价值</v>
      </c>
      <c r="I2" s="3500"/>
    </row>
    <row r="3" spans="1:9" ht="15">
      <c r="A3" s="3495"/>
      <c r="B3" s="3495"/>
      <c r="C3" s="3495"/>
      <c r="D3" s="854" t="s">
        <v>925</v>
      </c>
      <c r="E3" s="854" t="s">
        <v>931</v>
      </c>
      <c r="F3" s="854" t="s">
        <v>925</v>
      </c>
      <c r="G3" s="854" t="s">
        <v>926</v>
      </c>
      <c r="H3" s="854" t="s">
        <v>925</v>
      </c>
      <c r="I3" s="854" t="s">
        <v>926</v>
      </c>
    </row>
    <row r="4" spans="1:9" ht="15">
      <c r="A4" s="1505" t="str">
        <f>项目基本情况!S2</f>
        <v>房地产</v>
      </c>
      <c r="B4" s="854">
        <f>项目基本情况!C17</f>
        <v>126.25999999999999</v>
      </c>
      <c r="C4" s="854">
        <f>项目基本情况!C18</f>
        <v>0</v>
      </c>
      <c r="D4" s="854" t="e">
        <f ca="1">'结果表-住宅'!D118</f>
        <v>#REF!</v>
      </c>
      <c r="E4" s="854" t="e">
        <f ca="1">'结果表-住宅'!E118</f>
        <v>#REF!</v>
      </c>
      <c r="F4" s="854" t="e">
        <f ca="1">'结果表-住宅'!F118</f>
        <v>#REF!</v>
      </c>
      <c r="G4" s="854" t="e">
        <f ca="1">'结果表-住宅'!G118</f>
        <v>#REF!</v>
      </c>
      <c r="H4" s="854" t="e">
        <f ca="1">'结果表-住宅'!H118</f>
        <v>#REF!</v>
      </c>
      <c r="I4" s="854" t="e">
        <f ca="1">'结果表-住宅'!I118</f>
        <v>#REF!</v>
      </c>
    </row>
    <row r="5" spans="1:9" ht="30" customHeight="1">
      <c r="A5" s="3495" t="s">
        <v>927</v>
      </c>
      <c r="B5" s="3495"/>
      <c r="C5" s="3495"/>
      <c r="D5" s="3495" t="e">
        <f ca="1">'结果表-住宅'!D119</f>
        <v>#REF!</v>
      </c>
      <c r="E5" s="3495"/>
      <c r="F5" s="3495" t="e">
        <f ca="1">'结果表-住宅'!F119</f>
        <v>#REF!</v>
      </c>
      <c r="G5" s="3495"/>
      <c r="H5" s="3495" t="e">
        <f ca="1">'结果表-住宅'!H119</f>
        <v>#REF!</v>
      </c>
      <c r="I5" s="3495"/>
    </row>
    <row r="6" spans="1:9" ht="15.75">
      <c r="A6" s="3494" t="str">
        <f>'结果表-住宅'!A120</f>
        <v>估价师知悉的法定优先受偿款</v>
      </c>
      <c r="B6" s="3494"/>
      <c r="C6" s="3494"/>
      <c r="D6" s="3494">
        <f>'结果表-住宅'!D120</f>
        <v>0</v>
      </c>
      <c r="E6" s="3494"/>
      <c r="F6" s="3494"/>
      <c r="G6" s="3494"/>
      <c r="H6" s="3494"/>
      <c r="I6" s="3494"/>
    </row>
    <row r="7" spans="1:9" ht="15">
      <c r="A7" s="3495" t="s">
        <v>927</v>
      </c>
      <c r="B7" s="3495"/>
      <c r="C7" s="3495"/>
      <c r="D7" s="3496" t="str">
        <f>'结果表-住宅'!D121</f>
        <v>零元整</v>
      </c>
      <c r="E7" s="3497"/>
      <c r="F7" s="3497"/>
      <c r="G7" s="3497"/>
      <c r="H7" s="3497"/>
      <c r="I7" s="3498"/>
    </row>
    <row r="8" spans="1:9" ht="15.75">
      <c r="A8" s="3494" t="str">
        <f>'结果表-住宅'!A122</f>
        <v>房地产抵押价值</v>
      </c>
      <c r="B8" s="3494"/>
      <c r="C8" s="3494"/>
      <c r="D8" s="3494" t="e">
        <f ca="1">'结果表-住宅'!D122</f>
        <v>#REF!</v>
      </c>
      <c r="E8" s="3494"/>
      <c r="F8" s="3494"/>
      <c r="G8" s="3494"/>
      <c r="H8" s="3494"/>
      <c r="I8" s="3494"/>
    </row>
    <row r="9" spans="1:9" ht="15">
      <c r="A9" s="3495" t="s">
        <v>927</v>
      </c>
      <c r="B9" s="3495"/>
      <c r="C9" s="3495"/>
      <c r="D9" s="3495" t="e">
        <f ca="1">'结果表-住宅'!D123</f>
        <v>#REF!</v>
      </c>
      <c r="E9" s="3495"/>
      <c r="F9" s="3495"/>
      <c r="G9" s="3495"/>
      <c r="H9" s="3495"/>
      <c r="I9" s="3495"/>
    </row>
    <row r="10" spans="1:9" ht="15.75">
      <c r="A10" s="3494" t="str">
        <f>'结果表-住宅'!A124</f>
        <v/>
      </c>
      <c r="B10" s="3494"/>
      <c r="C10" s="3494"/>
      <c r="D10" s="3494" t="str">
        <f>'结果表-住宅'!D124</f>
        <v>——</v>
      </c>
      <c r="E10" s="3494"/>
      <c r="F10" s="3494"/>
      <c r="G10" s="3494"/>
      <c r="H10" s="3494"/>
      <c r="I10" s="3494"/>
    </row>
    <row r="11" spans="1:9" ht="15">
      <c r="A11" s="3495" t="s">
        <v>927</v>
      </c>
      <c r="B11" s="3495"/>
      <c r="C11" s="3495"/>
      <c r="D11" s="3495" t="e">
        <f>'结果表-住宅'!D125</f>
        <v>#VALUE!</v>
      </c>
      <c r="E11" s="3495"/>
      <c r="F11" s="3495"/>
      <c r="G11" s="3495"/>
      <c r="H11" s="3495"/>
      <c r="I11" s="3495"/>
    </row>
    <row r="12" spans="1:9" ht="15.75">
      <c r="A12" s="3494" t="str">
        <f>'结果表-住宅'!A126</f>
        <v/>
      </c>
      <c r="B12" s="3494"/>
      <c r="C12" s="3494"/>
      <c r="D12" s="3494" t="str">
        <f>'结果表-住宅'!D126</f>
        <v>——</v>
      </c>
      <c r="E12" s="3494"/>
      <c r="F12" s="3494"/>
      <c r="G12" s="3494"/>
      <c r="H12" s="3494"/>
      <c r="I12" s="3494"/>
    </row>
    <row r="13" spans="1:9" ht="15.75" thickBot="1">
      <c r="A13" s="3492" t="s">
        <v>927</v>
      </c>
      <c r="B13" s="3492"/>
      <c r="C13" s="3492"/>
      <c r="D13" s="3492" t="e">
        <f>'结果表-住宅'!D127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IF(项目基本情况!B8="抵押",'结果表-住宅'!K120,"——")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45226</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2438</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1"/>
      <c r="E18" s="3520" t="s">
        <v>2162</v>
      </c>
      <c r="F18" s="3519"/>
      <c r="G18" s="351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vt:lpstr>
      <vt:lpstr>收益法 (元)</vt:lpstr>
      <vt:lpstr>比较法-住宅</vt:lpstr>
      <vt:lpstr>成本法 (元)</vt:lpstr>
      <vt:lpstr>土地比较法-住宅、综合</vt:lpstr>
      <vt:lpstr>Sheet1</vt:lpstr>
      <vt:lpstr>结果表-车位</vt:lpstr>
      <vt:lpstr>假设开发法</vt:lpstr>
      <vt:lpstr>收益法</vt:lpstr>
      <vt:lpstr>收益法-酒店模型</vt:lpstr>
      <vt:lpstr>收益法（汇总）</vt:lpstr>
      <vt:lpstr>比较法-商业</vt:lpstr>
      <vt:lpstr>比较法-办公</vt:lpstr>
      <vt:lpstr>比较法-工业</vt:lpstr>
      <vt:lpstr>成本法 (元) -车库</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土地成交案例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-车库'!Print_Area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2023-10-27T07:53:43Z</dcterms:modified>
</cp:coreProperties>
</file>