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642司法石景山五里坨\"/>
    </mc:Choice>
  </mc:AlternateContent>
  <xr:revisionPtr revIDLastSave="0" documentId="13_ncr:1_{75F8F875-98E8-4459-B109-14411B9B8A5B}" xr6:coauthVersionLast="45" xr6:coauthVersionMax="45" xr10:uidLastSave="{00000000-0000-0000-0000-000000000000}"/>
  <bookViews>
    <workbookView xWindow="-120" yWindow="-120" windowWidth="21840" windowHeight="1314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住宅" sheetId="9" r:id="rId18"/>
    <sheet name="成本法" sheetId="68" state="hidden" r:id="rId19"/>
    <sheet name="收益法 (元)" sheetId="67" state="hidden" r:id="rId20"/>
    <sheet name="比较法-住宅" sheetId="21" r:id="rId21"/>
    <sheet name="成本法 (元)" sheetId="69" r:id="rId22"/>
    <sheet name="土地比较法-住宅、综合" sheetId="39" state="hidden" r:id="rId23"/>
    <sheet name="sheet1 (2)" sheetId="83" r:id="rId24"/>
    <sheet name="Sheet1" sheetId="80" r:id="rId25"/>
    <sheet name="结果表-车位" sheetId="82" r:id="rId26"/>
    <sheet name="假设开发法" sheetId="12" state="hidden" r:id="rId27"/>
    <sheet name="收益法" sheetId="15" state="hidden" r:id="rId28"/>
    <sheet name="收益法-酒店模型" sheetId="77" state="hidden" r:id="rId29"/>
    <sheet name="收益法（汇总）" sheetId="70" state="hidden" r:id="rId30"/>
    <sheet name="比较法-商业" sheetId="33" state="hidden" r:id="rId31"/>
    <sheet name="比较法-办公" sheetId="34" state="hidden" r:id="rId32"/>
    <sheet name="比较法-工业" sheetId="37" state="hidden" r:id="rId33"/>
    <sheet name="成本法 (元) -车库" sheetId="81" r:id="rId34"/>
    <sheet name="比较法-车位" sheetId="35" r:id="rId35"/>
    <sheet name="比较法-仓储" sheetId="36" state="hidden" r:id="rId36"/>
    <sheet name="土地比较法-工业" sheetId="40" state="hidden" r:id="rId37"/>
    <sheet name="典型户型修正" sheetId="31" state="hidden" r:id="rId38"/>
    <sheet name="基准地价（汇总）" sheetId="76" state="hidden" r:id="rId39"/>
    <sheet name="基准地价修正" sheetId="43" r:id="rId40"/>
    <sheet name="修正" sheetId="45" state="hidden" r:id="rId41"/>
    <sheet name="容积率修正" sheetId="46" state="hidden" r:id="rId42"/>
    <sheet name="成本法（废）" sheetId="11" state="hidden" r:id="rId43"/>
    <sheet name="区片价" sheetId="44" r:id="rId44"/>
    <sheet name="因素修正幅度" sheetId="65" state="hidden" r:id="rId45"/>
    <sheet name="区片价（范围）" sheetId="75" state="hidden" r:id="rId46"/>
    <sheet name="地价-分区" sheetId="79" r:id="rId47"/>
    <sheet name="地价" sheetId="71" state="hidden" r:id="rId48"/>
    <sheet name="存贷款利率" sheetId="73" r:id="rId49"/>
  </sheets>
  <externalReferences>
    <externalReference r:id="rId50"/>
    <externalReference r:id="rId51"/>
  </externalReferences>
  <definedNames>
    <definedName name="_xlnm._FilterDatabase" localSheetId="31" hidden="1">'比较法-办公'!$A$1:$L$50</definedName>
    <definedName name="_xlnm._FilterDatabase" localSheetId="35"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0">'比较法-住宅'!$A$1:$K$54,'比较法-住宅'!$A$57:$M$131</definedName>
    <definedName name="_xlnm.Print_Area" localSheetId="18">成本法!$A$1:$G$57</definedName>
    <definedName name="_xlnm.Print_Area" localSheetId="21">'成本法 (元)'!$A$1:$G$57</definedName>
    <definedName name="_xlnm.Print_Area" localSheetId="33">'成本法 (元) -车库'!$A$1:$G$57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6">假设开发法!$A$1:$K$32</definedName>
    <definedName name="_xlnm.Print_Area" localSheetId="25">'结果表-车位'!$A$1:$I$127</definedName>
    <definedName name="_xlnm.Print_Area" localSheetId="17">'结果表-住宅'!$A$1:$I$127</definedName>
    <definedName name="_xlnm.Print_Area" localSheetId="27">收益法!$A$1:$F$43,收益法!$H$3:$M$29,收益法!$A$46:$F$71,收益法!$I$46:$N$65</definedName>
    <definedName name="_xlnm.Print_Area" localSheetId="19">'收益法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5" i="74" l="1"/>
  <c r="B14" i="74"/>
  <c r="I46" i="39" l="1"/>
  <c r="G46" i="39"/>
  <c r="E46" i="39"/>
  <c r="C6" i="69" l="1"/>
  <c r="R6" i="80"/>
  <c r="T2" i="80" l="1"/>
  <c r="K8" i="69" l="1"/>
  <c r="C10" i="39"/>
  <c r="T4" i="80"/>
  <c r="T3" i="80"/>
  <c r="D14" i="9" l="1"/>
  <c r="I37" i="21" l="1"/>
  <c r="G37" i="21"/>
  <c r="E37" i="21"/>
  <c r="C37" i="21"/>
  <c r="I33" i="21"/>
  <c r="G33" i="21"/>
  <c r="E33" i="21"/>
  <c r="C33" i="21"/>
  <c r="I47" i="21"/>
  <c r="G47" i="21"/>
  <c r="E47" i="21"/>
  <c r="N7" i="1"/>
  <c r="D14" i="82"/>
  <c r="D17" i="82" s="1"/>
  <c r="G37" i="35"/>
  <c r="E37" i="35"/>
  <c r="A124" i="82"/>
  <c r="A120" i="82"/>
  <c r="B118" i="82"/>
  <c r="A118" i="82"/>
  <c r="E111" i="82"/>
  <c r="A126" i="82" s="1"/>
  <c r="H109" i="82"/>
  <c r="D124" i="82" s="1"/>
  <c r="D125" i="82" s="1"/>
  <c r="E109" i="82"/>
  <c r="E107" i="82"/>
  <c r="A122" i="82" s="1"/>
  <c r="H106" i="82"/>
  <c r="H105" i="82"/>
  <c r="H104" i="82"/>
  <c r="H103" i="82"/>
  <c r="D120" i="82" s="1"/>
  <c r="D101" i="82"/>
  <c r="C101" i="82"/>
  <c r="D93" i="82"/>
  <c r="C91" i="82"/>
  <c r="E90" i="82"/>
  <c r="D89" i="82"/>
  <c r="C89" i="82" s="1"/>
  <c r="C87" i="82" s="1"/>
  <c r="D78" i="82"/>
  <c r="H77" i="82"/>
  <c r="D77" i="82"/>
  <c r="C77" i="82"/>
  <c r="C76" i="82"/>
  <c r="C74" i="82"/>
  <c r="D68" i="82"/>
  <c r="L67" i="82"/>
  <c r="M67" i="82" s="1"/>
  <c r="F59" i="82"/>
  <c r="E59" i="82"/>
  <c r="N55" i="82" s="1"/>
  <c r="N56" i="82"/>
  <c r="M56" i="82"/>
  <c r="K56" i="82"/>
  <c r="J56" i="82"/>
  <c r="J57" i="82" s="1"/>
  <c r="J59" i="82" s="1"/>
  <c r="J61" i="82" s="1"/>
  <c r="F56" i="82"/>
  <c r="O55" i="82"/>
  <c r="K55" i="82"/>
  <c r="J55" i="82"/>
  <c r="I55" i="82"/>
  <c r="F55" i="82"/>
  <c r="O54" i="82"/>
  <c r="N54" i="82"/>
  <c r="F54" i="82"/>
  <c r="O53" i="82"/>
  <c r="N53" i="82"/>
  <c r="F53" i="82"/>
  <c r="F52" i="82"/>
  <c r="M49" i="82"/>
  <c r="K49" i="82"/>
  <c r="F48" i="82"/>
  <c r="O52" i="82" s="1"/>
  <c r="E48" i="82"/>
  <c r="N52" i="82" s="1"/>
  <c r="D48" i="82"/>
  <c r="M52" i="82" s="1"/>
  <c r="M47" i="82"/>
  <c r="F33" i="82"/>
  <c r="D27" i="82"/>
  <c r="C25" i="82"/>
  <c r="C24" i="82"/>
  <c r="M19" i="82"/>
  <c r="C118" i="82" s="1"/>
  <c r="L19" i="82"/>
  <c r="M18" i="82"/>
  <c r="L18" i="82"/>
  <c r="C17" i="82"/>
  <c r="L4" i="82"/>
  <c r="K4" i="82"/>
  <c r="A2" i="82"/>
  <c r="H1" i="82"/>
  <c r="I29" i="35"/>
  <c r="G29" i="35"/>
  <c r="E29" i="35"/>
  <c r="C29" i="35"/>
  <c r="C48" i="81"/>
  <c r="G41" i="81"/>
  <c r="F38" i="81"/>
  <c r="E37" i="81"/>
  <c r="F36" i="81"/>
  <c r="F35" i="81"/>
  <c r="F30" i="81"/>
  <c r="F48" i="81" s="1"/>
  <c r="C30" i="81"/>
  <c r="G22" i="81"/>
  <c r="F21" i="81"/>
  <c r="F40" i="81" s="1"/>
  <c r="F20" i="81"/>
  <c r="F39" i="81" s="1"/>
  <c r="E19" i="81"/>
  <c r="C19" i="81"/>
  <c r="E10" i="81"/>
  <c r="E9" i="81"/>
  <c r="F7" i="81"/>
  <c r="H1" i="81"/>
  <c r="G1" i="81"/>
  <c r="D42" i="43"/>
  <c r="G44" i="43"/>
  <c r="G20" i="6"/>
  <c r="D10" i="81"/>
  <c r="D34" i="82"/>
  <c r="D35" i="82"/>
  <c r="E2" i="81"/>
  <c r="C10" i="81" l="1"/>
  <c r="C18" i="82"/>
  <c r="D18" i="82" s="1"/>
  <c r="C92" i="82"/>
  <c r="C94" i="82"/>
  <c r="K120" i="82"/>
  <c r="D121" i="82"/>
  <c r="L66" i="82"/>
  <c r="M66" i="82" s="1"/>
  <c r="L65" i="82"/>
  <c r="M65" i="82" s="1"/>
  <c r="L64" i="82"/>
  <c r="M64" i="82" s="1"/>
  <c r="L63" i="82"/>
  <c r="M63" i="82" s="1"/>
  <c r="M69" i="82" s="1"/>
  <c r="N69" i="82" s="1"/>
  <c r="L68" i="82"/>
  <c r="M68" i="82" s="1"/>
  <c r="H112" i="82"/>
  <c r="H110" i="82"/>
  <c r="H111" i="82"/>
  <c r="D126" i="82" s="1"/>
  <c r="D127" i="82" s="1"/>
  <c r="C40" i="81"/>
  <c r="C21" i="81"/>
  <c r="D33" i="43"/>
  <c r="Y6" i="1"/>
  <c r="N6" i="1"/>
  <c r="N20" i="1"/>
  <c r="F19" i="6"/>
  <c r="D9" i="81"/>
  <c r="C34" i="81"/>
  <c r="C9" i="81" l="1"/>
  <c r="C8" i="81" s="1"/>
  <c r="D19" i="81"/>
  <c r="D37" i="81" s="1"/>
  <c r="C37" i="81" s="1"/>
  <c r="C35" i="81"/>
  <c r="C38" i="81"/>
  <c r="B3" i="4"/>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X34" i="71"/>
  <c r="X35" i="71"/>
  <c r="X36" i="71"/>
  <c r="AA36" i="71"/>
  <c r="C38" i="71"/>
  <c r="D38" i="71" s="1"/>
  <c r="Y37" i="71"/>
  <c r="Z37" i="71"/>
  <c r="AB37" i="71"/>
  <c r="X38" i="71"/>
  <c r="AA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5" i="71"/>
  <c r="AA26" i="71"/>
  <c r="AA27" i="71"/>
  <c r="AA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H1" i="69"/>
  <c r="W25" i="40"/>
  <c r="U25" i="40"/>
  <c r="U29" i="39"/>
  <c r="W29" i="39"/>
  <c r="W18" i="36"/>
  <c r="AB21" i="37"/>
  <c r="U21" i="37"/>
  <c r="S21" i="37"/>
  <c r="U21" i="34"/>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C5" i="3" s="1"/>
  <c r="BD493" i="3"/>
  <c r="BE493" i="3"/>
  <c r="BF493" i="3"/>
  <c r="BG493" i="3"/>
  <c r="BG5" i="3" s="1"/>
  <c r="BH493" i="3"/>
  <c r="BI493" i="3"/>
  <c r="BJ493" i="3"/>
  <c r="BK493" i="3"/>
  <c r="BK5" i="3" s="1"/>
  <c r="BM493" i="3"/>
  <c r="BN493" i="3"/>
  <c r="BN5" i="3" s="1"/>
  <c r="BO493" i="3"/>
  <c r="BP493" i="3"/>
  <c r="BR493" i="3"/>
  <c r="BS493" i="3"/>
  <c r="BS5" i="3" s="1"/>
  <c r="BT493" i="3"/>
  <c r="H494" i="3"/>
  <c r="AC494" i="3"/>
  <c r="BB494" i="3"/>
  <c r="BA494" i="3" s="1"/>
  <c r="BC494" i="3"/>
  <c r="BD494" i="3"/>
  <c r="BE494" i="3"/>
  <c r="BF494" i="3"/>
  <c r="BF5" i="3" s="1"/>
  <c r="BG494" i="3"/>
  <c r="BH494" i="3"/>
  <c r="BI494" i="3"/>
  <c r="BJ494" i="3"/>
  <c r="BJ5" i="3" s="1"/>
  <c r="BK494" i="3"/>
  <c r="BM494" i="3"/>
  <c r="BL494" i="3" s="1"/>
  <c r="BN494" i="3"/>
  <c r="BO494" i="3"/>
  <c r="BO5" i="3" s="1"/>
  <c r="BP494" i="3"/>
  <c r="BQ494" i="3"/>
  <c r="BR494" i="3"/>
  <c r="BS494" i="3"/>
  <c r="BT494" i="3"/>
  <c r="H495" i="3"/>
  <c r="AC495" i="3"/>
  <c r="BB495" i="3"/>
  <c r="BA495" i="3" s="1"/>
  <c r="BC495" i="3"/>
  <c r="BD495" i="3"/>
  <c r="BE495" i="3"/>
  <c r="BF495" i="3"/>
  <c r="BG495" i="3"/>
  <c r="BH495" i="3"/>
  <c r="BI495" i="3"/>
  <c r="BJ495" i="3"/>
  <c r="BK495" i="3"/>
  <c r="BM495" i="3"/>
  <c r="BL495" i="3" s="1"/>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L499" i="3" s="1"/>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L502" i="3" s="1"/>
  <c r="AZ502" i="3" s="1"/>
  <c r="BN502" i="3"/>
  <c r="BO502" i="3"/>
  <c r="BP502" i="3"/>
  <c r="BQ502" i="3"/>
  <c r="BR502" i="3"/>
  <c r="BS502" i="3"/>
  <c r="BT502" i="3"/>
  <c r="H503" i="3"/>
  <c r="AC503" i="3"/>
  <c r="BB503" i="3"/>
  <c r="BA503" i="3" s="1"/>
  <c r="AZ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AZ505" i="3" s="1"/>
  <c r="BO505" i="3"/>
  <c r="BP505" i="3"/>
  <c r="BR505" i="3"/>
  <c r="BS505" i="3"/>
  <c r="BT505" i="3"/>
  <c r="H506" i="3"/>
  <c r="AC506" i="3"/>
  <c r="BB506" i="3"/>
  <c r="BA506" i="3" s="1"/>
  <c r="AZ506" i="3" s="1"/>
  <c r="BC506" i="3"/>
  <c r="BD506" i="3"/>
  <c r="BE506" i="3"/>
  <c r="BF506" i="3"/>
  <c r="BG506" i="3"/>
  <c r="BH506" i="3"/>
  <c r="BI506" i="3"/>
  <c r="BJ506" i="3"/>
  <c r="BK506" i="3"/>
  <c r="BM506" i="3"/>
  <c r="BN506" i="3"/>
  <c r="BO506" i="3"/>
  <c r="BP506" i="3"/>
  <c r="BQ506" i="3"/>
  <c r="BR506" i="3"/>
  <c r="BS506" i="3"/>
  <c r="BT506" i="3"/>
  <c r="H507" i="3"/>
  <c r="AC507" i="3"/>
  <c r="BB507" i="3"/>
  <c r="BA507" i="3" s="1"/>
  <c r="AZ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AZ509" i="3" s="1"/>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AZ513" i="3" s="1"/>
  <c r="BC513" i="3"/>
  <c r="BD513" i="3"/>
  <c r="BE513" i="3"/>
  <c r="BF513" i="3"/>
  <c r="BG513" i="3"/>
  <c r="BH513" i="3"/>
  <c r="BI513" i="3"/>
  <c r="BJ513" i="3"/>
  <c r="BK513" i="3"/>
  <c r="BM513" i="3"/>
  <c r="BL513" i="3" s="1"/>
  <c r="BN513" i="3"/>
  <c r="BO513" i="3"/>
  <c r="BP513" i="3"/>
  <c r="BR513" i="3"/>
  <c r="BS513" i="3"/>
  <c r="BT513" i="3"/>
  <c r="H514" i="3"/>
  <c r="AC514" i="3"/>
  <c r="BB514" i="3"/>
  <c r="BC514" i="3"/>
  <c r="BA514" i="3" s="1"/>
  <c r="AZ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L517" i="3" s="1"/>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G522" i="3" s="1"/>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AZ523" i="3" s="1"/>
  <c r="BC523" i="3"/>
  <c r="BD523" i="3"/>
  <c r="BE523" i="3"/>
  <c r="BF523" i="3"/>
  <c r="BG523" i="3"/>
  <c r="BH523" i="3"/>
  <c r="BI523" i="3"/>
  <c r="BJ523" i="3"/>
  <c r="BK523" i="3"/>
  <c r="BM523" i="3"/>
  <c r="BN523" i="3"/>
  <c r="BO523" i="3"/>
  <c r="BP523" i="3"/>
  <c r="BR523" i="3"/>
  <c r="BS523" i="3"/>
  <c r="BT523" i="3"/>
  <c r="H524" i="3"/>
  <c r="AC524" i="3"/>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L525" i="3" s="1"/>
  <c r="AZ525" i="3" s="1"/>
  <c r="BO525" i="3"/>
  <c r="BP525" i="3"/>
  <c r="BR525" i="3"/>
  <c r="BS525" i="3"/>
  <c r="BT525" i="3"/>
  <c r="H526" i="3"/>
  <c r="AC526" i="3"/>
  <c r="G526" i="3"/>
  <c r="BB526" i="3"/>
  <c r="BC526" i="3"/>
  <c r="BA526" i="3" s="1"/>
  <c r="AZ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AZ527" i="3" s="1"/>
  <c r="BD527" i="3"/>
  <c r="BE527" i="3"/>
  <c r="BF527" i="3"/>
  <c r="BG527" i="3"/>
  <c r="BH527" i="3"/>
  <c r="BI527" i="3"/>
  <c r="BJ527" i="3"/>
  <c r="BK527" i="3"/>
  <c r="BM527" i="3"/>
  <c r="BN527" i="3"/>
  <c r="BO527" i="3"/>
  <c r="BP527" i="3"/>
  <c r="BR527" i="3"/>
  <c r="BS527" i="3"/>
  <c r="BT527" i="3"/>
  <c r="H528" i="3"/>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L529" i="3" s="1"/>
  <c r="AZ529" i="3" s="1"/>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AZ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AZ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AZ537" i="3" s="1"/>
  <c r="BN537" i="3"/>
  <c r="BO537" i="3"/>
  <c r="BP537" i="3"/>
  <c r="BR537" i="3"/>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A539" i="3" s="1"/>
  <c r="AZ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L551" i="3" s="1"/>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A559" i="3" s="1"/>
  <c r="AZ559" i="3" s="1"/>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L561" i="3" s="1"/>
  <c r="AZ561" i="3" s="1"/>
  <c r="BO561" i="3"/>
  <c r="BP561" i="3"/>
  <c r="BR561" i="3"/>
  <c r="BS561" i="3"/>
  <c r="BT561" i="3"/>
  <c r="H562" i="3"/>
  <c r="AC562" i="3"/>
  <c r="G562" i="3"/>
  <c r="BB562" i="3"/>
  <c r="BC562" i="3"/>
  <c r="BA562" i="3" s="1"/>
  <c r="BD562" i="3"/>
  <c r="BE562" i="3"/>
  <c r="BF562" i="3"/>
  <c r="BG562" i="3"/>
  <c r="BH562" i="3"/>
  <c r="BI562" i="3"/>
  <c r="BJ562" i="3"/>
  <c r="BK562" i="3"/>
  <c r="BM562" i="3"/>
  <c r="BN562" i="3"/>
  <c r="BL562" i="3" s="1"/>
  <c r="BO562" i="3"/>
  <c r="BP562" i="3"/>
  <c r="BQ562" i="3"/>
  <c r="BR562" i="3"/>
  <c r="BS562" i="3"/>
  <c r="BT562" i="3"/>
  <c r="H563" i="3"/>
  <c r="AC563" i="3"/>
  <c r="BB563" i="3"/>
  <c r="BC563" i="3"/>
  <c r="BA563" i="3" s="1"/>
  <c r="BD563" i="3"/>
  <c r="BE563" i="3"/>
  <c r="BF563" i="3"/>
  <c r="BG563" i="3"/>
  <c r="BH563" i="3"/>
  <c r="BI563" i="3"/>
  <c r="BJ563" i="3"/>
  <c r="BK563" i="3"/>
  <c r="BM563" i="3"/>
  <c r="BN563" i="3"/>
  <c r="BL563" i="3" s="1"/>
  <c r="BO563" i="3"/>
  <c r="BP563" i="3"/>
  <c r="BR563" i="3"/>
  <c r="BS563" i="3"/>
  <c r="BT563" i="3"/>
  <c r="H564" i="3"/>
  <c r="G564" i="3" s="1"/>
  <c r="AC564" i="3"/>
  <c r="BB564" i="3"/>
  <c r="BA564" i="3" s="1"/>
  <c r="AZ564" i="3" s="1"/>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A574" i="3" s="1"/>
  <c r="AZ574" i="3" s="1"/>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L575" i="3" s="1"/>
  <c r="BN575" i="3"/>
  <c r="BO575" i="3"/>
  <c r="BP575" i="3"/>
  <c r="BR575" i="3"/>
  <c r="BS575" i="3"/>
  <c r="BT575" i="3"/>
  <c r="H576" i="3"/>
  <c r="AC576" i="3"/>
  <c r="BB576" i="3"/>
  <c r="BC576" i="3"/>
  <c r="BA576" i="3" s="1"/>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A578" i="3" s="1"/>
  <c r="BD578" i="3"/>
  <c r="BE578" i="3"/>
  <c r="BF578" i="3"/>
  <c r="BG578" i="3"/>
  <c r="BH578" i="3"/>
  <c r="BI578" i="3"/>
  <c r="BJ578" i="3"/>
  <c r="BK578" i="3"/>
  <c r="BM578" i="3"/>
  <c r="BN578" i="3"/>
  <c r="BL578" i="3" s="1"/>
  <c r="BO578" i="3"/>
  <c r="BP578" i="3"/>
  <c r="BQ578" i="3"/>
  <c r="BR578" i="3"/>
  <c r="BS578" i="3"/>
  <c r="BT578" i="3"/>
  <c r="H579" i="3"/>
  <c r="AC579" i="3"/>
  <c r="BB579" i="3"/>
  <c r="BC579" i="3"/>
  <c r="BA579" i="3" s="1"/>
  <c r="BD579" i="3"/>
  <c r="BE579" i="3"/>
  <c r="BF579" i="3"/>
  <c r="BG579" i="3"/>
  <c r="BH579" i="3"/>
  <c r="BI579" i="3"/>
  <c r="BJ579" i="3"/>
  <c r="BK579" i="3"/>
  <c r="BM579" i="3"/>
  <c r="BN579" i="3"/>
  <c r="BL579" i="3" s="1"/>
  <c r="BO579" i="3"/>
  <c r="BP579" i="3"/>
  <c r="BR579" i="3"/>
  <c r="BS579" i="3"/>
  <c r="BT579" i="3"/>
  <c r="H580" i="3"/>
  <c r="G580" i="3" s="1"/>
  <c r="AC580" i="3"/>
  <c r="BB580" i="3"/>
  <c r="BA580" i="3" s="1"/>
  <c r="AZ580" i="3" s="1"/>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AB31" i="35" s="1"/>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E114" i="34" s="1"/>
  <c r="F38" i="34"/>
  <c r="S38" i="34"/>
  <c r="D112" i="34"/>
  <c r="E112" i="34"/>
  <c r="F112" i="34" s="1"/>
  <c r="G112" i="34"/>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c r="F92" i="40" s="1"/>
  <c r="G92" i="40" s="1"/>
  <c r="D90" i="40"/>
  <c r="E90" i="40"/>
  <c r="F90" i="40" s="1"/>
  <c r="G90" i="40"/>
  <c r="D88" i="40"/>
  <c r="E88" i="40"/>
  <c r="F88" i="40" s="1"/>
  <c r="G88" i="40" s="1"/>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AC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F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F75" i="37" s="1"/>
  <c r="G75" i="37" s="1"/>
  <c r="D73" i="37"/>
  <c r="E73" i="37" s="1"/>
  <c r="F73" i="37"/>
  <c r="G73" i="37" s="1"/>
  <c r="D71" i="37"/>
  <c r="H15" i="37"/>
  <c r="AB15" i="37" s="1"/>
  <c r="B68" i="37"/>
  <c r="H14" i="37" s="1"/>
  <c r="AB14" i="37"/>
  <c r="B66" i="37"/>
  <c r="B64" i="37"/>
  <c r="H12" i="37" s="1"/>
  <c r="AB12" i="37" s="1"/>
  <c r="D63" i="37"/>
  <c r="E63" i="37"/>
  <c r="F63" i="37" s="1"/>
  <c r="G63" i="37" s="1"/>
  <c r="H63" i="37" s="1"/>
  <c r="I63" i="37" s="1"/>
  <c r="J63" i="37" s="1"/>
  <c r="K63" i="37" s="1"/>
  <c r="L63" i="37" s="1"/>
  <c r="M63" i="37" s="1"/>
  <c r="M61" i="37"/>
  <c r="L61" i="37"/>
  <c r="K61" i="37"/>
  <c r="J61" i="37"/>
  <c r="I61" i="37"/>
  <c r="H61" i="37"/>
  <c r="G61" i="37"/>
  <c r="F61" i="37"/>
  <c r="E61" i="37"/>
  <c r="D61" i="37"/>
  <c r="C61" i="37"/>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J32" i="36" s="1"/>
  <c r="W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B73" i="36"/>
  <c r="J24" i="36"/>
  <c r="AC24" i="36" s="1"/>
  <c r="B71" i="36"/>
  <c r="D70" i="36"/>
  <c r="H22" i="36"/>
  <c r="AB22" i="36" s="1"/>
  <c r="D68" i="36"/>
  <c r="E68" i="36" s="1"/>
  <c r="F68" i="36" s="1"/>
  <c r="G68" i="36" s="1"/>
  <c r="D64" i="36"/>
  <c r="E64" i="36" s="1"/>
  <c r="F64" i="36" s="1"/>
  <c r="G64" i="36" s="1"/>
  <c r="J16" i="36"/>
  <c r="D62" i="36"/>
  <c r="E62" i="36" s="1"/>
  <c r="F62" i="36"/>
  <c r="G62" i="36" s="1"/>
  <c r="B59" i="36"/>
  <c r="F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H11" i="35" s="1"/>
  <c r="AB11" i="35" s="1"/>
  <c r="B61" i="35"/>
  <c r="B59" i="35"/>
  <c r="H12" i="35" s="1"/>
  <c r="U12" i="35" s="1"/>
  <c r="B131" i="34"/>
  <c r="B129" i="34"/>
  <c r="J46" i="34" s="1"/>
  <c r="AC46" i="34" s="1"/>
  <c r="B127" i="34"/>
  <c r="B99" i="34"/>
  <c r="F32" i="34" s="1"/>
  <c r="AA32" i="34" s="1"/>
  <c r="B97" i="34"/>
  <c r="B95" i="34"/>
  <c r="H30" i="34" s="1"/>
  <c r="AB30" i="34" s="1"/>
  <c r="B93" i="34"/>
  <c r="B75" i="34"/>
  <c r="F14" i="34" s="1"/>
  <c r="B73" i="34"/>
  <c r="B71" i="34"/>
  <c r="H12" i="34" s="1"/>
  <c r="B130" i="33"/>
  <c r="B128" i="33"/>
  <c r="H45" i="33" s="1"/>
  <c r="B126" i="33"/>
  <c r="B98" i="33"/>
  <c r="F31" i="33" s="1"/>
  <c r="S31" i="33" s="1"/>
  <c r="B96" i="33"/>
  <c r="B94" i="33"/>
  <c r="H29" i="33" s="1"/>
  <c r="B74" i="33"/>
  <c r="B72" i="33"/>
  <c r="H13" i="33" s="1"/>
  <c r="U13" i="33" s="1"/>
  <c r="B70" i="33"/>
  <c r="J12" i="33"/>
  <c r="W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W28" i="34" s="1"/>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S8" i="34" s="1"/>
  <c r="D121" i="33"/>
  <c r="E121" i="33"/>
  <c r="F109" i="33"/>
  <c r="E109" i="33"/>
  <c r="D109" i="33"/>
  <c r="C109" i="33"/>
  <c r="D91" i="33"/>
  <c r="E91" i="33"/>
  <c r="F91" i="33" s="1"/>
  <c r="G91" i="33" s="1"/>
  <c r="H91" i="33" s="1"/>
  <c r="I91" i="33" s="1"/>
  <c r="J91" i="33" s="1"/>
  <c r="K91" i="33" s="1"/>
  <c r="L91" i="33" s="1"/>
  <c r="M91" i="33" s="1"/>
  <c r="B88" i="33"/>
  <c r="J26" i="33"/>
  <c r="W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C21" i="20"/>
  <c r="B56" i="43" s="1"/>
  <c r="C20" i="20"/>
  <c r="C18" i="20"/>
  <c r="C21" i="39" s="1"/>
  <c r="C17" i="20"/>
  <c r="B61" i="43" s="1"/>
  <c r="C16" i="20"/>
  <c r="C17" i="39" s="1"/>
  <c r="C15" i="20"/>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F77" i="21" s="1"/>
  <c r="G77" i="21" s="1"/>
  <c r="B130" i="21"/>
  <c r="B128" i="21"/>
  <c r="J45" i="21"/>
  <c r="W45" i="21" s="1"/>
  <c r="B126" i="21"/>
  <c r="H44" i="21" s="1"/>
  <c r="B98" i="21"/>
  <c r="H31" i="21"/>
  <c r="U31" i="21" s="1"/>
  <c r="B96" i="21"/>
  <c r="B94" i="21"/>
  <c r="J29" i="21" s="1"/>
  <c r="AC29" i="21" s="1"/>
  <c r="B92" i="21"/>
  <c r="B90" i="21"/>
  <c r="J27" i="21" s="1"/>
  <c r="W27" i="21"/>
  <c r="B74" i="21"/>
  <c r="B72" i="21"/>
  <c r="H13" i="21" s="1"/>
  <c r="U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J45" i="39"/>
  <c r="W45" i="39" s="1"/>
  <c r="J44" i="39"/>
  <c r="AC44" i="39" s="1"/>
  <c r="F36" i="39"/>
  <c r="S36" i="39" s="1"/>
  <c r="H36" i="39"/>
  <c r="AB36" i="39" s="1"/>
  <c r="J35" i="39"/>
  <c r="AC35" i="39" s="1"/>
  <c r="F35" i="39"/>
  <c r="AA35" i="39" s="1"/>
  <c r="J36" i="39"/>
  <c r="AC36" i="39" s="1"/>
  <c r="W40" i="39"/>
  <c r="W25" i="37"/>
  <c r="W31" i="37"/>
  <c r="E103" i="37"/>
  <c r="F103" i="37"/>
  <c r="G103" i="37" s="1"/>
  <c r="H103" i="37" s="1"/>
  <c r="I103" i="37" s="1"/>
  <c r="J103" i="37" s="1"/>
  <c r="K103" i="37" s="1"/>
  <c r="L103" i="37" s="1"/>
  <c r="M103" i="37" s="1"/>
  <c r="F39" i="37"/>
  <c r="U14" i="37"/>
  <c r="F29" i="36"/>
  <c r="AA29" i="36" s="1"/>
  <c r="F16" i="36"/>
  <c r="AA16" i="36" s="1"/>
  <c r="U9" i="36"/>
  <c r="U31" i="36"/>
  <c r="H22" i="35"/>
  <c r="AB22" i="35" s="1"/>
  <c r="AC27" i="35"/>
  <c r="W22" i="35"/>
  <c r="F36" i="34"/>
  <c r="J35" i="34"/>
  <c r="U34" i="34"/>
  <c r="H39" i="33"/>
  <c r="AB39" i="33"/>
  <c r="F26" i="33"/>
  <c r="AA26" i="33"/>
  <c r="U35" i="33"/>
  <c r="S40" i="33"/>
  <c r="W33" i="33"/>
  <c r="W39" i="33"/>
  <c r="H39" i="37"/>
  <c r="AB39" i="37" s="1"/>
  <c r="S27" i="35"/>
  <c r="F11" i="40"/>
  <c r="AA11" i="40"/>
  <c r="H11" i="40"/>
  <c r="AB11" i="40"/>
  <c r="AB39" i="40"/>
  <c r="AA9" i="40"/>
  <c r="U38" i="40"/>
  <c r="W31" i="40"/>
  <c r="S38" i="40"/>
  <c r="F42" i="39"/>
  <c r="AA42" i="39" s="1"/>
  <c r="F41" i="39"/>
  <c r="S41" i="39" s="1"/>
  <c r="H40" i="39"/>
  <c r="AB40" i="39" s="1"/>
  <c r="H39" i="39"/>
  <c r="U39" i="39" s="1"/>
  <c r="S38"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H27" i="39"/>
  <c r="U27" i="39" s="1"/>
  <c r="J19" i="39"/>
  <c r="AC19" i="39" s="1"/>
  <c r="J17" i="39"/>
  <c r="J27" i="39"/>
  <c r="AC27" i="39"/>
  <c r="F27" i="39"/>
  <c r="F11" i="21"/>
  <c r="S11" i="21" s="1"/>
  <c r="S40" i="21"/>
  <c r="U34" i="21"/>
  <c r="C25" i="39"/>
  <c r="H11" i="39"/>
  <c r="S40" i="39"/>
  <c r="H32" i="33"/>
  <c r="AB32" i="33" s="1"/>
  <c r="H11" i="21"/>
  <c r="U11" i="21" s="1"/>
  <c r="J11" i="21"/>
  <c r="W11" i="21" s="1"/>
  <c r="H37" i="40"/>
  <c r="U37" i="40" s="1"/>
  <c r="H36" i="40"/>
  <c r="AB36" i="40" s="1"/>
  <c r="F35" i="40"/>
  <c r="AA35" i="40" s="1"/>
  <c r="H23" i="40"/>
  <c r="H17" i="40"/>
  <c r="U17" i="40" s="1"/>
  <c r="J15" i="40"/>
  <c r="W15" i="40" s="1"/>
  <c r="J11" i="40"/>
  <c r="AB8" i="39"/>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AC29" i="35" s="1"/>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H36" i="34"/>
  <c r="U36" i="34" s="1"/>
  <c r="F37" i="34"/>
  <c r="AA37" i="34" s="1"/>
  <c r="S35" i="34"/>
  <c r="F28" i="34"/>
  <c r="AA28" i="34" s="1"/>
  <c r="F27" i="34"/>
  <c r="AA27" i="34" s="1"/>
  <c r="F25" i="34"/>
  <c r="S25" i="34" s="1"/>
  <c r="H23" i="34"/>
  <c r="J23" i="34"/>
  <c r="AC23" i="34" s="1"/>
  <c r="F19" i="34"/>
  <c r="H17" i="34"/>
  <c r="U17" i="34" s="1"/>
  <c r="F15" i="34"/>
  <c r="AA15" i="34" s="1"/>
  <c r="J15" i="34"/>
  <c r="H15" i="34"/>
  <c r="AB15" i="34" s="1"/>
  <c r="W8" i="34"/>
  <c r="F41" i="33"/>
  <c r="AA41" i="33"/>
  <c r="S38" i="33"/>
  <c r="E113" i="33"/>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42" i="34"/>
  <c r="S42" i="34"/>
  <c r="AA38" i="34"/>
  <c r="J37" i="34"/>
  <c r="AC37" i="34" s="1"/>
  <c r="J11" i="33"/>
  <c r="W11" i="33" s="1"/>
  <c r="G123" i="21"/>
  <c r="H123" i="21" s="1"/>
  <c r="I123" i="21" s="1"/>
  <c r="J123" i="21" s="1"/>
  <c r="K123" i="21" s="1"/>
  <c r="L123" i="21" s="1"/>
  <c r="M123" i="21" s="1"/>
  <c r="J42" i="21"/>
  <c r="AC42" i="21"/>
  <c r="H42" i="21"/>
  <c r="U42" i="2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s="1"/>
  <c r="F30" i="35"/>
  <c r="S30" i="35" s="1"/>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J31" i="21"/>
  <c r="AC31" i="21" s="1"/>
  <c r="F31" i="21"/>
  <c r="S31" i="21" s="1"/>
  <c r="F45" i="21"/>
  <c r="AA45" i="21" s="1"/>
  <c r="F27" i="33"/>
  <c r="AA27" i="33" s="1"/>
  <c r="J13" i="33"/>
  <c r="W13" i="33" s="1"/>
  <c r="J29" i="33"/>
  <c r="AC29" i="33" s="1"/>
  <c r="F29" i="33"/>
  <c r="S29" i="33" s="1"/>
  <c r="H31" i="33"/>
  <c r="U31" i="33" s="1"/>
  <c r="J45" i="33"/>
  <c r="W45" i="33" s="1"/>
  <c r="J14" i="34"/>
  <c r="W14" i="34" s="1"/>
  <c r="H14" i="34"/>
  <c r="AB14" i="34" s="1"/>
  <c r="J30" i="34"/>
  <c r="W30" i="34" s="1"/>
  <c r="J32" i="34"/>
  <c r="W32" i="34" s="1"/>
  <c r="F46" i="34"/>
  <c r="AA46" i="34" s="1"/>
  <c r="J26" i="36"/>
  <c r="W26" i="36" s="1"/>
  <c r="H28" i="36"/>
  <c r="U28" i="36" s="1"/>
  <c r="J11" i="36"/>
  <c r="AC11" i="36" s="1"/>
  <c r="H11" i="36"/>
  <c r="U11" i="36" s="1"/>
  <c r="F11" i="36"/>
  <c r="AA11" i="36" s="1"/>
  <c r="H13" i="36"/>
  <c r="AB13" i="36" s="1"/>
  <c r="J13" i="36"/>
  <c r="W13" i="36" s="1"/>
  <c r="S13" i="36"/>
  <c r="F89" i="37"/>
  <c r="G89" i="37" s="1"/>
  <c r="H89" i="37" s="1"/>
  <c r="I89" i="37" s="1"/>
  <c r="J89" i="37" s="1"/>
  <c r="K89" i="37" s="1"/>
  <c r="L89" i="37" s="1"/>
  <c r="M89" i="37" s="1"/>
  <c r="J29" i="37"/>
  <c r="W29" i="37" s="1"/>
  <c r="F29" i="37"/>
  <c r="S29" i="37" s="1"/>
  <c r="F105" i="37"/>
  <c r="H36" i="37"/>
  <c r="AB36" i="37"/>
  <c r="J37" i="37"/>
  <c r="AC37" i="37" s="1"/>
  <c r="H37" i="37"/>
  <c r="U37" i="37" s="1"/>
  <c r="J40" i="37"/>
  <c r="AC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c r="H13" i="37"/>
  <c r="AB13" i="37" s="1"/>
  <c r="F13" i="37"/>
  <c r="S13" i="37" s="1"/>
  <c r="J13" i="37"/>
  <c r="W13" i="37" s="1"/>
  <c r="F28" i="37"/>
  <c r="AA28" i="37"/>
  <c r="J28" i="37"/>
  <c r="AC28" i="37"/>
  <c r="H28" i="37"/>
  <c r="U28" i="37"/>
  <c r="H38" i="37"/>
  <c r="AB38" i="37"/>
  <c r="J38" i="37"/>
  <c r="AC38" i="37"/>
  <c r="F38" i="37"/>
  <c r="S38" i="37"/>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H14" i="40"/>
  <c r="AB14" i="40"/>
  <c r="J14" i="40"/>
  <c r="W14" i="40"/>
  <c r="F14" i="40"/>
  <c r="AA14" i="40"/>
  <c r="J14" i="37"/>
  <c r="AC14" i="37"/>
  <c r="AA13" i="35"/>
  <c r="U31" i="34"/>
  <c r="U46" i="33"/>
  <c r="J36" i="37"/>
  <c r="AC36" i="37" s="1"/>
  <c r="G105" i="37"/>
  <c r="J10" i="36"/>
  <c r="AC10" i="36" s="1"/>
  <c r="AB26" i="33"/>
  <c r="AB30" i="21"/>
  <c r="AA14" i="37"/>
  <c r="AC13" i="36"/>
  <c r="S11" i="36"/>
  <c r="AC30" i="34"/>
  <c r="AB31" i="33"/>
  <c r="W29" i="33"/>
  <c r="S44" i="34"/>
  <c r="BA586" i="3"/>
  <c r="BA585" i="3"/>
  <c r="AZ585" i="3" s="1"/>
  <c r="F17" i="21"/>
  <c r="AA17" i="21"/>
  <c r="H17" i="21"/>
  <c r="AB17" i="21"/>
  <c r="F15" i="21"/>
  <c r="S15" i="21"/>
  <c r="J41" i="39"/>
  <c r="W41" i="39" s="1"/>
  <c r="AC45" i="39"/>
  <c r="W44" i="39"/>
  <c r="W36"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BL514" i="3"/>
  <c r="BL504" i="3"/>
  <c r="BL496" i="3"/>
  <c r="BA584" i="3"/>
  <c r="BA582" i="3"/>
  <c r="AZ582" i="3"/>
  <c r="BA572" i="3"/>
  <c r="AZ572" i="3"/>
  <c r="BA570" i="3"/>
  <c r="AZ570" i="3"/>
  <c r="BA568" i="3"/>
  <c r="AZ568" i="3"/>
  <c r="BA566" i="3"/>
  <c r="AZ566" i="3"/>
  <c r="BA558" i="3"/>
  <c r="AZ558" i="3" s="1"/>
  <c r="BA556" i="3"/>
  <c r="AZ556" i="3" s="1"/>
  <c r="BA554" i="3"/>
  <c r="AZ554" i="3" s="1"/>
  <c r="BA552" i="3"/>
  <c r="AZ552" i="3" s="1"/>
  <c r="BA548" i="3"/>
  <c r="BA546" i="3"/>
  <c r="BA544" i="3"/>
  <c r="AZ544" i="3" s="1"/>
  <c r="BA542" i="3"/>
  <c r="AZ542" i="3" s="1"/>
  <c r="BA540" i="3"/>
  <c r="AZ540" i="3" s="1"/>
  <c r="BA538" i="3"/>
  <c r="BA536" i="3"/>
  <c r="AZ536" i="3" s="1"/>
  <c r="BA534" i="3"/>
  <c r="AZ534" i="3" s="1"/>
  <c r="BA532" i="3"/>
  <c r="AZ532" i="3" s="1"/>
  <c r="BA530" i="3"/>
  <c r="BA520" i="3"/>
  <c r="AZ520" i="3" s="1"/>
  <c r="BA512" i="3"/>
  <c r="BA510" i="3"/>
  <c r="AZ510" i="3" s="1"/>
  <c r="BA508" i="3"/>
  <c r="AZ508" i="3" s="1"/>
  <c r="BA504" i="3"/>
  <c r="AZ504" i="3" s="1"/>
  <c r="BA502" i="3"/>
  <c r="BA498" i="3"/>
  <c r="AZ498" i="3" s="1"/>
  <c r="BA496" i="3"/>
  <c r="BA587" i="3"/>
  <c r="BA583" i="3"/>
  <c r="AZ583" i="3" s="1"/>
  <c r="BA577" i="3"/>
  <c r="AZ577" i="3" s="1"/>
  <c r="BA573" i="3"/>
  <c r="AZ573" i="3" s="1"/>
  <c r="BA571" i="3"/>
  <c r="BA569" i="3"/>
  <c r="AZ569" i="3" s="1"/>
  <c r="BA567" i="3"/>
  <c r="BA565" i="3"/>
  <c r="AZ565" i="3" s="1"/>
  <c r="BA561" i="3"/>
  <c r="BA555" i="3"/>
  <c r="BA553" i="3"/>
  <c r="BA549" i="3"/>
  <c r="BA547" i="3"/>
  <c r="BA545" i="3"/>
  <c r="BA543" i="3"/>
  <c r="BA541" i="3"/>
  <c r="BA537" i="3"/>
  <c r="BA533" i="3"/>
  <c r="BA529" i="3"/>
  <c r="BA525" i="3"/>
  <c r="BA519" i="3"/>
  <c r="AZ519" i="3" s="1"/>
  <c r="BA515" i="3"/>
  <c r="AZ515" i="3" s="1"/>
  <c r="BA511" i="3"/>
  <c r="AZ511" i="3" s="1"/>
  <c r="BA505" i="3"/>
  <c r="BA501" i="3"/>
  <c r="AZ501" i="3" s="1"/>
  <c r="BA497" i="3"/>
  <c r="BA493" i="3"/>
  <c r="AZ493" i="3" s="1"/>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AZ555" i="3" s="1"/>
  <c r="BQ553" i="3"/>
  <c r="BL553" i="3"/>
  <c r="AZ553" i="3" s="1"/>
  <c r="BQ551" i="3"/>
  <c r="BQ549" i="3"/>
  <c r="BQ547" i="3"/>
  <c r="BL547" i="3"/>
  <c r="AZ547" i="3" s="1"/>
  <c r="BQ545" i="3"/>
  <c r="BL545" i="3" s="1"/>
  <c r="AZ545" i="3" s="1"/>
  <c r="BQ543" i="3"/>
  <c r="BL543" i="3"/>
  <c r="AZ543" i="3" s="1"/>
  <c r="BQ541" i="3"/>
  <c r="BQ539" i="3"/>
  <c r="BL539" i="3"/>
  <c r="BQ537" i="3"/>
  <c r="BQ535" i="3"/>
  <c r="BL535" i="3"/>
  <c r="BQ533" i="3"/>
  <c r="BQ531" i="3"/>
  <c r="BL531" i="3"/>
  <c r="BQ529" i="3"/>
  <c r="BQ527" i="3"/>
  <c r="BL527" i="3"/>
  <c r="BQ525" i="3"/>
  <c r="BQ523" i="3"/>
  <c r="BL523" i="3"/>
  <c r="BA521" i="3"/>
  <c r="AZ521" i="3" s="1"/>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H43" i="33"/>
  <c r="AB43" i="33"/>
  <c r="H17" i="37"/>
  <c r="U17" i="37"/>
  <c r="U32" i="33"/>
  <c r="F39" i="33"/>
  <c r="AA39" i="33" s="1"/>
  <c r="E123" i="33"/>
  <c r="F123" i="33" s="1"/>
  <c r="G123" i="33" s="1"/>
  <c r="H123" i="33" s="1"/>
  <c r="I123" i="33" s="1"/>
  <c r="J123" i="33" s="1"/>
  <c r="K123" i="33" s="1"/>
  <c r="L123" i="33" s="1"/>
  <c r="M123" i="33" s="1"/>
  <c r="F42" i="33"/>
  <c r="AA42" i="33"/>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AA12" i="35"/>
  <c r="W14" i="37"/>
  <c r="AB28" i="37"/>
  <c r="U33" i="37"/>
  <c r="U39" i="37"/>
  <c r="W26" i="37"/>
  <c r="W47" i="34"/>
  <c r="AC36" i="34"/>
  <c r="W44" i="33"/>
  <c r="U19" i="21"/>
  <c r="U26" i="21"/>
  <c r="U12" i="21"/>
  <c r="AB38" i="21"/>
  <c r="F43" i="33"/>
  <c r="AA43" i="33" s="1"/>
  <c r="W15" i="34"/>
  <c r="AC15" i="34"/>
  <c r="W16" i="35"/>
  <c r="G107" i="37"/>
  <c r="H107" i="37" s="1"/>
  <c r="I107" i="37" s="1"/>
  <c r="J107" i="37" s="1"/>
  <c r="K107" i="37" s="1"/>
  <c r="L107" i="37" s="1"/>
  <c r="M107" i="37" s="1"/>
  <c r="H37" i="21"/>
  <c r="U37" i="21" s="1"/>
  <c r="S42" i="21"/>
  <c r="H19" i="34"/>
  <c r="AB19" i="34"/>
  <c r="F36" i="35"/>
  <c r="S36" i="35"/>
  <c r="H9" i="37"/>
  <c r="U9" i="37" s="1"/>
  <c r="J12" i="37"/>
  <c r="W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AA25" i="21"/>
  <c r="H19" i="40"/>
  <c r="U19" i="40"/>
  <c r="F19" i="40"/>
  <c r="S19" i="40"/>
  <c r="S14" i="40"/>
  <c r="AC13" i="40"/>
  <c r="W23" i="39"/>
  <c r="W43" i="39"/>
  <c r="AB45" i="39"/>
  <c r="AB44" i="39"/>
  <c r="U44" i="39"/>
  <c r="H37" i="39"/>
  <c r="AB37" i="39" s="1"/>
  <c r="AC37" i="39"/>
  <c r="W37" i="39"/>
  <c r="H25" i="39"/>
  <c r="AB25" i="39" s="1"/>
  <c r="J25" i="39"/>
  <c r="AC25" i="39" s="1"/>
  <c r="F25" i="39"/>
  <c r="AA25" i="39" s="1"/>
  <c r="F15" i="39"/>
  <c r="AA15" i="39" s="1"/>
  <c r="H15" i="39"/>
  <c r="U15" i="39" s="1"/>
  <c r="J15" i="39"/>
  <c r="W15" i="39" s="1"/>
  <c r="H41" i="39"/>
  <c r="AB41" i="39" s="1"/>
  <c r="W27" i="39"/>
  <c r="U40" i="39"/>
  <c r="S42" i="39"/>
  <c r="AA41" i="39"/>
  <c r="W9" i="39"/>
  <c r="J19" i="40"/>
  <c r="AC19" i="40"/>
  <c r="J50" i="40"/>
  <c r="H103" i="9"/>
  <c r="D8" i="53" s="1"/>
  <c r="B16" i="53"/>
  <c r="B33" i="72" s="1"/>
  <c r="C7" i="37"/>
  <c r="C52" i="37" s="1"/>
  <c r="D52" i="37" s="1"/>
  <c r="C7" i="36"/>
  <c r="C46" i="36" s="1"/>
  <c r="D46" i="36" s="1"/>
  <c r="E46" i="36" s="1"/>
  <c r="F46" i="36" s="1"/>
  <c r="G46" i="36" s="1"/>
  <c r="H46" i="36" s="1"/>
  <c r="I46" i="36" s="1"/>
  <c r="A118" i="9"/>
  <c r="A4" i="52"/>
  <c r="B41" i="72" s="1"/>
  <c r="J11" i="39"/>
  <c r="W11" i="39" s="1"/>
  <c r="F11" i="39"/>
  <c r="AA11" i="39" s="1"/>
  <c r="G4" i="4"/>
  <c r="I4" i="4"/>
  <c r="A2" i="9"/>
  <c r="F61" i="43"/>
  <c r="H64" i="43" s="1"/>
  <c r="AZ20" i="3"/>
  <c r="AZ24" i="3"/>
  <c r="AZ28" i="3"/>
  <c r="AZ32" i="3"/>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BQ5" i="3"/>
  <c r="AZ549" i="3"/>
  <c r="AZ496" i="3"/>
  <c r="G548" i="3"/>
  <c r="G538" i="3"/>
  <c r="G502" i="3"/>
  <c r="BP5" i="3"/>
  <c r="AZ343" i="3"/>
  <c r="BI5" i="3"/>
  <c r="BE5" i="3"/>
  <c r="G17" i="3"/>
  <c r="BA17" i="3"/>
  <c r="BT5" i="3"/>
  <c r="AZ350" i="3"/>
  <c r="AZ352" i="3"/>
  <c r="AZ360" i="3"/>
  <c r="AZ368" i="3"/>
  <c r="BA15" i="3"/>
  <c r="AZ15" i="3"/>
  <c r="BR5" i="3"/>
  <c r="AZ384" i="3"/>
  <c r="AZ388" i="3"/>
  <c r="AZ392" i="3"/>
  <c r="AZ396" i="3"/>
  <c r="AZ394" i="3"/>
  <c r="G509" i="3"/>
  <c r="BL493" i="3"/>
  <c r="AZ491" i="3"/>
  <c r="AZ376" i="3"/>
  <c r="AZ382" i="3"/>
  <c r="U36" i="40"/>
  <c r="F83" i="43"/>
  <c r="H85" i="43" s="1"/>
  <c r="F50" i="43"/>
  <c r="H54" i="43" s="1"/>
  <c r="F72" i="43"/>
  <c r="H75" i="43" s="1"/>
  <c r="U17" i="39"/>
  <c r="U43" i="21"/>
  <c r="U35" i="21"/>
  <c r="AC35" i="21"/>
  <c r="G8" i="1"/>
  <c r="G10" i="1"/>
  <c r="W37" i="37"/>
  <c r="W44" i="34"/>
  <c r="AC44" i="34"/>
  <c r="U13" i="37"/>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W29" i="35"/>
  <c r="H35" i="37"/>
  <c r="U35" i="37" s="1"/>
  <c r="AC14" i="35"/>
  <c r="H20" i="35"/>
  <c r="U20" i="35"/>
  <c r="F20" i="35"/>
  <c r="AA20" i="35"/>
  <c r="AB23" i="35"/>
  <c r="AB29" i="36"/>
  <c r="U29" i="36"/>
  <c r="H32" i="37"/>
  <c r="AB32" i="37" s="1"/>
  <c r="F96" i="37"/>
  <c r="G96" i="37" s="1"/>
  <c r="H96" i="37" s="1"/>
  <c r="I96" i="37" s="1"/>
  <c r="J96" i="37" s="1"/>
  <c r="K96" i="37" s="1"/>
  <c r="L96" i="37" s="1"/>
  <c r="M96" i="37" s="1"/>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C26" i="33"/>
  <c r="W27" i="34"/>
  <c r="AB34" i="36"/>
  <c r="U34" i="36"/>
  <c r="AC12" i="39"/>
  <c r="W12" i="39"/>
  <c r="AC39" i="40"/>
  <c r="W39" i="40"/>
  <c r="AZ401" i="3"/>
  <c r="AZ412" i="3"/>
  <c r="AZ417" i="3"/>
  <c r="AZ428" i="3"/>
  <c r="AZ433" i="3"/>
  <c r="AZ465" i="3"/>
  <c r="AC12" i="33"/>
  <c r="AZ437" i="3"/>
  <c r="AZ441" i="3"/>
  <c r="AZ457" i="3"/>
  <c r="AZ473" i="3"/>
  <c r="AZ490" i="3"/>
  <c r="BL14" i="3"/>
  <c r="AZ266" i="3"/>
  <c r="U30" i="33"/>
  <c r="AC13" i="34"/>
  <c r="AA47" i="34"/>
  <c r="W28" i="37"/>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W38" i="40"/>
  <c r="S17" i="40"/>
  <c r="S23" i="40"/>
  <c r="AC17" i="40"/>
  <c r="S30" i="40"/>
  <c r="AA19" i="40"/>
  <c r="S28" i="40"/>
  <c r="U21" i="40"/>
  <c r="AB19" i="40"/>
  <c r="S37"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U13" i="36"/>
  <c r="U26" i="36"/>
  <c r="S33" i="36"/>
  <c r="AA26" i="36"/>
  <c r="AA34" i="36"/>
  <c r="AC26" i="36"/>
  <c r="AA22" i="36"/>
  <c r="W14" i="36"/>
  <c r="AB14" i="36"/>
  <c r="U22" i="36"/>
  <c r="S16" i="36"/>
  <c r="S24" i="36"/>
  <c r="U24" i="36"/>
  <c r="U16" i="36"/>
  <c r="S14" i="36"/>
  <c r="AA25" i="35"/>
  <c r="S23" i="35"/>
  <c r="W24" i="35"/>
  <c r="AB13" i="35"/>
  <c r="U28" i="35"/>
  <c r="AB27" i="35"/>
  <c r="U32" i="35"/>
  <c r="AA33" i="35"/>
  <c r="AC30" i="35"/>
  <c r="S32" i="35"/>
  <c r="AA36" i="35"/>
  <c r="AB16" i="35"/>
  <c r="S20" i="35"/>
  <c r="AC20" i="35"/>
  <c r="S22" i="35"/>
  <c r="U14" i="35"/>
  <c r="AC9" i="35"/>
  <c r="W9" i="35"/>
  <c r="W13" i="35"/>
  <c r="F9" i="35"/>
  <c r="S9" i="35" s="1"/>
  <c r="H9" i="35"/>
  <c r="U9" i="35" s="1"/>
  <c r="S25" i="37"/>
  <c r="S26" i="37"/>
  <c r="U29" i="37"/>
  <c r="S32" i="37"/>
  <c r="AB31" i="37"/>
  <c r="W30" i="37"/>
  <c r="S36" i="37"/>
  <c r="AA38" i="37"/>
  <c r="U32" i="37"/>
  <c r="W38" i="37"/>
  <c r="AC35" i="37"/>
  <c r="W39" i="37"/>
  <c r="S30" i="37"/>
  <c r="AC15" i="37"/>
  <c r="J17" i="37"/>
  <c r="W17" i="37"/>
  <c r="F17" i="37"/>
  <c r="AA17" i="37" s="1"/>
  <c r="AB17" i="37"/>
  <c r="F19" i="37"/>
  <c r="AA19" i="37" s="1"/>
  <c r="F79" i="37"/>
  <c r="F23" i="37"/>
  <c r="S23" i="37" s="1"/>
  <c r="U23" i="37"/>
  <c r="AC13" i="37"/>
  <c r="H10" i="37"/>
  <c r="AB10" i="37" s="1"/>
  <c r="F11" i="37"/>
  <c r="S11" i="37" s="1"/>
  <c r="S27" i="34"/>
  <c r="W25" i="34"/>
  <c r="AB8" i="34"/>
  <c r="AA33" i="34"/>
  <c r="U43" i="34"/>
  <c r="W41" i="34"/>
  <c r="AC42" i="34"/>
  <c r="AB35" i="34"/>
  <c r="U39" i="34"/>
  <c r="S43" i="34"/>
  <c r="AB41" i="34"/>
  <c r="AA45" i="34"/>
  <c r="S17" i="34"/>
  <c r="AA29" i="34"/>
  <c r="U27" i="34"/>
  <c r="S23" i="34"/>
  <c r="U15" i="34"/>
  <c r="S13" i="34"/>
  <c r="H10" i="34"/>
  <c r="AB10" i="34" s="1"/>
  <c r="F11" i="34"/>
  <c r="S11" i="34" s="1"/>
  <c r="W42" i="33"/>
  <c r="S27" i="33"/>
  <c r="S32" i="33"/>
  <c r="AA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J32" i="33"/>
  <c r="S46" i="33"/>
  <c r="S43" i="33"/>
  <c r="H27" i="33"/>
  <c r="AB27" i="33" s="1"/>
  <c r="F87" i="33"/>
  <c r="H25" i="33"/>
  <c r="AB25" i="33" s="1"/>
  <c r="F25" i="33"/>
  <c r="J23" i="33"/>
  <c r="W23" i="33" s="1"/>
  <c r="H23" i="33"/>
  <c r="U23" i="33" s="1"/>
  <c r="F81" i="33"/>
  <c r="F19" i="33"/>
  <c r="S19" i="33" s="1"/>
  <c r="W19" i="33"/>
  <c r="J17" i="33"/>
  <c r="F79" i="33"/>
  <c r="G79" i="33" s="1"/>
  <c r="W15" i="33"/>
  <c r="J10" i="33"/>
  <c r="W10" i="33" s="1"/>
  <c r="H10" i="33"/>
  <c r="U10" i="33" s="1"/>
  <c r="AC11" i="33"/>
  <c r="AB14" i="33"/>
  <c r="W43" i="21"/>
  <c r="W36" i="21"/>
  <c r="W41" i="21"/>
  <c r="AB39" i="21"/>
  <c r="AA43" i="21"/>
  <c r="S39" i="21"/>
  <c r="AA38" i="21"/>
  <c r="AC40" i="21"/>
  <c r="J15" i="21"/>
  <c r="W15" i="21"/>
  <c r="F23" i="21"/>
  <c r="S23" i="21"/>
  <c r="E85" i="21"/>
  <c r="AA14" i="21"/>
  <c r="C18" i="9"/>
  <c r="D18" i="9" s="1"/>
  <c r="F34" i="67"/>
  <c r="F62" i="67" s="1"/>
  <c r="M20" i="67"/>
  <c r="F34" i="15"/>
  <c r="F62" i="15" s="1"/>
  <c r="BA13" i="3"/>
  <c r="BL17" i="3"/>
  <c r="AZ17" i="3"/>
  <c r="BL13" i="3"/>
  <c r="J56" i="9"/>
  <c r="J57" i="9" s="1"/>
  <c r="J59" i="9" s="1"/>
  <c r="J61" i="9" s="1"/>
  <c r="U29" i="34"/>
  <c r="E32" i="6"/>
  <c r="G1" i="68"/>
  <c r="K1" i="12"/>
  <c r="E19" i="69"/>
  <c r="E19" i="68"/>
  <c r="E19" i="11"/>
  <c r="E1" i="73"/>
  <c r="G22" i="69"/>
  <c r="G22" i="68"/>
  <c r="G26" i="12"/>
  <c r="G22" i="11"/>
  <c r="C6" i="43"/>
  <c r="B19" i="53"/>
  <c r="B37" i="72" s="1"/>
  <c r="C7" i="39"/>
  <c r="C67" i="39" s="1"/>
  <c r="C7" i="33"/>
  <c r="C7" i="40"/>
  <c r="C63" i="40" s="1"/>
  <c r="G23" i="43"/>
  <c r="A4" i="51"/>
  <c r="B6" i="72" s="1"/>
  <c r="L20" i="6"/>
  <c r="B6" i="1"/>
  <c r="E6" i="1" s="1"/>
  <c r="K11" i="1"/>
  <c r="M11" i="1" s="1"/>
  <c r="O11" i="1" s="1"/>
  <c r="B9" i="1"/>
  <c r="E9" i="1" s="1"/>
  <c r="K7" i="1"/>
  <c r="M7" i="1" s="1"/>
  <c r="O7" i="1" s="1"/>
  <c r="P7" i="1" s="1"/>
  <c r="G1" i="15"/>
  <c r="G1" i="69"/>
  <c r="G1" i="67"/>
  <c r="W23" i="40"/>
  <c r="AB31" i="40"/>
  <c r="S37" i="40"/>
  <c r="AB28" i="40"/>
  <c r="W34" i="40"/>
  <c r="W19" i="40"/>
  <c r="S36" i="40"/>
  <c r="W37" i="40"/>
  <c r="AC14" i="40"/>
  <c r="S13" i="40"/>
  <c r="AA15" i="40"/>
  <c r="U11" i="40"/>
  <c r="S31" i="40"/>
  <c r="U15" i="40"/>
  <c r="AB17" i="40"/>
  <c r="U8" i="40"/>
  <c r="AA39" i="39"/>
  <c r="AC41" i="39"/>
  <c r="U42" i="39"/>
  <c r="U41" i="39"/>
  <c r="W25" i="39"/>
  <c r="U13" i="39"/>
  <c r="AA13" i="39"/>
  <c r="S14" i="39"/>
  <c r="AA14" i="39"/>
  <c r="AB11" i="39"/>
  <c r="U11" i="39"/>
  <c r="AA27" i="39"/>
  <c r="S27" i="39"/>
  <c r="W17" i="39"/>
  <c r="AC17" i="39"/>
  <c r="W31" i="39"/>
  <c r="S23" i="39"/>
  <c r="AB39" i="39"/>
  <c r="U38" i="39"/>
  <c r="S20" i="36"/>
  <c r="AC20" i="36"/>
  <c r="AB28" i="36"/>
  <c r="AA13" i="36"/>
  <c r="W9" i="36"/>
  <c r="W22" i="36"/>
  <c r="S9" i="36"/>
  <c r="AB20" i="35"/>
  <c r="U25" i="35"/>
  <c r="U24" i="35"/>
  <c r="W35" i="35"/>
  <c r="AA16" i="35"/>
  <c r="AA35" i="37"/>
  <c r="S27" i="37"/>
  <c r="S28" i="37"/>
  <c r="W32" i="37"/>
  <c r="U36" i="37"/>
  <c r="U38" i="37"/>
  <c r="AB37" i="37"/>
  <c r="AC34" i="37"/>
  <c r="AB35" i="37"/>
  <c r="AA31" i="37"/>
  <c r="U19" i="37"/>
  <c r="AA29" i="37"/>
  <c r="U8" i="37"/>
  <c r="AB40" i="34"/>
  <c r="U19" i="34"/>
  <c r="W19" i="34"/>
  <c r="AB33" i="34"/>
  <c r="AC45" i="34"/>
  <c r="AB45" i="34"/>
  <c r="AB47" i="34"/>
  <c r="U25" i="34"/>
  <c r="AB36" i="34"/>
  <c r="AC14" i="34"/>
  <c r="AC29" i="34"/>
  <c r="W29" i="34"/>
  <c r="W46" i="34"/>
  <c r="S32" i="34"/>
  <c r="U30" i="34"/>
  <c r="S37" i="34"/>
  <c r="AC40" i="34"/>
  <c r="W40" i="34"/>
  <c r="AA19" i="34"/>
  <c r="S19" i="34"/>
  <c r="AA36" i="34"/>
  <c r="S36" i="34"/>
  <c r="AA8" i="34"/>
  <c r="S46" i="34"/>
  <c r="U14" i="34"/>
  <c r="AC43" i="34"/>
  <c r="W43" i="34"/>
  <c r="W23" i="34"/>
  <c r="AC35" i="34"/>
  <c r="W35" i="34"/>
  <c r="AC37" i="33"/>
  <c r="W46" i="33"/>
  <c r="U39" i="33"/>
  <c r="U38" i="33"/>
  <c r="S33" i="33"/>
  <c r="AB34" i="33"/>
  <c r="U44" i="33"/>
  <c r="AB44" i="33"/>
  <c r="S30" i="33"/>
  <c r="AA30" i="33"/>
  <c r="AC14" i="33"/>
  <c r="W14" i="33"/>
  <c r="AC30" i="33"/>
  <c r="W30" i="33"/>
  <c r="AA31" i="33"/>
  <c r="AC13" i="33"/>
  <c r="U15" i="33"/>
  <c r="S11" i="33"/>
  <c r="W9" i="33"/>
  <c r="S44" i="21"/>
  <c r="AB42" i="21"/>
  <c r="U28" i="21"/>
  <c r="F33" i="21"/>
  <c r="AA33" i="21" s="1"/>
  <c r="J33" i="21"/>
  <c r="AC33" i="21" s="1"/>
  <c r="H33" i="21"/>
  <c r="AB33" i="21" s="1"/>
  <c r="F37" i="21"/>
  <c r="AA37" i="21" s="1"/>
  <c r="AA26" i="21"/>
  <c r="AB14" i="21"/>
  <c r="AB46" i="21"/>
  <c r="U40" i="21"/>
  <c r="AB31" i="21"/>
  <c r="AC15" i="21"/>
  <c r="AB13" i="21"/>
  <c r="S35" i="21"/>
  <c r="J37" i="21"/>
  <c r="W37" i="21" s="1"/>
  <c r="H15" i="21"/>
  <c r="U15" i="21"/>
  <c r="J17" i="21"/>
  <c r="AC17" i="21"/>
  <c r="AC19" i="21"/>
  <c r="W39" i="21"/>
  <c r="AC14" i="21"/>
  <c r="W30" i="21"/>
  <c r="S46" i="21"/>
  <c r="H45" i="21"/>
  <c r="U45" i="21" s="1"/>
  <c r="F29" i="21"/>
  <c r="S29" i="21" s="1"/>
  <c r="F13" i="21"/>
  <c r="AA13" i="21" s="1"/>
  <c r="AC38" i="21"/>
  <c r="H32" i="21"/>
  <c r="H9" i="21"/>
  <c r="U9" i="21" s="1"/>
  <c r="J32" i="21"/>
  <c r="W32" i="21" s="1"/>
  <c r="F32" i="21"/>
  <c r="AA31" i="21"/>
  <c r="U17" i="21"/>
  <c r="W29" i="21"/>
  <c r="S19" i="21"/>
  <c r="S9" i="21"/>
  <c r="K141" i="21"/>
  <c r="K144" i="21"/>
  <c r="K143" i="21"/>
  <c r="U27" i="21"/>
  <c r="AB25" i="21"/>
  <c r="AA30" i="21"/>
  <c r="W42" i="21"/>
  <c r="AC45" i="21"/>
  <c r="F10" i="21"/>
  <c r="AA10" i="21" s="1"/>
  <c r="K145" i="21"/>
  <c r="W17" i="21"/>
  <c r="W25" i="21"/>
  <c r="AA29" i="21"/>
  <c r="S27" i="21"/>
  <c r="S17" i="21"/>
  <c r="AA15" i="21"/>
  <c r="AC27" i="21"/>
  <c r="AC26" i="21"/>
  <c r="S28" i="21"/>
  <c r="AC34" i="21"/>
  <c r="AB36" i="21"/>
  <c r="W30" i="40"/>
  <c r="C19" i="39"/>
  <c r="C15" i="40"/>
  <c r="C17" i="40"/>
  <c r="C23" i="40"/>
  <c r="C21" i="40"/>
  <c r="U30" i="40"/>
  <c r="B67" i="43"/>
  <c r="B54" i="43"/>
  <c r="B58" i="43"/>
  <c r="B62" i="43"/>
  <c r="B65" i="43"/>
  <c r="B69" i="43"/>
  <c r="D23" i="15"/>
  <c r="D22" i="15"/>
  <c r="E4" i="4"/>
  <c r="B5" i="62" s="1"/>
  <c r="B73" i="72" s="1"/>
  <c r="C4" i="4"/>
  <c r="F30" i="68"/>
  <c r="F48" i="68" s="1"/>
  <c r="AA39" i="40"/>
  <c r="S39" i="40"/>
  <c r="S12" i="33"/>
  <c r="J32" i="39"/>
  <c r="W32" i="39" s="1"/>
  <c r="H32" i="39"/>
  <c r="AB32" i="39" s="1"/>
  <c r="AA32" i="39"/>
  <c r="S32" i="39"/>
  <c r="AB21" i="39"/>
  <c r="U21" i="39"/>
  <c r="AA21" i="39"/>
  <c r="S21" i="39"/>
  <c r="AC17" i="37"/>
  <c r="J19" i="37"/>
  <c r="AC19" i="37" s="1"/>
  <c r="S19" i="37"/>
  <c r="AA23" i="37"/>
  <c r="J23" i="37"/>
  <c r="G79" i="37"/>
  <c r="J10" i="37"/>
  <c r="W10" i="37" s="1"/>
  <c r="H11" i="37"/>
  <c r="AB11" i="37" s="1"/>
  <c r="H11" i="34"/>
  <c r="U11" i="34" s="1"/>
  <c r="J10" i="34"/>
  <c r="AC10" i="34" s="1"/>
  <c r="AB41" i="33"/>
  <c r="U41" i="33"/>
  <c r="W35" i="33"/>
  <c r="AC35" i="33"/>
  <c r="H111" i="33"/>
  <c r="I111" i="33"/>
  <c r="J111" i="33" s="1"/>
  <c r="K111" i="33" s="1"/>
  <c r="L111" i="33" s="1"/>
  <c r="M111" i="33" s="1"/>
  <c r="J36" i="33"/>
  <c r="W36" i="33" s="1"/>
  <c r="H36" i="33"/>
  <c r="U36" i="33" s="1"/>
  <c r="AC32" i="33"/>
  <c r="W32" i="33"/>
  <c r="U27" i="33"/>
  <c r="J27" i="33"/>
  <c r="U25" i="33"/>
  <c r="S25" i="33"/>
  <c r="AA25" i="33"/>
  <c r="G87" i="33"/>
  <c r="H87" i="33" s="1"/>
  <c r="I87" i="33" s="1"/>
  <c r="J87" i="33" s="1"/>
  <c r="K87" i="33" s="1"/>
  <c r="L87" i="33" s="1"/>
  <c r="M87" i="33" s="1"/>
  <c r="J25" i="33"/>
  <c r="AB23" i="33"/>
  <c r="F23" i="33"/>
  <c r="AA23" i="33" s="1"/>
  <c r="AC23" i="33"/>
  <c r="AA19" i="33"/>
  <c r="H19" i="33"/>
  <c r="G81" i="33"/>
  <c r="H17" i="33"/>
  <c r="U17" i="33" s="1"/>
  <c r="F17" i="33"/>
  <c r="W17" i="33"/>
  <c r="AC17" i="33"/>
  <c r="AA23" i="21"/>
  <c r="AB15" i="21"/>
  <c r="J23" i="21"/>
  <c r="F85" i="21"/>
  <c r="G85" i="21" s="1"/>
  <c r="H23" i="21"/>
  <c r="U23" i="21" s="1"/>
  <c r="AP7" i="1"/>
  <c r="AB9" i="21"/>
  <c r="AA32" i="21"/>
  <c r="S32" i="21"/>
  <c r="AB32" i="21"/>
  <c r="U32" i="21"/>
  <c r="A18" i="62"/>
  <c r="B64" i="72" s="1"/>
  <c r="U32" i="39"/>
  <c r="AC32" i="39"/>
  <c r="W19" i="37"/>
  <c r="W23" i="37"/>
  <c r="AC23" i="37"/>
  <c r="J11" i="37"/>
  <c r="AC11" i="37" s="1"/>
  <c r="J11" i="34"/>
  <c r="W11" i="34" s="1"/>
  <c r="AB36" i="33"/>
  <c r="W27" i="33"/>
  <c r="AC27" i="33"/>
  <c r="W25" i="33"/>
  <c r="AC25" i="33"/>
  <c r="S23" i="33"/>
  <c r="AB19" i="33"/>
  <c r="U19" i="33"/>
  <c r="AA17" i="33"/>
  <c r="S17" i="33"/>
  <c r="AB17" i="33"/>
  <c r="AB23" i="21"/>
  <c r="AC23" i="21"/>
  <c r="W23" i="21"/>
  <c r="H109" i="9"/>
  <c r="M49" i="9" s="1"/>
  <c r="D16" i="53"/>
  <c r="B34" i="72" s="1"/>
  <c r="H112" i="9"/>
  <c r="D21" i="53"/>
  <c r="B39" i="72" s="1"/>
  <c r="H111" i="9"/>
  <c r="D126" i="9" s="1"/>
  <c r="D19" i="53"/>
  <c r="B38"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M22" i="15"/>
  <c r="F6" i="73"/>
  <c r="AO13" i="1"/>
  <c r="F5" i="73"/>
  <c r="E12" i="76"/>
  <c r="F20" i="31"/>
  <c r="E2" i="68"/>
  <c r="F40" i="15"/>
  <c r="B11" i="76"/>
  <c r="L47" i="15"/>
  <c r="M28" i="67"/>
  <c r="F38" i="15"/>
  <c r="E7" i="76"/>
  <c r="C76" i="15"/>
  <c r="M24" i="67"/>
  <c r="D35" i="9"/>
  <c r="F13" i="15"/>
  <c r="F26" i="15"/>
  <c r="B8" i="76"/>
  <c r="M9" i="67"/>
  <c r="E10" i="76"/>
  <c r="M22" i="67"/>
  <c r="B7" i="76"/>
  <c r="D34" i="9"/>
  <c r="M23" i="67"/>
  <c r="M26" i="15"/>
  <c r="F26" i="67"/>
  <c r="F8" i="67"/>
  <c r="F7" i="73"/>
  <c r="E2" i="69"/>
  <c r="F9" i="67"/>
  <c r="E8" i="76"/>
  <c r="J15" i="67"/>
  <c r="B9" i="76"/>
  <c r="F42" i="67"/>
  <c r="E9" i="76"/>
  <c r="B13" i="76"/>
  <c r="M26" i="67"/>
  <c r="F13" i="67"/>
  <c r="M28" i="15"/>
  <c r="D7" i="73"/>
  <c r="F36" i="67"/>
  <c r="B12" i="76"/>
  <c r="F6" i="67"/>
  <c r="M8" i="67"/>
  <c r="M8" i="15"/>
  <c r="M29" i="15"/>
  <c r="C76" i="67"/>
  <c r="M6" i="67"/>
  <c r="F37" i="15"/>
  <c r="E13" i="76"/>
  <c r="F16" i="67"/>
  <c r="D5" i="73"/>
  <c r="B10" i="76"/>
  <c r="E11" i="76"/>
  <c r="F37" i="67"/>
  <c r="C36" i="81"/>
  <c r="F43" i="15"/>
  <c r="F8" i="15"/>
  <c r="L48" i="15"/>
  <c r="F43" i="67"/>
  <c r="M24" i="15"/>
  <c r="L47" i="67"/>
  <c r="F40" i="67"/>
  <c r="M29" i="67"/>
  <c r="M6" i="15"/>
  <c r="F38" i="67"/>
  <c r="F7" i="15"/>
  <c r="F42" i="15"/>
  <c r="F9" i="15"/>
  <c r="F6" i="15"/>
  <c r="F4" i="73"/>
  <c r="F3" i="73"/>
  <c r="J15" i="15"/>
  <c r="L48" i="67"/>
  <c r="F16" i="15"/>
  <c r="F36" i="15"/>
  <c r="M9" i="15"/>
  <c r="F7" i="67"/>
  <c r="M23" i="15"/>
  <c r="C40" i="68" l="1"/>
  <c r="C21" i="68"/>
  <c r="W8" i="39"/>
  <c r="S11" i="39"/>
  <c r="A24" i="51"/>
  <c r="B18" i="72" s="1"/>
  <c r="S37" i="21"/>
  <c r="C33" i="81"/>
  <c r="C39" i="81" s="1"/>
  <c r="U31" i="35"/>
  <c r="U29" i="35"/>
  <c r="F32" i="15"/>
  <c r="F60" i="15" s="1"/>
  <c r="F52" i="9"/>
  <c r="D68" i="9"/>
  <c r="F28" i="15"/>
  <c r="F32" i="67"/>
  <c r="F60" i="67" s="1"/>
  <c r="F28" i="67"/>
  <c r="C28" i="67" s="1"/>
  <c r="F54" i="9"/>
  <c r="M18" i="15"/>
  <c r="F30" i="69"/>
  <c r="F48" i="69" s="1"/>
  <c r="M18" i="67"/>
  <c r="F31" i="12"/>
  <c r="F30" i="11"/>
  <c r="C48" i="11" s="1"/>
  <c r="G6" i="1"/>
  <c r="G16" i="1" s="1"/>
  <c r="F10" i="39" s="1"/>
  <c r="I24" i="43"/>
  <c r="F28" i="6"/>
  <c r="G29" i="6"/>
  <c r="H5" i="3"/>
  <c r="M47" i="9"/>
  <c r="C7" i="21"/>
  <c r="C7" i="35"/>
  <c r="C48" i="35" s="1"/>
  <c r="D48" i="35" s="1"/>
  <c r="U44" i="21"/>
  <c r="AB44" i="21"/>
  <c r="U27" i="40"/>
  <c r="AB27" i="40"/>
  <c r="AZ518" i="3"/>
  <c r="AZ517" i="3"/>
  <c r="AZ497" i="3"/>
  <c r="AZ512" i="3"/>
  <c r="AZ530" i="3"/>
  <c r="AZ538" i="3"/>
  <c r="U9" i="34"/>
  <c r="AB9" i="34"/>
  <c r="AC25" i="36"/>
  <c r="W25" i="36"/>
  <c r="U40" i="37"/>
  <c r="AB40" i="37"/>
  <c r="AZ581" i="3"/>
  <c r="AZ579" i="3"/>
  <c r="AZ578" i="3"/>
  <c r="AZ576" i="3"/>
  <c r="AZ575" i="3"/>
  <c r="AZ563" i="3"/>
  <c r="AZ562" i="3"/>
  <c r="AZ560" i="3"/>
  <c r="AZ551" i="3"/>
  <c r="U29" i="33"/>
  <c r="AB29" i="33"/>
  <c r="U45" i="33"/>
  <c r="AB45" i="33"/>
  <c r="U12" i="34"/>
  <c r="AB12" i="34"/>
  <c r="S14" i="34"/>
  <c r="AA14" i="34"/>
  <c r="AZ522" i="3"/>
  <c r="AZ500" i="3"/>
  <c r="AZ499" i="3"/>
  <c r="AZ495" i="3"/>
  <c r="AZ494" i="3"/>
  <c r="D17" i="71"/>
  <c r="C16" i="71"/>
  <c r="BA5" i="3"/>
  <c r="F29" i="6"/>
  <c r="S29" i="35"/>
  <c r="AA29" i="35"/>
  <c r="AB33" i="35"/>
  <c r="U33" i="35"/>
  <c r="U12" i="33"/>
  <c r="AB12" i="33"/>
  <c r="AB33" i="33"/>
  <c r="U33" i="33"/>
  <c r="W16" i="36"/>
  <c r="AC16" i="36"/>
  <c r="D20" i="71"/>
  <c r="U20" i="71" s="1"/>
  <c r="T20" i="71"/>
  <c r="V20" i="71"/>
  <c r="H69" i="43"/>
  <c r="AB45" i="21"/>
  <c r="S13" i="21"/>
  <c r="S36" i="33"/>
  <c r="S17" i="37"/>
  <c r="B51" i="43"/>
  <c r="W31" i="21"/>
  <c r="W13" i="21"/>
  <c r="J9" i="21"/>
  <c r="S45" i="21"/>
  <c r="W8" i="33"/>
  <c r="U37" i="33"/>
  <c r="U38" i="34"/>
  <c r="AC32" i="34"/>
  <c r="W33" i="34"/>
  <c r="AA31" i="34"/>
  <c r="AA40" i="34"/>
  <c r="W36" i="37"/>
  <c r="S35" i="35"/>
  <c r="S24" i="35"/>
  <c r="AC25" i="35"/>
  <c r="W29" i="36"/>
  <c r="S8" i="39"/>
  <c r="W34" i="39"/>
  <c r="S8" i="40"/>
  <c r="AB13" i="40"/>
  <c r="S33" i="40"/>
  <c r="W28" i="40"/>
  <c r="U32" i="40"/>
  <c r="H67" i="43"/>
  <c r="D120" i="9"/>
  <c r="AA36" i="21"/>
  <c r="U9" i="33"/>
  <c r="S15" i="33"/>
  <c r="W43" i="33"/>
  <c r="AA35" i="33"/>
  <c r="AA25" i="34"/>
  <c r="AC39" i="34"/>
  <c r="U44" i="34"/>
  <c r="AA13" i="37"/>
  <c r="U15" i="37"/>
  <c r="S37" i="37"/>
  <c r="AC29" i="37"/>
  <c r="U22" i="35"/>
  <c r="S28" i="35"/>
  <c r="AB20" i="36"/>
  <c r="S15" i="39"/>
  <c r="U31" i="39"/>
  <c r="U25" i="39"/>
  <c r="U37" i="39"/>
  <c r="AC15" i="40"/>
  <c r="AA32" i="40"/>
  <c r="AC36" i="40"/>
  <c r="AC34" i="33"/>
  <c r="S19" i="39"/>
  <c r="AA39" i="34"/>
  <c r="F27" i="40"/>
  <c r="J27" i="40"/>
  <c r="AC17" i="34"/>
  <c r="U12" i="40"/>
  <c r="S15" i="37"/>
  <c r="AC11" i="39"/>
  <c r="S14" i="35"/>
  <c r="BB5" i="3"/>
  <c r="E5" i="6" s="1"/>
  <c r="AC5" i="3"/>
  <c r="W35" i="40"/>
  <c r="AB34" i="39"/>
  <c r="AB33" i="40"/>
  <c r="AC12" i="37"/>
  <c r="F9" i="37"/>
  <c r="S9" i="37" s="1"/>
  <c r="W40" i="37"/>
  <c r="AC46" i="21"/>
  <c r="W44" i="21"/>
  <c r="U11" i="33"/>
  <c r="AC45" i="33"/>
  <c r="AB13" i="34"/>
  <c r="U26" i="37"/>
  <c r="W23" i="35"/>
  <c r="H28" i="34"/>
  <c r="AA36" i="39"/>
  <c r="AB27" i="37"/>
  <c r="W35" i="39"/>
  <c r="AC28" i="21"/>
  <c r="W31" i="34"/>
  <c r="AA14" i="33"/>
  <c r="AA44" i="33"/>
  <c r="J27" i="37"/>
  <c r="H43" i="39"/>
  <c r="F43" i="39"/>
  <c r="H25" i="36"/>
  <c r="F25" i="36"/>
  <c r="F40" i="37"/>
  <c r="H46" i="34"/>
  <c r="H32" i="34"/>
  <c r="F30" i="34"/>
  <c r="F45" i="33"/>
  <c r="J31" i="33"/>
  <c r="F13" i="33"/>
  <c r="H29" i="21"/>
  <c r="S28" i="34"/>
  <c r="AC38" i="34"/>
  <c r="AB17" i="34"/>
  <c r="U23" i="34"/>
  <c r="AB23" i="34"/>
  <c r="W11" i="40"/>
  <c r="AC11" i="40"/>
  <c r="U9" i="40"/>
  <c r="U9" i="39"/>
  <c r="F45" i="39"/>
  <c r="BL587" i="3"/>
  <c r="AZ587" i="3" s="1"/>
  <c r="F12" i="21"/>
  <c r="J12" i="21"/>
  <c r="B72" i="43"/>
  <c r="C15" i="39"/>
  <c r="B101" i="43"/>
  <c r="B79" i="43"/>
  <c r="B97" i="43"/>
  <c r="B75" i="43"/>
  <c r="AB40" i="33"/>
  <c r="U40" i="33"/>
  <c r="H28" i="33"/>
  <c r="F28" i="33"/>
  <c r="J28" i="33"/>
  <c r="J12" i="35"/>
  <c r="H36" i="35"/>
  <c r="J36" i="35"/>
  <c r="J23" i="36"/>
  <c r="H23" i="36"/>
  <c r="F23" i="36"/>
  <c r="H33" i="36"/>
  <c r="J33" i="36"/>
  <c r="AC33" i="36" s="1"/>
  <c r="AA44" i="39"/>
  <c r="S44" i="39"/>
  <c r="AA34" i="39"/>
  <c r="S34" i="39"/>
  <c r="W9" i="40"/>
  <c r="AC9" i="40"/>
  <c r="AA34" i="40"/>
  <c r="S34" i="40"/>
  <c r="AA40" i="40"/>
  <c r="S40" i="40"/>
  <c r="W40" i="40"/>
  <c r="AC40" i="40"/>
  <c r="AA31" i="35"/>
  <c r="S31" i="35"/>
  <c r="W31" i="35"/>
  <c r="AC31" i="35"/>
  <c r="G551" i="3"/>
  <c r="G5" i="3" s="1"/>
  <c r="B3" i="3" s="1"/>
  <c r="BL548" i="3"/>
  <c r="AZ548" i="3" s="1"/>
  <c r="AZ399" i="3"/>
  <c r="AZ404" i="3"/>
  <c r="AZ411" i="3"/>
  <c r="AZ414" i="3"/>
  <c r="AZ421" i="3"/>
  <c r="AZ423" i="3"/>
  <c r="E15" i="71"/>
  <c r="E14" i="71" s="1"/>
  <c r="E13" i="71" s="1"/>
  <c r="E12" i="71" s="1"/>
  <c r="V16" i="71"/>
  <c r="G28" i="6"/>
  <c r="E28" i="6" s="1"/>
  <c r="K14" i="1" s="1"/>
  <c r="AB23" i="40"/>
  <c r="U23" i="40"/>
  <c r="S39" i="37"/>
  <c r="AA39" i="37"/>
  <c r="AA34" i="21"/>
  <c r="S34" i="21"/>
  <c r="B94" i="43"/>
  <c r="B73" i="43"/>
  <c r="B99" i="43"/>
  <c r="B76" i="43"/>
  <c r="C27" i="39"/>
  <c r="J9" i="34"/>
  <c r="F9" i="34"/>
  <c r="AA9" i="34" s="1"/>
  <c r="AC28" i="35"/>
  <c r="W28" i="35"/>
  <c r="J12" i="34"/>
  <c r="F12" i="34"/>
  <c r="J11" i="35"/>
  <c r="F11" i="35"/>
  <c r="J34" i="35"/>
  <c r="H34" i="35"/>
  <c r="F34" i="35"/>
  <c r="AC28" i="36"/>
  <c r="W28" i="36"/>
  <c r="F32" i="36"/>
  <c r="H32" i="36"/>
  <c r="AB30" i="37"/>
  <c r="U30" i="37"/>
  <c r="AC8" i="40"/>
  <c r="W8" i="40"/>
  <c r="AB34" i="40"/>
  <c r="U34" i="40"/>
  <c r="AB40" i="40"/>
  <c r="U40" i="40"/>
  <c r="AZ426" i="3"/>
  <c r="AZ267" i="3"/>
  <c r="AZ278" i="3"/>
  <c r="AZ431" i="3"/>
  <c r="AZ449" i="3"/>
  <c r="AZ453" i="3"/>
  <c r="AZ455" i="3"/>
  <c r="AZ460" i="3"/>
  <c r="AZ471" i="3"/>
  <c r="AZ476" i="3"/>
  <c r="AZ478" i="3"/>
  <c r="AZ484" i="3"/>
  <c r="AZ492" i="3"/>
  <c r="AZ395" i="3"/>
  <c r="AZ208" i="3"/>
  <c r="AZ211" i="3"/>
  <c r="AZ219" i="3"/>
  <c r="AZ236" i="3"/>
  <c r="AZ252" i="3"/>
  <c r="AZ276" i="3"/>
  <c r="AZ284" i="3"/>
  <c r="AZ289" i="3"/>
  <c r="AZ292" i="3"/>
  <c r="AZ294" i="3"/>
  <c r="AZ300" i="3"/>
  <c r="AZ118" i="3"/>
  <c r="AZ121" i="3"/>
  <c r="AZ134" i="3"/>
  <c r="AZ137" i="3"/>
  <c r="AZ145" i="3"/>
  <c r="AZ161" i="3"/>
  <c r="AZ177" i="3"/>
  <c r="AZ193" i="3"/>
  <c r="AZ34" i="3"/>
  <c r="AZ38" i="3"/>
  <c r="AZ44" i="3"/>
  <c r="AZ48" i="3"/>
  <c r="AZ60" i="3"/>
  <c r="AZ64" i="3"/>
  <c r="AZ78" i="3"/>
  <c r="AZ91" i="3"/>
  <c r="AZ98" i="3"/>
  <c r="AZ104" i="3"/>
  <c r="AZ108" i="3"/>
  <c r="AB21" i="21"/>
  <c r="AC21" i="34"/>
  <c r="T40" i="71"/>
  <c r="D40" i="71"/>
  <c r="C27" i="71"/>
  <c r="T28" i="71"/>
  <c r="D28" i="71"/>
  <c r="U28" i="71" s="1"/>
  <c r="AB21" i="33"/>
  <c r="T44" i="71"/>
  <c r="D44" i="71"/>
  <c r="S21" i="21"/>
  <c r="U18" i="36"/>
  <c r="AB27" i="71"/>
  <c r="S28" i="71"/>
  <c r="AA24" i="71"/>
  <c r="X27" i="71"/>
  <c r="AB33" i="71"/>
  <c r="Y33" i="71"/>
  <c r="Z33" i="71" s="1"/>
  <c r="X32" i="71"/>
  <c r="X37" i="71"/>
  <c r="AA29" i="71"/>
  <c r="X21" i="71"/>
  <c r="X22" i="71"/>
  <c r="Y9" i="71"/>
  <c r="Z9" i="71" s="1"/>
  <c r="Y10" i="71"/>
  <c r="Z10" i="71" s="1"/>
  <c r="AA9" i="71"/>
  <c r="AA10" i="71"/>
  <c r="X24" i="71"/>
  <c r="AA22" i="71"/>
  <c r="AA18" i="71"/>
  <c r="Y18" i="71"/>
  <c r="Z18" i="71" s="1"/>
  <c r="AB18" i="71"/>
  <c r="X10" i="71"/>
  <c r="AA13" i="71"/>
  <c r="X17" i="71"/>
  <c r="AA17" i="71"/>
  <c r="X9" i="71"/>
  <c r="AB9" i="71"/>
  <c r="AB10" i="71"/>
  <c r="V68" i="71"/>
  <c r="F67" i="71"/>
  <c r="AB24" i="71"/>
  <c r="Y21" i="71"/>
  <c r="Z21" i="71" s="1"/>
  <c r="AB21" i="71"/>
  <c r="X18" i="71"/>
  <c r="Y13" i="71"/>
  <c r="Z13" i="71" s="1"/>
  <c r="Y14" i="71"/>
  <c r="Z14" i="71" s="1"/>
  <c r="AB13" i="71"/>
  <c r="Y24" i="71"/>
  <c r="Z24" i="71" s="1"/>
  <c r="AA21" i="71"/>
  <c r="AB15" i="71"/>
  <c r="Y17" i="71"/>
  <c r="Z17" i="71" s="1"/>
  <c r="AB17" i="71"/>
  <c r="X12" i="71"/>
  <c r="X13" i="71"/>
  <c r="AB12" i="71"/>
  <c r="AB14" i="71"/>
  <c r="Y23" i="71"/>
  <c r="Z23" i="71" s="1"/>
  <c r="Y22" i="71"/>
  <c r="Z22" i="71" s="1"/>
  <c r="AA23" i="71"/>
  <c r="AB23" i="71"/>
  <c r="X15" i="71"/>
  <c r="AA15" i="71"/>
  <c r="AA12" i="71"/>
  <c r="AA11" i="71"/>
  <c r="AA14" i="71"/>
  <c r="X11" i="71"/>
  <c r="X14" i="71"/>
  <c r="AB11" i="71"/>
  <c r="Y11" i="71"/>
  <c r="Z11" i="71" s="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F27" i="81"/>
  <c r="D4" i="73"/>
  <c r="F27" i="69"/>
  <c r="D3" i="73"/>
  <c r="C36" i="69"/>
  <c r="C16" i="15"/>
  <c r="D9" i="69"/>
  <c r="D6" i="73"/>
  <c r="C16" i="67"/>
  <c r="F45" i="81" l="1"/>
  <c r="C47" i="81"/>
  <c r="D45" i="81" s="1"/>
  <c r="C29" i="81"/>
  <c r="D27" i="81" s="1"/>
  <c r="C46" i="81"/>
  <c r="C45" i="81" s="1"/>
  <c r="G26" i="43"/>
  <c r="N370" i="46"/>
  <c r="F26" i="43"/>
  <c r="N94" i="46"/>
  <c r="E26" i="43"/>
  <c r="D26" i="43" s="1"/>
  <c r="C25" i="43" s="1"/>
  <c r="J26" i="43"/>
  <c r="C30" i="11"/>
  <c r="K16" i="1"/>
  <c r="P6" i="1"/>
  <c r="C13" i="12" s="1"/>
  <c r="K1" i="73"/>
  <c r="E510" i="3"/>
  <c r="E375" i="3"/>
  <c r="E462" i="3"/>
  <c r="E446" i="3"/>
  <c r="E47" i="3"/>
  <c r="E98" i="3"/>
  <c r="E65" i="3"/>
  <c r="E138" i="3"/>
  <c r="E195" i="3"/>
  <c r="E200" i="3"/>
  <c r="E267" i="3"/>
  <c r="E249" i="3"/>
  <c r="E300" i="3"/>
  <c r="E371" i="3"/>
  <c r="E310" i="3"/>
  <c r="E492" i="3"/>
  <c r="E23" i="3"/>
  <c r="E24" i="3"/>
  <c r="E48" i="3"/>
  <c r="E87" i="3"/>
  <c r="E127" i="3"/>
  <c r="E250" i="3"/>
  <c r="E284" i="3"/>
  <c r="E341" i="3"/>
  <c r="Y6" i="3"/>
  <c r="E51" i="3"/>
  <c r="E19" i="3"/>
  <c r="E154" i="3"/>
  <c r="E179" i="3"/>
  <c r="E222" i="3"/>
  <c r="E323" i="3"/>
  <c r="E373" i="3"/>
  <c r="E82" i="3"/>
  <c r="E329" i="3"/>
  <c r="E205" i="3"/>
  <c r="E16" i="3"/>
  <c r="E296" i="3"/>
  <c r="E188" i="3"/>
  <c r="E140" i="3"/>
  <c r="E223" i="3"/>
  <c r="E116" i="3"/>
  <c r="E173" i="3"/>
  <c r="E105" i="3"/>
  <c r="E369" i="3"/>
  <c r="T6"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398" i="3"/>
  <c r="E430" i="3"/>
  <c r="E416" i="3"/>
  <c r="E449" i="3"/>
  <c r="E459" i="3"/>
  <c r="E255" i="3"/>
  <c r="E374" i="3"/>
  <c r="I3" i="6"/>
  <c r="E566" i="3"/>
  <c r="AP6" i="3"/>
  <c r="E500" i="3"/>
  <c r="E554"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89" i="3"/>
  <c r="E544" i="3"/>
  <c r="E58" i="3"/>
  <c r="E76" i="3"/>
  <c r="E110" i="3"/>
  <c r="E59" i="3"/>
  <c r="E488" i="3"/>
  <c r="E409" i="3"/>
  <c r="E484" i="3"/>
  <c r="E425" i="3"/>
  <c r="E467" i="3"/>
  <c r="E64" i="3"/>
  <c r="E46" i="3"/>
  <c r="E103" i="3"/>
  <c r="E160" i="3"/>
  <c r="E142" i="3"/>
  <c r="E163" i="3"/>
  <c r="E248" i="3"/>
  <c r="E209" i="3"/>
  <c r="E266" i="3"/>
  <c r="E307" i="3"/>
  <c r="E386" i="3"/>
  <c r="E354" i="3"/>
  <c r="E584" i="3"/>
  <c r="E66" i="3"/>
  <c r="E84" i="3"/>
  <c r="E67" i="3"/>
  <c r="E33" i="3"/>
  <c r="E144" i="3"/>
  <c r="E184" i="3"/>
  <c r="E233" i="3"/>
  <c r="E355" i="3"/>
  <c r="E381" i="3"/>
  <c r="E68" i="3"/>
  <c r="E63" i="3"/>
  <c r="E81" i="3"/>
  <c r="E118" i="3"/>
  <c r="E264" i="3"/>
  <c r="E283" i="3"/>
  <c r="E309" i="3"/>
  <c r="E21" i="3"/>
  <c r="E541" i="3"/>
  <c r="E522" i="3"/>
  <c r="E512" i="3"/>
  <c r="E383" i="3"/>
  <c r="E15" i="3"/>
  <c r="E197" i="3"/>
  <c r="E356" i="3"/>
  <c r="E507" i="3"/>
  <c r="E393" i="3"/>
  <c r="E340" i="3"/>
  <c r="E540" i="3"/>
  <c r="E517" i="3"/>
  <c r="E504" i="3"/>
  <c r="E49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525" i="3"/>
  <c r="E521" i="3"/>
  <c r="E308" i="3"/>
  <c r="E360" i="3"/>
  <c r="E494" i="3"/>
  <c r="E137" i="3"/>
  <c r="E524" i="3"/>
  <c r="E543" i="3"/>
  <c r="E564" i="3"/>
  <c r="E342" i="3"/>
  <c r="E365" i="3"/>
  <c r="E534" i="3"/>
  <c r="E520" i="3"/>
  <c r="E513" i="3"/>
  <c r="E498" i="3"/>
  <c r="E49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F66" i="71"/>
  <c r="Q67" i="71"/>
  <c r="C26" i="71"/>
  <c r="D26" i="71" s="1"/>
  <c r="D27" i="71"/>
  <c r="S32" i="36"/>
  <c r="AA32" i="36"/>
  <c r="AB34" i="35"/>
  <c r="U34" i="35"/>
  <c r="S11" i="35"/>
  <c r="AA11" i="35"/>
  <c r="S12" i="34"/>
  <c r="AA12" i="34"/>
  <c r="AA23" i="36"/>
  <c r="S23" i="36"/>
  <c r="W23" i="36"/>
  <c r="AC23" i="36"/>
  <c r="AB36" i="35"/>
  <c r="U36" i="35"/>
  <c r="W28" i="33"/>
  <c r="AC28" i="33"/>
  <c r="U28" i="33"/>
  <c r="AB28" i="33"/>
  <c r="S12" i="21"/>
  <c r="AA12" i="21"/>
  <c r="S45" i="39"/>
  <c r="AA45" i="39"/>
  <c r="U29" i="21"/>
  <c r="AB29" i="21"/>
  <c r="W31" i="33"/>
  <c r="AC31" i="33"/>
  <c r="S30" i="34"/>
  <c r="AA30" i="34"/>
  <c r="U46" i="34"/>
  <c r="AB46" i="34"/>
  <c r="AA25" i="36"/>
  <c r="S25" i="36"/>
  <c r="AA43" i="39"/>
  <c r="S43" i="39"/>
  <c r="AC27" i="37"/>
  <c r="W27" i="37"/>
  <c r="U28" i="34"/>
  <c r="AB28" i="34"/>
  <c r="S27" i="40"/>
  <c r="AA27" i="40"/>
  <c r="D121" i="9"/>
  <c r="D7" i="52" s="1"/>
  <c r="D6" i="52"/>
  <c r="BL5" i="3"/>
  <c r="W9" i="21"/>
  <c r="AC9" i="21"/>
  <c r="C15" i="71"/>
  <c r="T16" i="71"/>
  <c r="B15" i="71"/>
  <c r="B14" i="71" s="1"/>
  <c r="B13" i="71" s="1"/>
  <c r="B12" i="71" s="1"/>
  <c r="S16" i="71"/>
  <c r="F7" i="36"/>
  <c r="J7" i="37"/>
  <c r="H7" i="36"/>
  <c r="AZ5" i="3"/>
  <c r="AY6" i="3" s="1"/>
  <c r="AB32" i="36"/>
  <c r="U32" i="36"/>
  <c r="S34" i="35"/>
  <c r="AA34" i="35"/>
  <c r="AC34" i="35"/>
  <c r="W34" i="35"/>
  <c r="W11" i="35"/>
  <c r="AC11" i="35"/>
  <c r="W12" i="34"/>
  <c r="AC12" i="34"/>
  <c r="AC9" i="34"/>
  <c r="W9" i="34"/>
  <c r="E11" i="71"/>
  <c r="E10" i="71" s="1"/>
  <c r="E9" i="71" s="1"/>
  <c r="E8" i="71" s="1"/>
  <c r="E7" i="71" s="1"/>
  <c r="E6" i="71" s="1"/>
  <c r="E5" i="71" s="1"/>
  <c r="V12" i="71"/>
  <c r="AB33" i="36"/>
  <c r="U33" i="36"/>
  <c r="AB23" i="36"/>
  <c r="U23" i="36"/>
  <c r="W36" i="35"/>
  <c r="AC36" i="35"/>
  <c r="W12" i="35"/>
  <c r="AC12" i="35"/>
  <c r="S28" i="33"/>
  <c r="AA28" i="33"/>
  <c r="AC12" i="21"/>
  <c r="W12" i="21"/>
  <c r="S13" i="33"/>
  <c r="AA13" i="33"/>
  <c r="AA45" i="33"/>
  <c r="S45" i="33"/>
  <c r="U32" i="34"/>
  <c r="AB32" i="34"/>
  <c r="AA40" i="37"/>
  <c r="S40" i="37"/>
  <c r="U25" i="36"/>
  <c r="AB25" i="36"/>
  <c r="U43" i="39"/>
  <c r="AB43" i="39"/>
  <c r="W27" i="40"/>
  <c r="AC27" i="40"/>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C28" i="43" l="1"/>
  <c r="T13" i="43" s="1"/>
  <c r="V13" i="43" s="1"/>
  <c r="B40" i="1"/>
  <c r="E65" i="39"/>
  <c r="Q66" i="71"/>
  <c r="Q65" i="71"/>
  <c r="B11" i="71"/>
  <c r="B10" i="71" s="1"/>
  <c r="B9" i="71" s="1"/>
  <c r="B8" i="71" s="1"/>
  <c r="B7" i="71" s="1"/>
  <c r="B6" i="71" s="1"/>
  <c r="B5" i="71" s="1"/>
  <c r="S12" i="71"/>
  <c r="C14" i="71"/>
  <c r="D15"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F41" i="67"/>
  <c r="M27" i="15"/>
  <c r="F69" i="67" l="1"/>
  <c r="L36" i="43"/>
  <c r="P36" i="43" s="1"/>
  <c r="F22" i="81"/>
  <c r="C38" i="43"/>
  <c r="E38" i="43" s="1"/>
  <c r="C39" i="43"/>
  <c r="E39" i="43" s="1"/>
  <c r="T15" i="43"/>
  <c r="V15" i="43" s="1"/>
  <c r="C42" i="43"/>
  <c r="C40" i="43"/>
  <c r="G40" i="43" s="1"/>
  <c r="I40" i="43" s="1"/>
  <c r="T10" i="43"/>
  <c r="V10" i="43" s="1"/>
  <c r="T2" i="43"/>
  <c r="V2" i="43" s="1"/>
  <c r="T7" i="43"/>
  <c r="V7" i="43" s="1"/>
  <c r="C41" i="43"/>
  <c r="G41" i="43" s="1"/>
  <c r="I41" i="43" s="1"/>
  <c r="T5" i="43"/>
  <c r="V5" i="43" s="1"/>
  <c r="T4" i="43"/>
  <c r="V4" i="43" s="1"/>
  <c r="T14" i="43"/>
  <c r="V14" i="43" s="1"/>
  <c r="T11" i="43"/>
  <c r="V11" i="43" s="1"/>
  <c r="C37" i="43"/>
  <c r="G37" i="43" s="1"/>
  <c r="I37" i="43" s="1"/>
  <c r="C33" i="43"/>
  <c r="T6" i="43"/>
  <c r="V6" i="43" s="1"/>
  <c r="T3" i="43"/>
  <c r="V3" i="43" s="1"/>
  <c r="T8" i="43"/>
  <c r="V8" i="43" s="1"/>
  <c r="T12" i="43"/>
  <c r="V12" i="43" s="1"/>
  <c r="T16" i="43"/>
  <c r="V16" i="43" s="1"/>
  <c r="T9" i="43"/>
  <c r="V9" i="43" s="1"/>
  <c r="D116" i="43"/>
  <c r="F22" i="68"/>
  <c r="C23" i="68" s="1"/>
  <c r="F25" i="12"/>
  <c r="C26" i="12" s="1"/>
  <c r="D25" i="12" s="1"/>
  <c r="L37" i="43"/>
  <c r="P37" i="43" s="1"/>
  <c r="F24" i="67"/>
  <c r="C24" i="67" s="1"/>
  <c r="O36" i="43"/>
  <c r="F24" i="15"/>
  <c r="C24" i="15" s="1"/>
  <c r="F22" i="11"/>
  <c r="C44" i="11" s="1"/>
  <c r="D41" i="11" s="1"/>
  <c r="F22" i="69"/>
  <c r="J10" i="69" s="1"/>
  <c r="N36" i="43"/>
  <c r="D14" i="71"/>
  <c r="C13"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F50" i="81" s="1"/>
  <c r="L16" i="1"/>
  <c r="H67" i="39"/>
  <c r="G69" i="39"/>
  <c r="E41" i="43"/>
  <c r="G38" i="43"/>
  <c r="I38" i="43" s="1"/>
  <c r="E40"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D10" i="69"/>
  <c r="C17" i="67"/>
  <c r="C14" i="67"/>
  <c r="C17" i="15"/>
  <c r="C34" i="69"/>
  <c r="I20" i="69" l="1"/>
  <c r="F41" i="69"/>
  <c r="E42" i="43"/>
  <c r="C6" i="81"/>
  <c r="Q36" i="43"/>
  <c r="M36" i="43"/>
  <c r="F41" i="81"/>
  <c r="C24" i="81"/>
  <c r="C26" i="81"/>
  <c r="D22" i="81" s="1"/>
  <c r="C44" i="81"/>
  <c r="D41" i="81" s="1"/>
  <c r="C42" i="81"/>
  <c r="C43" i="81"/>
  <c r="C7" i="81"/>
  <c r="C5" i="81" s="1"/>
  <c r="E37" i="43"/>
  <c r="C34" i="43"/>
  <c r="E34" i="43" s="1"/>
  <c r="G42" i="43"/>
  <c r="I42" i="43" s="1"/>
  <c r="E33" i="43"/>
  <c r="C30" i="43" s="1"/>
  <c r="B2" i="43" s="1"/>
  <c r="B3" i="43" s="1"/>
  <c r="C26" i="68"/>
  <c r="D22" i="68" s="1"/>
  <c r="C44" i="68"/>
  <c r="D41" i="68" s="1"/>
  <c r="F41" i="68"/>
  <c r="O37" i="43"/>
  <c r="M37" i="43"/>
  <c r="C26" i="69"/>
  <c r="D22" i="69" s="1"/>
  <c r="N37" i="43"/>
  <c r="Q37" i="43"/>
  <c r="C44" i="69"/>
  <c r="D41" i="69" s="1"/>
  <c r="C25" i="11"/>
  <c r="C23" i="11"/>
  <c r="C26" i="11"/>
  <c r="D22" i="11" s="1"/>
  <c r="C24" i="11"/>
  <c r="D13" i="71"/>
  <c r="C12"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41" i="81" l="1"/>
  <c r="C49" i="81" s="1"/>
  <c r="C51" i="81" s="1"/>
  <c r="C23" i="81"/>
  <c r="C20" i="81"/>
  <c r="C25" i="81" s="1"/>
  <c r="C22" i="11"/>
  <c r="C31" i="11"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C28" i="81" l="1"/>
  <c r="C27" i="81" s="1"/>
  <c r="C22" i="81"/>
  <c r="J7" i="21"/>
  <c r="AC7" i="21" s="1"/>
  <c r="V48" i="21" s="1"/>
  <c r="I48" i="21" s="1"/>
  <c r="C10" i="71"/>
  <c r="D11" i="7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C31" i="81"/>
  <c r="C52" i="81" s="1"/>
  <c r="B2" i="81" s="1"/>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M21" i="15"/>
  <c r="B3" i="81"/>
  <c r="F35" i="67"/>
  <c r="F35" i="15"/>
  <c r="C57" i="81" l="1"/>
  <c r="C56" i="8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19" i="82"/>
  <c r="C102" i="82" l="1"/>
  <c r="C21" i="82"/>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20" i="82"/>
  <c r="C103" i="82" l="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19" i="9"/>
  <c r="D2" i="37"/>
  <c r="D2" i="34"/>
  <c r="D2" i="35"/>
  <c r="L51" i="15"/>
  <c r="D102" i="9" l="1"/>
  <c r="D21" i="9"/>
  <c r="Q57" i="67"/>
  <c r="Q62" i="67" s="1"/>
  <c r="Q66" i="67"/>
  <c r="Q75" i="67" s="1"/>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9" i="1"/>
  <c r="AO8" i="1"/>
  <c r="AO6" i="1"/>
  <c r="AO7" i="1"/>
  <c r="AO12" i="1"/>
  <c r="AO10" i="1"/>
  <c r="D20" i="9"/>
  <c r="D19" i="82"/>
  <c r="AO11" i="1"/>
  <c r="R48" i="39" l="1"/>
  <c r="C48" i="39" s="1"/>
  <c r="D102" i="82"/>
  <c r="G19" i="82"/>
  <c r="D21" i="82"/>
  <c r="D22" i="82"/>
  <c r="B3" i="35"/>
  <c r="D103" i="9"/>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20" i="82"/>
  <c r="G21" i="82" l="1"/>
  <c r="D15" i="74"/>
  <c r="C47" i="39"/>
  <c r="D103" i="82"/>
  <c r="G20" i="82"/>
  <c r="C32" i="82" s="1"/>
  <c r="C35" i="82" s="1"/>
  <c r="C34" i="82"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15" i="74" l="1"/>
  <c r="E15" i="74"/>
  <c r="C7" i="69"/>
  <c r="C5" i="69" s="1"/>
  <c r="F65" i="39"/>
  <c r="B2" i="39" s="1"/>
  <c r="B3" i="39" s="1"/>
  <c r="C42" i="40"/>
  <c r="C43" i="40"/>
  <c r="E47" i="40"/>
  <c r="F47" i="40" s="1"/>
  <c r="E46" i="40"/>
  <c r="F46" i="40" s="1"/>
  <c r="I47" i="40"/>
  <c r="J47" i="40" s="1"/>
  <c r="C23" i="69" l="1"/>
  <c r="C20" i="69"/>
  <c r="B58" i="40"/>
  <c r="F58" i="40" s="1"/>
  <c r="B54" i="40"/>
  <c r="F54" i="40" s="1"/>
  <c r="B53" i="40"/>
  <c r="F53" i="40" s="1"/>
  <c r="B59" i="40"/>
  <c r="F59" i="40" s="1"/>
  <c r="B52" i="40"/>
  <c r="F52" i="40" s="1"/>
  <c r="B56" i="40"/>
  <c r="F56" i="40" s="1"/>
  <c r="B60" i="40"/>
  <c r="F60" i="40" s="1"/>
  <c r="B57" i="40"/>
  <c r="F57" i="40" s="1"/>
  <c r="B51" i="40"/>
  <c r="F51" i="40" s="1"/>
  <c r="F61" i="40"/>
  <c r="B2" i="40" s="1"/>
  <c r="B3" i="40" s="1"/>
  <c r="C28" i="69" l="1"/>
  <c r="C27" i="69" s="1"/>
  <c r="C25" i="69"/>
  <c r="C22" i="69" s="1"/>
  <c r="C31" i="69" l="1"/>
  <c r="C52" i="69" s="1"/>
  <c r="B2" i="69" s="1"/>
  <c r="B6" i="74"/>
  <c r="D6" i="74" s="1"/>
  <c r="C19" i="9"/>
  <c r="B3" i="69"/>
  <c r="C57" i="69" l="1"/>
  <c r="C56" i="69" s="1"/>
  <c r="C102" i="9"/>
  <c r="C21" i="9"/>
  <c r="D22" i="9"/>
  <c r="G19" i="9"/>
  <c r="C20" i="9"/>
  <c r="G21" i="9" l="1"/>
  <c r="D14" i="74"/>
  <c r="C103" i="9"/>
  <c r="G20" i="9"/>
  <c r="E14" i="74" l="1"/>
  <c r="B5" i="74"/>
  <c r="D5" i="74" s="1"/>
  <c r="F14" i="74"/>
  <c r="C32" i="9"/>
  <c r="C35" i="9" s="1"/>
  <c r="C34" i="9" s="1"/>
  <c r="G35" i="1"/>
  <c r="C5" i="74" l="1"/>
  <c r="D123" i="82"/>
  <c r="D122" i="82"/>
  <c r="E97" i="9"/>
  <c r="E96" i="9"/>
  <c r="C96" i="9"/>
  <c r="M55" i="82"/>
  <c r="D59" i="82"/>
  <c r="D119" i="82"/>
  <c r="D118" i="82"/>
  <c r="E118" i="82"/>
  <c r="B31" i="72"/>
  <c r="D15" i="53"/>
  <c r="D54" i="82"/>
  <c r="C64" i="82"/>
  <c r="C63" i="82"/>
  <c r="C67" i="82"/>
  <c r="C68" i="82"/>
  <c r="N61" i="9"/>
  <c r="N59" i="9"/>
  <c r="N60" i="9"/>
  <c r="M54" i="82"/>
  <c r="C97" i="82"/>
  <c r="D58" i="82"/>
  <c r="D56" i="82"/>
  <c r="B47" i="72"/>
  <c r="D4" i="52"/>
  <c r="B20" i="72"/>
  <c r="E81" i="82"/>
  <c r="E80" i="82"/>
  <c r="C80" i="82"/>
  <c r="D54" i="9"/>
  <c r="C68" i="9"/>
  <c r="C73" i="82"/>
  <c r="C78" i="82"/>
  <c r="M48" i="82"/>
  <c r="B21" i="72"/>
  <c r="D7" i="53"/>
  <c r="H102" i="9"/>
  <c r="B30" i="72"/>
  <c r="N60" i="82"/>
  <c r="N59" i="82"/>
  <c r="N61" i="82"/>
  <c r="C73" i="9"/>
  <c r="C78" i="9"/>
  <c r="C85" i="82"/>
  <c r="C95" i="82"/>
  <c r="C96" i="82"/>
  <c r="E96" i="82"/>
  <c r="E97" i="82"/>
  <c r="H4" i="52"/>
  <c r="C104" i="9"/>
  <c r="H107" i="82"/>
  <c r="H108" i="82"/>
  <c r="I4" i="52"/>
  <c r="C105" i="9"/>
  <c r="C105" i="82"/>
  <c r="H102" i="82"/>
  <c r="M48" i="9"/>
  <c r="D53" i="9"/>
  <c r="D52" i="9"/>
  <c r="H119" i="82"/>
  <c r="C104" i="82"/>
  <c r="D9" i="52"/>
  <c r="D123" i="9"/>
  <c r="C72" i="82"/>
  <c r="C79" i="82"/>
  <c r="C81" i="82"/>
  <c r="B48" i="72"/>
  <c r="E4" i="52"/>
  <c r="C93" i="9"/>
  <c r="C86" i="9"/>
  <c r="C85" i="9"/>
  <c r="C95" i="9"/>
  <c r="C97" i="9"/>
  <c r="D58" i="9"/>
  <c r="D56" i="9"/>
  <c r="M54" i="9"/>
  <c r="D13" i="53"/>
  <c r="D14" i="53"/>
  <c r="B32" i="72"/>
  <c r="B51" i="72"/>
  <c r="F4" i="52"/>
  <c r="G4" i="52"/>
  <c r="B52" i="72"/>
  <c r="H108" i="9"/>
  <c r="C6" i="74"/>
  <c r="H107" i="9"/>
  <c r="D122" i="9"/>
  <c r="D8" i="52"/>
  <c r="N58" i="82"/>
  <c r="D55" i="82"/>
  <c r="M53" i="82"/>
  <c r="N57" i="82"/>
  <c r="P57" i="82"/>
  <c r="P57" i="9"/>
  <c r="D55" i="9"/>
  <c r="M53" i="9"/>
  <c r="N57" i="9"/>
  <c r="N58" i="9"/>
  <c r="M55" i="9"/>
  <c r="C64" i="9"/>
  <c r="C63" i="9"/>
  <c r="C67" i="9"/>
  <c r="D59" i="9"/>
  <c r="C86" i="82"/>
  <c r="C93" i="82"/>
  <c r="H119" i="9"/>
  <c r="H5" i="52"/>
  <c r="C81" i="9"/>
  <c r="D45" i="9"/>
  <c r="C72" i="9"/>
  <c r="C79" i="9"/>
  <c r="C80" i="9"/>
  <c r="E80" i="9"/>
  <c r="E81" i="9"/>
  <c r="E118" i="9"/>
  <c r="D118" i="9"/>
  <c r="D119" i="9"/>
  <c r="D5" i="52"/>
  <c r="B49" i="72"/>
  <c r="I118" i="9"/>
  <c r="H118" i="9"/>
  <c r="H101" i="9"/>
  <c r="D5" i="53"/>
  <c r="D6" i="53"/>
  <c r="B22" i="72"/>
  <c r="D52" i="82"/>
  <c r="I118" i="82"/>
  <c r="H118" i="82"/>
  <c r="H101" i="82"/>
  <c r="D45" i="82"/>
  <c r="D53" i="82"/>
  <c r="G118" i="9"/>
  <c r="F118" i="9"/>
  <c r="F119" i="9"/>
  <c r="F5" i="52"/>
  <c r="B53" i="72"/>
  <c r="G118" i="82"/>
  <c r="F118" i="82"/>
  <c r="F119"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CCB12486-0E45-47AC-98D7-5E5A42DCC086}">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AB28DFF2-1059-4F97-9A9A-1F805A06C35C}">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990FE66A-0390-49BA-96DA-97C7E9A57FA3}">
      <text>
        <r>
          <rPr>
            <sz val="11"/>
            <color indexed="81"/>
            <rFont val="宋体"/>
            <family val="3"/>
            <charset val="134"/>
          </rPr>
          <t>需在下方列示计算过程</t>
        </r>
        <r>
          <rPr>
            <sz val="9"/>
            <color indexed="81"/>
            <rFont val="宋体"/>
            <family val="3"/>
            <charset val="134"/>
          </rPr>
          <t xml:space="preserve">
</t>
        </r>
      </text>
    </comment>
    <comment ref="H75" authorId="2" shapeId="0" xr:uid="{79BC80FA-4775-4300-978C-94274BA46FFE}">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<sst xmlns="http://schemas.openxmlformats.org/spreadsheetml/2006/main" count="8996" uniqueCount="3835">
  <si>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</si>
  <si>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</si>
  <si>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</si>
  <si>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</si>
  <si>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</si>
  <si>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</si>
  <si>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</si>
  <si>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</si>
  <si>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</si>
  <si>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</si>
  <si>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</si>
  <si>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</si>
  <si>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</si>
  <si>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</si>
  <si>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</si>
  <si>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</si>
  <si>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</si>
  <si>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</si>
  <si>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</si>
  <si>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</si>
  <si>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</si>
  <si>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</si>
  <si>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</si>
  <si>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</si>
  <si>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</si>
  <si>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</si>
  <si>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</si>
  <si>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</si>
  <si>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</si>
  <si>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</si>
  <si>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</si>
  <si>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</si>
  <si>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</si>
  <si>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</si>
  <si>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</si>
  <si>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</si>
  <si>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</si>
  <si>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</si>
  <si>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</si>
  <si>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</si>
  <si>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</si>
  <si>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</si>
  <si>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</si>
  <si>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</si>
  <si>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</si>
  <si>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</si>
  <si>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</si>
  <si>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</si>
  <si>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</si>
  <si>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</si>
  <si>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</si>
  <si>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</si>
  <si>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</si>
  <si>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</si>
  <si>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</si>
  <si>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</si>
  <si>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</si>
  <si>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</si>
  <si>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</si>
  <si>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</si>
  <si>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</si>
  <si>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</si>
  <si>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</si>
  <si>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</si>
  <si>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</si>
  <si>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</si>
  <si>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</si>
  <si>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</si>
  <si>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</si>
  <si>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</si>
  <si>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</si>
  <si>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</si>
  <si>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</si>
  <si>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</si>
  <si>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</si>
  <si>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</si>
  <si>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</si>
  <si>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</si>
  <si>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</si>
  <si>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</si>
  <si>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</si>
  <si>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</si>
  <si>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</si>
  <si>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</si>
  <si>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</si>
  <si>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</si>
  <si>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</si>
  <si>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</si>
  <si>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</si>
  <si>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</si>
  <si>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</si>
  <si>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</si>
  <si>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</si>
  <si>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</si>
  <si>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</si>
  <si>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</si>
  <si>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</si>
  <si>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</si>
  <si>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</si>
  <si>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</si>
  <si>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</si>
  <si>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</si>
  <si>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</si>
  <si>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</si>
  <si>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</si>
  <si>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</si>
  <si>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</si>
  <si>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</si>
  <si>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</si>
  <si>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</si>
  <si>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</si>
  <si>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</si>
  <si>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</si>
  <si>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</si>
  <si>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</si>
  <si>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</si>
  <si>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</si>
  <si>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</si>
  <si>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</si>
  <si>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</si>
  <si>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</si>
  <si>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</si>
  <si>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</si>
  <si>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</si>
  <si>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</si>
  <si>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</si>
  <si>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</si>
  <si>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</si>
  <si>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</si>
  <si>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</si>
  <si>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</si>
  <si>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</si>
  <si>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</si>
  <si>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</si>
  <si>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</si>
  <si>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</si>
  <si>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</si>
  <si>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</si>
  <si>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</si>
  <si>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</si>
  <si>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</si>
  <si>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</si>
  <si>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</si>
  <si>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</si>
  <si>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</si>
  <si>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</si>
  <si>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</si>
  <si>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</si>
  <si>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</si>
  <si>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</si>
  <si>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</si>
  <si>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</si>
  <si>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</si>
  <si>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</si>
  <si>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</si>
  <si>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</si>
  <si>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</si>
  <si>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</si>
  <si>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</si>
  <si>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</si>
  <si>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</si>
  <si>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</si>
  <si>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</si>
  <si>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</si>
  <si>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</si>
  <si>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</si>
  <si>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</si>
  <si>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</si>
  <si>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</si>
  <si>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</si>
  <si>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</si>
  <si>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</si>
  <si>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</si>
  <si>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</si>
  <si>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</si>
  <si>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</si>
  <si>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</si>
  <si>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</si>
  <si>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</si>
  <si>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</si>
  <si>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</si>
  <si>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</si>
  <si>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</si>
  <si>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</si>
  <si>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</si>
  <si>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</si>
  <si>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</si>
  <si>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</si>
  <si>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</si>
  <si>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</si>
  <si>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</si>
  <si>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</si>
  <si>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</si>
  <si>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</si>
  <si>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</si>
  <si>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</si>
  <si>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</si>
  <si>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</si>
  <si>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</si>
  <si>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</si>
  <si>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</si>
  <si>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</si>
  <si>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</si>
  <si>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</si>
  <si>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</si>
  <si>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</si>
  <si>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</si>
  <si>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</si>
  <si>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</si>
  <si>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</si>
  <si>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</si>
  <si>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</si>
  <si>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</si>
  <si>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</si>
  <si>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</si>
  <si>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</si>
  <si>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</si>
  <si>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</si>
  <si>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</si>
  <si>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</si>
  <si>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</si>
  <si>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</si>
  <si>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</si>
  <si>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</si>
  <si>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</si>
  <si>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</si>
  <si>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</si>
  <si>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</si>
  <si>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</si>
  <si>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</si>
  <si>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</si>
  <si>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</si>
  <si>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</si>
  <si>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</si>
  <si>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</si>
  <si>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</si>
  <si>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</si>
  <si>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</si>
  <si>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</si>
  <si>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</si>
  <si>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</si>
  <si>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</si>
  <si>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</si>
  <si>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</si>
  <si>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</si>
  <si>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</si>
  <si>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</si>
  <si>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</si>
  <si>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</si>
  <si>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</si>
  <si>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</si>
  <si>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</si>
  <si>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</si>
  <si>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</si>
  <si>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</si>
  <si>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</si>
  <si>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</si>
  <si>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</si>
  <si>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</si>
  <si>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</si>
  <si>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</si>
  <si>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</si>
  <si>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</si>
  <si>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</si>
  <si>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</si>
  <si>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</si>
  <si>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</si>
  <si>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</si>
  <si>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</si>
  <si>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</si>
  <si>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</si>
  <si>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</si>
  <si>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</si>
  <si>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</si>
  <si>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</si>
  <si>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</si>
  <si>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</si>
  <si>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</si>
  <si>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</si>
  <si>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</si>
  <si>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</si>
  <si>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</si>
  <si>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</si>
  <si>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</si>
  <si>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</si>
  <si>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</si>
  <si>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</si>
  <si>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</si>
  <si>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</si>
  <si>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</si>
  <si>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</si>
  <si>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</si>
  <si>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</si>
  <si>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</si>
  <si>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</si>
  <si>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</si>
  <si>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</si>
  <si>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</si>
  <si>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</si>
  <si>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</si>
  <si>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</si>
  <si>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</si>
  <si>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</si>
  <si>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</si>
  <si>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</si>
  <si>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</si>
  <si>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</si>
  <si>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</si>
  <si>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</si>
  <si>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</si>
  <si>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</si>
  <si>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</si>
  <si>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</si>
  <si>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</si>
  <si>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</si>
  <si>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</si>
  <si>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</si>
  <si>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</si>
  <si>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</si>
  <si>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</si>
  <si>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</si>
  <si>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</si>
  <si>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</si>
  <si>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</si>
  <si>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</si>
  <si>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</si>
  <si>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</si>
  <si>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</si>
  <si>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</si>
  <si>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</si>
  <si>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</si>
  <si>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</si>
  <si>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</si>
  <si>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</si>
  <si>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</si>
  <si>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</si>
  <si>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</si>
  <si>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</si>
  <si>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</si>
  <si>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</si>
  <si>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</si>
  <si>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</si>
  <si>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</si>
  <si>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</si>
  <si>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</si>
  <si>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</si>
  <si>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</si>
  <si>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</si>
  <si>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</si>
  <si>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</si>
  <si>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</si>
  <si>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</si>
  <si>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</si>
  <si>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</si>
  <si>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</si>
  <si>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</si>
  <si>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</si>
  <si>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</si>
  <si>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</si>
  <si>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</si>
  <si>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</si>
  <si>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</si>
  <si>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</si>
  <si>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</si>
  <si>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</si>
  <si>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</si>
  <si>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</si>
  <si>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</si>
  <si>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</si>
  <si>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</si>
  <si>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</si>
  <si>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</si>
  <si>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</si>
  <si>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</si>
  <si>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</si>
  <si>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</si>
  <si>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</si>
  <si>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</si>
  <si>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</si>
  <si>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</si>
  <si>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</si>
  <si>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</si>
  <si>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</si>
  <si>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</si>
  <si>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</si>
  <si>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</si>
  <si>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</si>
  <si>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</si>
  <si>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</si>
  <si>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</si>
  <si>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</si>
  <si>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</si>
  <si>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</si>
  <si>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</si>
  <si>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</si>
  <si>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</si>
  <si>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</si>
  <si>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</si>
  <si>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</si>
  <si>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</si>
  <si>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</si>
  <si>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</si>
  <si>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</si>
  <si>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</si>
  <si>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</si>
  <si>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</si>
  <si>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</si>
  <si>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</si>
  <si>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</si>
  <si>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</si>
  <si>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</si>
  <si>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</si>
  <si>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</si>
  <si>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</si>
  <si>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</si>
  <si>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</si>
  <si>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</si>
  <si>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</si>
  <si>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</si>
  <si>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</si>
  <si>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</si>
  <si>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</si>
  <si>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</si>
  <si>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</si>
  <si>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</si>
  <si>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</si>
  <si>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</si>
  <si>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</si>
  <si>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</si>
  <si>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</si>
  <si>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</si>
  <si>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</si>
  <si>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</si>
  <si>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</si>
  <si>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</si>
  <si>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</si>
  <si>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</si>
  <si>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</si>
  <si>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</si>
  <si>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</si>
  <si>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</si>
  <si>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</si>
  <si>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</si>
  <si>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</si>
  <si>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</si>
  <si>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</si>
  <si>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</si>
  <si>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</si>
  <si>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</si>
  <si>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</si>
  <si>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</si>
  <si>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</si>
  <si>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</si>
  <si>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</si>
  <si>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</si>
  <si>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</si>
  <si>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</si>
  <si>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</si>
  <si>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</si>
  <si>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</si>
  <si>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</si>
  <si>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</si>
  <si>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</si>
  <si>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</si>
  <si>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</si>
  <si>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</si>
  <si>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</si>
  <si>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</si>
  <si>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</si>
  <si>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</si>
  <si>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</si>
  <si>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</si>
  <si>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</si>
  <si>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</si>
  <si>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</si>
  <si>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</si>
  <si>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</si>
  <si>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</si>
  <si>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</si>
  <si>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</si>
  <si>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</si>
  <si>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</si>
  <si>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</si>
  <si>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</si>
  <si>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</si>
  <si>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</si>
  <si>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</si>
  <si>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</si>
  <si>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</si>
  <si>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</si>
  <si>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</si>
  <si>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</si>
  <si>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</si>
  <si>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</si>
  <si>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</si>
  <si>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</si>
  <si>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</si>
  <si>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</si>
  <si>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</si>
  <si>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</si>
  <si>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</si>
  <si>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</si>
  <si>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</si>
  <si>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</si>
  <si>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</si>
  <si>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</si>
  <si>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</si>
  <si>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</si>
  <si>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</si>
  <si>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</si>
  <si>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</si>
  <si>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</si>
  <si>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</si>
  <si>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</si>
  <si>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</si>
  <si>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</si>
  <si>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</si>
  <si>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</si>
  <si>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</si>
  <si>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</si>
  <si>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</si>
  <si>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</si>
  <si>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</si>
  <si>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</si>
  <si>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</si>
  <si>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</si>
  <si>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</si>
  <si>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</si>
  <si>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</si>
  <si>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</si>
  <si>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</si>
  <si>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</si>
  <si>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</si>
  <si>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</si>
  <si>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</si>
  <si>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</si>
  <si>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</si>
  <si>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</si>
  <si>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</si>
  <si>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</si>
  <si>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</si>
  <si>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</si>
  <si>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</si>
  <si>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</si>
  <si>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</si>
  <si>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</si>
  <si>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</si>
  <si>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</si>
  <si>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</si>
  <si>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</si>
  <si>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</si>
  <si>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</si>
  <si>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</si>
  <si>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</si>
  <si>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</si>
  <si>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</si>
  <si>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</si>
  <si>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</si>
  <si>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</si>
  <si>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</si>
  <si>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</si>
  <si>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</si>
  <si>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</si>
  <si>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</si>
  <si>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</si>
  <si>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</si>
  <si>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</si>
  <si>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</si>
  <si>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</si>
  <si>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</si>
  <si>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</si>
  <si>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</si>
  <si>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</si>
  <si>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</si>
  <si>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</si>
  <si>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</si>
  <si>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</si>
  <si>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</si>
  <si>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</si>
  <si>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</si>
  <si>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</si>
  <si>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</si>
  <si>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</si>
  <si>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</si>
  <si>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</si>
  <si>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</si>
  <si>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</si>
  <si>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</si>
  <si>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</si>
  <si>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</si>
  <si>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</si>
  <si>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</si>
  <si>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</si>
  <si>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</si>
  <si>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</si>
  <si>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</si>
  <si>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</si>
  <si>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</si>
  <si>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</si>
  <si>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</si>
  <si>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</si>
  <si>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</si>
  <si>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</si>
  <si>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</si>
  <si>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</si>
  <si>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</si>
  <si>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</si>
  <si>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</si>
  <si>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</si>
  <si>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</si>
  <si>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</si>
  <si>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</si>
  <si>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</si>
  <si>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</si>
  <si>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</si>
  <si>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</si>
  <si>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</si>
  <si>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</si>
  <si>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</si>
  <si>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</si>
  <si>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</si>
  <si>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</si>
  <si>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</si>
  <si>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</si>
  <si>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</si>
  <si>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</si>
  <si>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</si>
  <si>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</si>
  <si>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</si>
  <si>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</si>
  <si>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</si>
  <si>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</si>
  <si>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</si>
  <si>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</si>
  <si>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</si>
  <si>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</si>
  <si>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</si>
  <si>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</si>
  <si>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</si>
  <si>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</si>
  <si>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</si>
  <si>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</si>
  <si>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</si>
  <si>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</si>
  <si>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</si>
  <si>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</si>
  <si>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</si>
  <si>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</si>
  <si>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</si>
  <si>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</si>
  <si>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</si>
  <si>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</si>
  <si>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</si>
  <si>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</si>
  <si>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</si>
  <si>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</si>
  <si>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</si>
  <si>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</si>
  <si>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</si>
  <si>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</si>
  <si>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</si>
  <si>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</si>
  <si>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</si>
  <si>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</si>
  <si>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</si>
  <si>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</si>
  <si>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</si>
  <si>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</si>
  <si>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</si>
  <si>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</si>
  <si>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</si>
  <si>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</si>
  <si>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</si>
  <si>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</si>
  <si>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</si>
  <si>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</si>
  <si>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</si>
  <si>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</si>
  <si>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</si>
  <si>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</si>
  <si>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</si>
  <si>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</si>
  <si>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</si>
  <si>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</si>
  <si>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</si>
  <si>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</si>
  <si>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</si>
  <si>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</si>
  <si>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</si>
  <si>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</si>
  <si>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</si>
  <si>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</si>
  <si>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</si>
  <si>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</si>
  <si>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</si>
  <si>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</si>
  <si>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</si>
  <si>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</si>
  <si>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</si>
  <si>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</si>
  <si>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</si>
  <si>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</si>
  <si>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</si>
  <si>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</si>
  <si>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</si>
  <si>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</si>
  <si>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</si>
  <si>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</si>
  <si>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</si>
  <si>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</si>
  <si>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</si>
  <si>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</si>
  <si>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</si>
  <si>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</si>
  <si>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</si>
  <si>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</si>
  <si>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</si>
  <si>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</si>
  <si>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</si>
  <si>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</si>
  <si>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</si>
  <si>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</si>
  <si>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</si>
  <si>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</si>
  <si>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</si>
  <si>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</si>
  <si>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</si>
  <si>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</si>
  <si>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</si>
  <si>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</si>
  <si>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</si>
  <si>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</si>
  <si>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</si>
  <si>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</si>
  <si>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</si>
  <si>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</si>
  <si>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</si>
  <si>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</si>
  <si>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</si>
  <si>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</si>
  <si>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</si>
  <si>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</si>
  <si>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</si>
  <si>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</si>
  <si>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</si>
  <si>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</si>
  <si>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</si>
  <si>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</si>
  <si>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</si>
  <si>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</si>
  <si>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</si>
  <si>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</si>
  <si>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</si>
  <si>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</si>
  <si>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</si>
  <si>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</si>
  <si>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</si>
  <si>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</si>
  <si>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</si>
  <si>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</si>
  <si>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</si>
  <si>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</si>
  <si>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</si>
  <si>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</si>
  <si>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</si>
  <si>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</si>
  <si>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</si>
  <si>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</si>
  <si>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</si>
  <si>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</si>
  <si>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</si>
  <si>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</si>
  <si>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</si>
  <si>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</si>
  <si>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</si>
  <si>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</si>
  <si>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</si>
  <si>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</si>
  <si>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</si>
  <si>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</si>
  <si>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</si>
  <si>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</si>
  <si>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</si>
  <si>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</si>
  <si>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</si>
  <si>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</si>
  <si>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</si>
  <si>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</si>
  <si>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</si>
  <si>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</si>
  <si>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</si>
  <si>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</si>
  <si>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</si>
  <si>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</si>
  <si>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</si>
  <si>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</si>
  <si>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</si>
  <si>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</si>
  <si>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</si>
  <si>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</si>
  <si>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</si>
  <si>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</si>
  <si>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</si>
  <si>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</si>
  <si>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</si>
  <si>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</si>
  <si>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</si>
  <si>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</si>
  <si>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</si>
  <si>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</si>
  <si>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</si>
  <si>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</si>
  <si>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</si>
  <si>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</si>
  <si>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</si>
  <si>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</si>
  <si>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</si>
  <si>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</si>
  <si>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</si>
  <si>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</si>
  <si>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</si>
  <si>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</si>
  <si>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</si>
  <si>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</si>
  <si>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</si>
  <si>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</si>
  <si>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</si>
  <si>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</si>
  <si>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</si>
  <si>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</si>
  <si>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</si>
  <si>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</si>
  <si>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</si>
  <si>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</si>
  <si>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</si>
  <si>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</si>
  <si>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</si>
  <si>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</si>
  <si>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</si>
  <si>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</si>
  <si>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</si>
  <si>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</si>
  <si>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</si>
  <si>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</si>
  <si>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</si>
  <si>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</si>
  <si>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</si>
  <si>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</si>
  <si>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</si>
  <si>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</si>
  <si>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</si>
  <si>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</si>
  <si>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</si>
  <si>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</si>
  <si>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</si>
  <si>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</si>
  <si>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</si>
  <si>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</si>
  <si>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</si>
  <si>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</si>
  <si>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</si>
  <si>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</si>
  <si>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</si>
  <si>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</si>
  <si>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</si>
  <si>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</si>
  <si>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</si>
  <si>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</si>
  <si>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</si>
  <si>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</si>
  <si>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</si>
  <si>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</si>
  <si>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</si>
  <si>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</si>
  <si>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</si>
  <si>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</si>
  <si>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</si>
  <si>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</si>
  <si>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</si>
  <si>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</si>
  <si>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</si>
  <si>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</si>
  <si>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</si>
  <si>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</si>
  <si>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</si>
  <si>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</si>
  <si>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</si>
  <si>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</si>
  <si>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</si>
  <si>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</si>
  <si>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</si>
  <si>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</si>
  <si>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</si>
  <si>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</si>
  <si>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</si>
  <si>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</si>
  <si>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</si>
  <si>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</si>
  <si>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</si>
  <si>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</si>
  <si>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</si>
  <si>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</si>
  <si>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</si>
  <si>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</si>
  <si>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</si>
  <si>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</si>
  <si>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</si>
  <si>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</si>
  <si>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</si>
  <si>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</si>
  <si>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</si>
  <si>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</si>
  <si>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</si>
  <si>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</si>
  <si>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</si>
  <si>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</si>
  <si>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</si>
  <si>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</si>
  <si>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</si>
  <si>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</si>
  <si>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</si>
  <si>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</si>
  <si>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</si>
  <si>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</si>
  <si>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</si>
  <si>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</si>
  <si>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</si>
  <si>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</si>
  <si>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</si>
  <si>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</si>
  <si>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</si>
  <si>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</si>
  <si>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</si>
  <si>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</si>
  <si>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</si>
  <si>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</si>
  <si>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</si>
  <si>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</si>
  <si>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</si>
  <si>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</si>
  <si>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</si>
  <si>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</si>
  <si>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</si>
  <si>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</si>
  <si>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</si>
  <si>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</si>
  <si>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</si>
  <si>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</si>
  <si>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</si>
  <si>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</si>
  <si>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</si>
  <si>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</si>
  <si>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</si>
  <si>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</si>
  <si>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</si>
  <si>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</si>
  <si>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</si>
  <si>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</si>
  <si>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</si>
  <si>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</si>
  <si>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</si>
  <si>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</si>
  <si>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</si>
  <si>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</si>
  <si>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</si>
  <si>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</si>
  <si>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</si>
  <si>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</si>
  <si>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</si>
  <si>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</si>
  <si>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</si>
  <si>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</si>
  <si>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</si>
  <si>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</si>
  <si>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</si>
  <si>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</si>
  <si>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</si>
  <si>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</si>
  <si>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</si>
  <si>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</si>
  <si>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</si>
  <si>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</si>
  <si>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</si>
  <si>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</si>
  <si>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</si>
  <si>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</si>
  <si>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</si>
  <si>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</si>
  <si>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</si>
  <si>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</si>
  <si>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</si>
  <si>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</si>
  <si>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</si>
  <si>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</si>
  <si>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</si>
  <si>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</si>
  <si>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</si>
  <si>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</si>
  <si>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</si>
  <si>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</si>
  <si>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</si>
  <si>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</si>
  <si>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</si>
  <si>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</si>
  <si>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</si>
  <si>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</si>
  <si>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</si>
  <si>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</si>
  <si>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</si>
  <si>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</si>
  <si>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</si>
  <si>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</si>
  <si>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</si>
  <si>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</si>
  <si>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</si>
  <si>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</si>
  <si>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</si>
  <si>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</si>
  <si>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</si>
  <si>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</si>
  <si>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</si>
  <si>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</si>
  <si>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</si>
  <si>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</si>
  <si>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</si>
  <si>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</si>
  <si>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</si>
  <si>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</si>
  <si>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</si>
  <si>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</si>
  <si>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</si>
  <si>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</si>
  <si>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</si>
  <si>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</si>
  <si>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</si>
  <si>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</si>
  <si>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</si>
  <si>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</si>
  <si>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</si>
  <si>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</si>
  <si>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</si>
  <si>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</si>
  <si>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</si>
  <si>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</si>
  <si>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</si>
  <si>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</si>
  <si>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</si>
  <si>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</si>
  <si>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</si>
  <si>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</si>
  <si>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</si>
  <si>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</si>
  <si>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</si>
  <si>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</si>
  <si>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</si>
  <si>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</si>
  <si>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</si>
  <si>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</si>
  <si>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</si>
  <si>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</si>
  <si>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</si>
  <si>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</si>
  <si>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</si>
  <si>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</si>
  <si>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</si>
  <si>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</si>
  <si>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</si>
  <si>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</si>
  <si>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</si>
  <si>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</si>
  <si>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</si>
  <si>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</si>
  <si>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</si>
  <si>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</si>
  <si>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</si>
  <si>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</si>
  <si>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</si>
  <si>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</si>
  <si>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</si>
  <si>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</si>
  <si>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</si>
  <si>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</si>
  <si>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</si>
  <si>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</si>
  <si>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</si>
  <si>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</si>
  <si>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</si>
  <si>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</si>
  <si>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</si>
  <si>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</si>
  <si>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</si>
  <si>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</si>
  <si>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</si>
  <si>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</si>
  <si>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</si>
  <si>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</si>
  <si>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</si>
  <si>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</si>
  <si>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</si>
  <si>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</si>
  <si>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</si>
  <si>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</si>
  <si>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</si>
  <si>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</si>
  <si>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</si>
  <si>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</si>
  <si>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</si>
  <si>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</si>
  <si>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</si>
  <si>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</si>
  <si>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</si>
  <si>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</si>
  <si>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</si>
  <si>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</si>
  <si>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</si>
  <si>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</si>
  <si>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</si>
  <si>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</si>
  <si>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</si>
  <si>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</si>
  <si>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</si>
  <si>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</si>
  <si>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</si>
  <si>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</si>
  <si>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</si>
  <si>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</si>
  <si>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</si>
  <si>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</si>
  <si>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</si>
  <si>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</si>
  <si>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</si>
  <si>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</si>
  <si>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</si>
  <si>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</si>
  <si>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</si>
  <si>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</si>
  <si>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</si>
  <si>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</si>
  <si>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</si>
  <si>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</si>
  <si>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</si>
  <si>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</si>
  <si>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</si>
  <si>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</si>
  <si>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</si>
  <si>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</si>
  <si>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</si>
  <si>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</si>
  <si>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</si>
  <si>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</si>
  <si>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</si>
  <si>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</si>
  <si>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</si>
  <si>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</si>
  <si>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</si>
  <si>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</si>
  <si>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</si>
  <si>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</si>
  <si>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</si>
  <si>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</si>
  <si>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</si>
  <si>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</si>
  <si>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</si>
  <si>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</si>
  <si>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</si>
  <si>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</si>
  <si>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</si>
  <si>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</si>
  <si>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</si>
  <si>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</si>
  <si>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</si>
  <si>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</si>
  <si>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</si>
  <si>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</si>
  <si>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</si>
  <si>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</si>
  <si>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</si>
  <si>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</si>
  <si>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</si>
  <si>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</si>
  <si>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</si>
  <si>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</si>
  <si>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</si>
  <si>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</si>
  <si>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</si>
  <si>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</si>
  <si>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</si>
  <si>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</si>
  <si>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</si>
  <si>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</si>
  <si>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</si>
  <si>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</si>
  <si>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</si>
  <si>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</si>
  <si>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</si>
  <si>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</si>
  <si>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</si>
  <si>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</si>
  <si>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</si>
  <si>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</si>
  <si>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</si>
  <si>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</si>
  <si>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</si>
  <si>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</si>
  <si>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</si>
  <si>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</si>
  <si>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</si>
  <si>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</si>
  <si>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</si>
  <si>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</si>
  <si>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</si>
  <si>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</si>
  <si>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</si>
  <si>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</si>
  <si>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</si>
  <si>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</si>
  <si>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</si>
  <si>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</si>
  <si>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</si>
  <si>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</si>
  <si>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</si>
  <si>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</si>
  <si>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</si>
  <si>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</si>
  <si>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</si>
  <si>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</si>
  <si>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</si>
  <si>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</si>
  <si>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</si>
  <si>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</si>
  <si>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</si>
  <si>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</si>
  <si>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</si>
  <si>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</si>
  <si>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</si>
  <si>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</si>
  <si>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</si>
  <si>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</si>
  <si>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</si>
  <si>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</si>
  <si>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</si>
  <si>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</si>
  <si>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</si>
  <si>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</si>
  <si>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</si>
  <si>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</si>
  <si>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</si>
  <si>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</si>
  <si>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</si>
  <si>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</si>
  <si>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</si>
  <si>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</si>
  <si>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</si>
  <si>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</si>
  <si>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</si>
  <si>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</si>
  <si>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</si>
  <si>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</si>
  <si>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</si>
  <si>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</si>
  <si>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</si>
  <si>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</si>
  <si>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</si>
  <si>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</si>
  <si>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</si>
  <si>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</si>
  <si>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</si>
  <si>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</si>
  <si>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</si>
  <si>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</si>
  <si>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</si>
  <si>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</si>
  <si>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</si>
  <si>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</si>
  <si>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</si>
  <si>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</si>
  <si>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</si>
  <si>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</si>
  <si>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</si>
  <si>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</si>
  <si>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</si>
  <si>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</si>
  <si>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</si>
  <si>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</si>
  <si>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</si>
  <si>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</si>
  <si>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</si>
  <si>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</si>
  <si>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</si>
  <si>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</si>
  <si>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</si>
  <si>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</si>
  <si>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</si>
  <si>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</si>
  <si>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</si>
  <si>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</si>
  <si>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</si>
  <si>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</si>
  <si>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</si>
  <si>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</si>
  <si>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</si>
  <si>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</si>
  <si>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</si>
  <si>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</si>
  <si>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</si>
  <si>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</si>
  <si>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</si>
  <si>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</si>
  <si>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</si>
  <si>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</si>
  <si>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</si>
  <si>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</si>
  <si>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</si>
  <si>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</si>
  <si>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</si>
  <si>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</si>
  <si>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</si>
  <si>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</si>
  <si>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</si>
  <si>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</si>
  <si>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</si>
  <si>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</si>
  <si>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</si>
  <si>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</si>
  <si>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</si>
  <si>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</si>
  <si>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</si>
  <si>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</si>
  <si>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</si>
  <si>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</si>
  <si>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</si>
  <si>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</si>
  <si>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</si>
  <si>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</si>
  <si>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</si>
  <si>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</si>
  <si>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</si>
  <si>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</si>
  <si>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</si>
  <si>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</si>
  <si>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</si>
  <si>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</si>
  <si>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</si>
  <si>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</si>
  <si>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</si>
  <si>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</si>
  <si>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</si>
  <si>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</si>
  <si>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</si>
  <si>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</si>
  <si>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</si>
  <si>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</si>
  <si>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</si>
  <si>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</si>
  <si>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</si>
  <si>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</si>
  <si>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</si>
  <si>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</si>
  <si>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</si>
  <si>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</si>
  <si>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</si>
  <si>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</si>
  <si>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</si>
  <si>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</si>
  <si>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</si>
  <si>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</si>
  <si>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</si>
  <si>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</si>
  <si>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</si>
  <si>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</si>
  <si>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</si>
  <si>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</si>
  <si>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</si>
  <si>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</si>
  <si>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</si>
  <si>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</si>
  <si>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</si>
  <si>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</si>
  <si>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</si>
  <si>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</si>
  <si>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</si>
  <si>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</si>
  <si>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</si>
  <si>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</si>
  <si>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</si>
  <si>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</si>
  <si>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</si>
  <si>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</si>
  <si>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</si>
  <si>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</si>
  <si>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</si>
  <si>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</si>
  <si>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</si>
  <si>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</si>
  <si>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</si>
  <si>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</si>
  <si>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</si>
  <si>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</si>
  <si>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</si>
  <si>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</si>
  <si>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</si>
  <si>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</si>
  <si>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</si>
  <si>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</si>
  <si>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</si>
  <si>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</si>
  <si>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</si>
  <si>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</si>
  <si>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</si>
  <si>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</si>
  <si>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</si>
  <si>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</si>
  <si>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</si>
  <si>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</si>
  <si>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</si>
  <si>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</si>
  <si>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</si>
  <si>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</si>
  <si>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</si>
  <si>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</si>
  <si>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</si>
  <si>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</si>
  <si>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</si>
  <si>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</si>
  <si>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</si>
  <si>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</si>
  <si>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</si>
  <si>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</si>
  <si>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</si>
  <si>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</si>
  <si>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</si>
  <si>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</si>
  <si>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</si>
  <si>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</si>
  <si>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</si>
  <si>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</si>
  <si>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</si>
  <si>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</si>
  <si>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</si>
  <si>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</si>
  <si>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</si>
  <si>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</si>
  <si>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</si>
  <si>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</si>
  <si>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</si>
  <si>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</si>
  <si>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</si>
  <si>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</si>
  <si>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</si>
  <si>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</si>
  <si>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</si>
  <si>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</si>
  <si>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</si>
  <si>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</si>
  <si>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</si>
  <si>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</si>
  <si>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</si>
  <si>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</si>
  <si>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</si>
  <si>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</si>
  <si>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</si>
  <si>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</si>
  <si>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</si>
  <si>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</si>
  <si>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</si>
  <si>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</si>
  <si>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</si>
  <si>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</si>
  <si>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</si>
  <si>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</si>
  <si>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</si>
  <si>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</si>
  <si>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</si>
  <si>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</si>
  <si>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</si>
  <si>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</si>
  <si>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</si>
  <si>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</si>
  <si>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</si>
  <si>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</si>
  <si>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</si>
  <si>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</si>
  <si>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</si>
  <si>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</si>
  <si>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</si>
  <si>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</si>
  <si>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</si>
  <si>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</si>
  <si>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</si>
  <si>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</si>
  <si>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</si>
  <si>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</si>
  <si>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</si>
  <si>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</si>
  <si>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</si>
  <si>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</si>
  <si>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</si>
  <si>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</si>
  <si>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</si>
  <si>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</si>
  <si>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</si>
  <si>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</si>
  <si>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</si>
  <si>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</si>
  <si>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</si>
  <si>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</si>
  <si>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</si>
  <si>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</si>
  <si>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</si>
  <si>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</si>
  <si>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</si>
  <si>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</si>
  <si>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</si>
  <si>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</si>
  <si>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</si>
  <si>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</si>
  <si>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</si>
  <si>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</si>
  <si>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</si>
  <si>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</si>
  <si>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</si>
  <si>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</si>
  <si>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</si>
  <si>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</si>
  <si>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</si>
  <si>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</si>
  <si>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</si>
  <si>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</si>
  <si>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</si>
  <si>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</si>
  <si>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</si>
  <si>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</si>
  <si>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</si>
  <si>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</si>
  <si>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</si>
  <si>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</si>
  <si>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</si>
  <si>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</si>
  <si>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</si>
  <si>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</si>
  <si>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</si>
  <si>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</si>
  <si>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</si>
  <si>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</si>
  <si>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</si>
  <si>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</si>
  <si>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</si>
  <si>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</si>
  <si>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</si>
  <si>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</si>
  <si>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</si>
  <si>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</si>
  <si>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</si>
  <si>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</si>
  <si>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</si>
  <si>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</si>
  <si>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</si>
  <si>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</si>
  <si>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</si>
  <si>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</si>
  <si>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</si>
  <si>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</si>
  <si>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</si>
  <si>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</si>
  <si>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</si>
  <si>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</si>
  <si>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</si>
  <si>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</si>
  <si>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</si>
  <si>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</si>
  <si>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</si>
  <si>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</si>
  <si>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</si>
  <si>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</si>
  <si>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</si>
  <si>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</si>
  <si>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</si>
  <si>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</si>
  <si>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</si>
  <si>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</si>
  <si>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</si>
  <si>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</si>
  <si>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</si>
  <si>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</si>
  <si>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</si>
  <si>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</si>
  <si>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</si>
  <si>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</si>
  <si>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</si>
  <si>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</si>
  <si>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</si>
  <si>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</si>
  <si>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</si>
  <si>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</si>
  <si>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</si>
  <si>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</si>
  <si>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</si>
  <si>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</si>
  <si>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</si>
  <si>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</si>
  <si>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</si>
  <si>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</si>
  <si>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</si>
  <si>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</si>
  <si>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</si>
  <si>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</si>
  <si>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</si>
  <si>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</si>
  <si>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</si>
  <si>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</si>
  <si>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</si>
  <si>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</si>
  <si>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</si>
  <si>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</si>
  <si>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</si>
  <si>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</si>
  <si>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</si>
  <si>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</si>
  <si>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</si>
  <si>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</si>
  <si>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</si>
  <si>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</si>
  <si>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</si>
  <si>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</si>
  <si>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</si>
  <si>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</si>
  <si>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</si>
  <si>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</si>
  <si>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</si>
  <si>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</si>
  <si>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</si>
  <si>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</si>
  <si>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</si>
  <si>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</si>
  <si>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</si>
  <si>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</si>
  <si>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</si>
  <si>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</si>
  <si>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</si>
  <si>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</si>
  <si>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</si>
  <si>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</si>
  <si>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</si>
  <si>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</si>
  <si>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</si>
  <si>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</si>
  <si>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</si>
  <si>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</si>
  <si>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</si>
  <si>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</si>
  <si>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</si>
  <si>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</si>
  <si>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</si>
  <si>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</si>
  <si>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</si>
  <si>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</si>
  <si>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</si>
  <si>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</si>
  <si>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</si>
  <si>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</si>
  <si>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</si>
  <si>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</si>
  <si>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</si>
  <si>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</si>
  <si>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</si>
  <si>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</si>
  <si>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</si>
  <si>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</si>
  <si>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</si>
  <si>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</si>
  <si>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</si>
  <si>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</si>
  <si>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</si>
  <si>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</si>
  <si>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</si>
  <si>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</si>
  <si>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</si>
  <si>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</si>
  <si>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</si>
  <si>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</si>
  <si>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</si>
  <si>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</si>
  <si>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</si>
  <si>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</si>
  <si>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</si>
  <si>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</si>
  <si>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</si>
  <si>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</si>
  <si>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</si>
  <si>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</si>
  <si>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</si>
  <si>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</si>
  <si>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</si>
  <si>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</si>
  <si>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</si>
  <si>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</si>
  <si>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</si>
  <si>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</si>
  <si>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</si>
  <si>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</si>
  <si>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</si>
  <si>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</si>
  <si>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</si>
  <si>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</si>
  <si>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</si>
  <si>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</si>
  <si>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</si>
  <si>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</si>
  <si>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</si>
  <si>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</si>
  <si>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</si>
  <si>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</si>
  <si>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</si>
  <si>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</si>
  <si>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</si>
  <si>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</si>
  <si>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</si>
  <si>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</si>
  <si>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</si>
  <si>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</si>
  <si>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</si>
  <si>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</si>
  <si>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</si>
  <si>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</si>
  <si>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</si>
  <si>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</si>
  <si>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</si>
  <si>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</si>
  <si>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</si>
  <si>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</si>
  <si>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</si>
  <si>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</si>
  <si>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</si>
  <si>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</si>
  <si>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</si>
  <si>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</si>
  <si>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</si>
  <si>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</si>
  <si>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</si>
  <si>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</si>
  <si>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</si>
  <si>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</si>
  <si>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</si>
  <si>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</si>
  <si>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</si>
  <si>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</si>
  <si>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</si>
  <si>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</si>
  <si>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</si>
  <si>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</si>
  <si>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</si>
  <si>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</si>
  <si>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</si>
  <si>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</si>
  <si>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</si>
  <si>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</si>
  <si>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</si>
  <si>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</si>
  <si>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</si>
  <si>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</si>
  <si>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</si>
  <si>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</si>
  <si>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</si>
  <si>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</si>
  <si>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</si>
  <si>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</si>
  <si>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</si>
  <si>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</si>
  <si>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</si>
  <si>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</si>
  <si>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</si>
  <si>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</si>
  <si>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</si>
  <si>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</si>
  <si>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</si>
  <si>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</si>
  <si>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</si>
  <si>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</si>
  <si>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</si>
  <si>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</si>
  <si>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</si>
  <si>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</si>
  <si>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</si>
  <si>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</si>
  <si>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</si>
  <si>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</si>
  <si>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</si>
  <si>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</si>
  <si>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</si>
  <si>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</si>
  <si>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</si>
  <si>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</si>
  <si>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</si>
  <si>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</si>
  <si>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</si>
  <si>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</si>
  <si>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</si>
  <si>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</si>
  <si>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</si>
  <si>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</si>
  <si>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</si>
  <si>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</si>
  <si>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</si>
  <si>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</si>
  <si>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</si>
  <si>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</si>
  <si>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</si>
  <si>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</si>
  <si>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</si>
  <si>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</si>
  <si>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</si>
  <si>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</si>
  <si>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</si>
  <si>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</si>
  <si>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</si>
  <si>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</si>
  <si>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</si>
  <si>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</si>
  <si>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</si>
  <si>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</si>
  <si>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</si>
  <si>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</si>
  <si>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</si>
  <si>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</si>
  <si>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</si>
  <si>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</si>
  <si>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</si>
  <si>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</si>
  <si>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</si>
  <si>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</si>
  <si>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</si>
  <si>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</si>
  <si>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</si>
  <si>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</si>
  <si>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</si>
  <si>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</si>
  <si>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</si>
  <si>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</si>
  <si>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</si>
  <si>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</si>
  <si>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</si>
  <si>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</si>
  <si>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</si>
  <si>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</si>
  <si>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</si>
  <si>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</si>
  <si>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</si>
  <si>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</si>
  <si>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</si>
  <si>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</si>
  <si>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</si>
  <si>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</si>
  <si>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</si>
  <si>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</si>
  <si>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</si>
  <si>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</si>
  <si>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</si>
  <si>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</si>
  <si>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</si>
  <si>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</si>
  <si>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</si>
  <si>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</si>
  <si>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</si>
  <si>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</si>
  <si>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</si>
  <si>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</si>
  <si>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</si>
  <si>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</si>
  <si>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</si>
  <si>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</si>
  <si>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</si>
  <si>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</si>
  <si>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</si>
  <si>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</si>
  <si>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</si>
  <si>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</si>
  <si>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</si>
  <si>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</si>
  <si>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</si>
  <si>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</si>
  <si>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</si>
  <si>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</si>
  <si>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</si>
  <si>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</si>
  <si>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</si>
  <si>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</si>
  <si>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</si>
  <si>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</si>
  <si>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</si>
  <si>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</si>
  <si>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</si>
  <si>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</si>
  <si>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</si>
  <si>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</si>
  <si>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</si>
  <si>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</si>
  <si>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</si>
  <si>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</si>
  <si>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</si>
  <si>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</si>
  <si>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</si>
  <si>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</si>
  <si>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</si>
  <si>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</si>
  <si>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</si>
  <si>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</si>
  <si>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</si>
  <si>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</si>
  <si>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</si>
  <si>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</si>
  <si>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</si>
  <si>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</si>
  <si>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</si>
  <si>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</si>
  <si>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</si>
  <si>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</si>
  <si>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</si>
  <si>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</si>
  <si>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</si>
  <si>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</si>
  <si>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</si>
  <si>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</si>
  <si>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</si>
  <si>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</si>
  <si>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</si>
  <si>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</si>
  <si>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</si>
  <si>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</si>
  <si>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</si>
  <si>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</si>
  <si>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</si>
  <si>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</si>
  <si>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</si>
  <si>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</si>
  <si>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</si>
  <si>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</si>
  <si>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</si>
  <si>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</si>
  <si>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</si>
  <si>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</si>
  <si>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</si>
  <si>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</si>
  <si>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</si>
  <si>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</si>
  <si>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</si>
  <si>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</si>
  <si>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</si>
  <si>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</si>
  <si>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</si>
  <si>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</si>
  <si>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</si>
  <si>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</si>
  <si>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</si>
  <si>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</si>
  <si>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</si>
  <si>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</si>
  <si>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</si>
  <si>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</si>
  <si>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</si>
  <si>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</si>
  <si>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</si>
  <si>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</si>
  <si>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</si>
  <si>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</si>
  <si>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</si>
  <si>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</si>
  <si>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</si>
  <si>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</si>
  <si>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</si>
  <si>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</si>
  <si>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</si>
  <si>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</si>
  <si>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</si>
  <si>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</si>
  <si>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</si>
  <si>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</si>
  <si>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</si>
  <si>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</si>
  <si>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</si>
  <si>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</si>
  <si>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</si>
  <si>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</si>
  <si>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</si>
  <si>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</si>
  <si>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</si>
  <si>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</si>
  <si>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</si>
  <si>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</si>
  <si>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</si>
  <si>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</si>
  <si>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</si>
  <si>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</si>
  <si>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</si>
  <si>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</si>
  <si>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</si>
  <si>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</si>
  <si>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</si>
  <si>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</si>
  <si>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</si>
  <si>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</si>
  <si>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</si>
  <si>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</si>
  <si>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</si>
  <si>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</si>
  <si>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</si>
  <si>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</si>
  <si>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</si>
  <si>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</si>
  <si>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</si>
  <si>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</si>
  <si>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</si>
  <si>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</si>
  <si>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</si>
  <si>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</si>
  <si>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</si>
  <si>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</si>
  <si>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</si>
  <si>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</si>
  <si>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</si>
  <si>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</si>
  <si>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</si>
  <si>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</si>
  <si>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</si>
  <si>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</si>
  <si>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</si>
  <si>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</si>
  <si>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</si>
  <si>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</si>
  <si>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</si>
  <si>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</si>
  <si>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</si>
  <si>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</si>
  <si>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</si>
  <si>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</si>
  <si>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</si>
  <si>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</si>
  <si>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</si>
  <si>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</si>
  <si>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</si>
  <si>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</si>
  <si>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</si>
  <si>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</si>
  <si>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</si>
  <si>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</si>
  <si>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</si>
  <si>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</si>
  <si>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</si>
  <si>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</si>
  <si>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</si>
  <si>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</si>
  <si>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</si>
  <si>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</si>
  <si>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</si>
  <si>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</si>
  <si>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</si>
  <si>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</si>
  <si>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</si>
  <si>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</si>
  <si>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</si>
  <si>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</si>
  <si>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</si>
  <si>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</si>
  <si>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</si>
  <si>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</si>
  <si>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</si>
  <si>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</si>
  <si>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</si>
  <si>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</si>
  <si>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</si>
  <si>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</si>
  <si>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</si>
  <si>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</si>
  <si>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</si>
  <si>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</si>
  <si>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</si>
  <si>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</si>
  <si>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</si>
  <si>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</si>
  <si>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</si>
  <si>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</si>
  <si>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</si>
  <si>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</si>
  <si>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</si>
  <si>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</si>
  <si>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</si>
  <si>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</si>
  <si>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</si>
  <si>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</si>
  <si>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</si>
  <si>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</si>
  <si>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</si>
  <si>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</si>
  <si>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</si>
  <si>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</si>
  <si>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</si>
  <si>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</si>
  <si>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</si>
  <si>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</si>
  <si>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</si>
  <si>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</si>
  <si>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</si>
  <si>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</si>
  <si>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</si>
  <si>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</si>
  <si>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</si>
  <si>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</si>
  <si>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</si>
  <si>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</si>
  <si>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</si>
  <si>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</si>
  <si>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</si>
  <si>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</si>
  <si>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</si>
  <si>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</si>
  <si>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</si>
  <si>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</si>
  <si>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</si>
  <si>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</si>
  <si>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</si>
  <si>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</si>
  <si>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</si>
  <si>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</si>
  <si>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</si>
  <si>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</si>
  <si>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</si>
  <si>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</si>
  <si>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</si>
  <si>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</si>
  <si>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</si>
  <si>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</si>
  <si>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</si>
  <si>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</si>
  <si>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</si>
  <si>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</si>
  <si>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</si>
  <si>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</si>
  <si>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</si>
  <si>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</si>
  <si>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</si>
  <si>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</si>
  <si>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</si>
  <si>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</si>
  <si>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</si>
  <si>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</si>
  <si>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</si>
  <si>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</si>
  <si>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</si>
  <si>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</si>
  <si>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</si>
  <si>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</si>
  <si>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</si>
  <si>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</si>
  <si>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</si>
  <si>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</si>
  <si>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</si>
  <si>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</si>
  <si>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</si>
  <si>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</si>
  <si>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</si>
  <si>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</si>
  <si>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</si>
  <si>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</si>
  <si>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</si>
  <si>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</si>
  <si>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</si>
  <si>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</si>
  <si>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</si>
  <si>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</si>
  <si>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</si>
  <si>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</si>
  <si>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</si>
  <si>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</si>
  <si>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</si>
  <si>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</si>
  <si>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</si>
  <si>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</si>
  <si>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</si>
  <si>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</si>
  <si>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</si>
  <si>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</si>
  <si>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</si>
  <si>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</si>
  <si>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</si>
  <si>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</si>
  <si>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</si>
  <si>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</si>
  <si>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</si>
  <si>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</si>
  <si>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</si>
  <si>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</si>
  <si>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</si>
  <si>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</si>
  <si>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</si>
  <si>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</si>
  <si>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</si>
  <si>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</si>
  <si>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</si>
  <si>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</si>
  <si>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</si>
  <si>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</si>
  <si>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</si>
  <si>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</si>
  <si>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</si>
  <si>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</si>
  <si>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</si>
  <si>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</si>
  <si>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</si>
  <si>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</si>
  <si>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</si>
  <si>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</si>
  <si>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</si>
  <si>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</si>
  <si>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</si>
  <si>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</si>
  <si>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</si>
  <si>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</si>
  <si>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</si>
  <si>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</si>
  <si>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</si>
  <si>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</si>
  <si>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</si>
  <si>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</si>
  <si>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</si>
  <si>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</si>
  <si>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</si>
  <si>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</si>
  <si>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</si>
  <si>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</si>
  <si>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</si>
  <si>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</si>
  <si>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</si>
  <si>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</si>
  <si>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</si>
  <si>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</si>
  <si>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</si>
  <si>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</si>
  <si>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</si>
  <si>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</si>
  <si>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</si>
  <si>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</si>
  <si>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</si>
  <si>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</si>
  <si>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</si>
  <si>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</si>
  <si>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</si>
  <si>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</si>
  <si>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</si>
  <si>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</si>
  <si>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</si>
  <si>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</si>
  <si>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</si>
  <si>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</si>
  <si>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</si>
  <si>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</si>
  <si>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</si>
  <si>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</si>
  <si>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</si>
  <si>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</si>
  <si>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</si>
  <si>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</si>
  <si>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</si>
  <si>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</si>
  <si>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</si>
  <si>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</si>
  <si>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</si>
  <si>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</si>
  <si>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</si>
  <si>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</si>
  <si>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</si>
  <si>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</si>
  <si>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</si>
  <si>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</si>
  <si>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</si>
  <si>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</si>
  <si>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</si>
  <si>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</si>
  <si>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</si>
  <si>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</si>
  <si>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</si>
  <si>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</si>
  <si>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</si>
  <si>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</si>
  <si>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</si>
  <si>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</si>
  <si>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</si>
  <si>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</si>
  <si>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</si>
  <si>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</si>
  <si>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</si>
  <si>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</si>
  <si>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</si>
  <si>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</si>
  <si>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</si>
  <si>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</si>
  <si>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</si>
  <si>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</si>
  <si>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</si>
  <si>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</si>
  <si>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</si>
  <si>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</si>
  <si>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</si>
  <si>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</si>
  <si>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</si>
  <si>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</si>
  <si>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</si>
  <si>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</si>
  <si>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</si>
  <si>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</si>
  <si>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</si>
  <si>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</si>
  <si>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</si>
  <si>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</si>
  <si>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</si>
  <si>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</si>
  <si>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</si>
  <si>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</si>
  <si>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</si>
  <si>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</si>
  <si>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</si>
  <si>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</si>
  <si>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</si>
  <si>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</si>
  <si>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</si>
  <si>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</si>
  <si>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</si>
  <si>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</si>
  <si>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</si>
  <si>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</si>
  <si>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</si>
  <si>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</si>
  <si>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</si>
  <si>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</si>
  <si>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</si>
  <si>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</si>
  <si>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</si>
  <si>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</si>
  <si>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</si>
  <si>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</si>
  <si>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</si>
  <si>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</si>
  <si>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</si>
  <si>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</si>
  <si>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</si>
  <si>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</si>
  <si>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</si>
  <si>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</si>
  <si>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</si>
  <si>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</si>
  <si>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</si>
  <si>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</si>
  <si>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</si>
  <si>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</si>
  <si>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</si>
  <si>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</si>
  <si>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</si>
  <si>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</si>
  <si>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</si>
  <si>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</si>
  <si>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</si>
  <si>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</si>
  <si>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</si>
  <si>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</si>
  <si>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</si>
  <si>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</si>
  <si>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</si>
  <si>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</si>
  <si>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</si>
  <si>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</si>
  <si>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</si>
  <si>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</si>
  <si>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</si>
  <si>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</si>
  <si>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</si>
  <si>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</si>
  <si>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</si>
  <si>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</si>
  <si>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</si>
  <si>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</si>
  <si>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</si>
  <si>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</si>
  <si>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</si>
  <si>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</si>
  <si>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</si>
  <si>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</si>
  <si>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</si>
  <si>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</si>
  <si>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</si>
  <si>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</si>
  <si>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</si>
  <si>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</si>
  <si>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</si>
  <si>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</si>
  <si>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</si>
  <si>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</si>
  <si>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</si>
  <si>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</si>
  <si>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</si>
  <si>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</si>
  <si>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</si>
  <si>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</si>
  <si>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</si>
  <si>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</si>
  <si>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</si>
  <si>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</si>
  <si>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</si>
  <si>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</si>
  <si>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</si>
  <si>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</si>
  <si>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</si>
  <si>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</si>
  <si>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</si>
  <si>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</si>
  <si>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</si>
  <si>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</si>
  <si>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</si>
  <si>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</si>
  <si>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</si>
  <si>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</si>
  <si>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</si>
  <si>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</si>
  <si>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</si>
  <si>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</si>
  <si>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</si>
  <si>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</si>
  <si>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</si>
  <si>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</si>
  <si>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</si>
  <si>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</si>
  <si>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</si>
  <si>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</si>
  <si>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</si>
  <si>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</si>
  <si>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</si>
  <si>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</si>
  <si>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</si>
  <si>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</si>
  <si>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</si>
  <si>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</si>
  <si>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</si>
  <si>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</si>
  <si>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</si>
  <si>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</si>
  <si>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</si>
  <si>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</si>
  <si>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</si>
  <si>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</si>
  <si>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</si>
  <si>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</si>
  <si>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</si>
  <si>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</si>
  <si>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</si>
  <si>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</si>
  <si>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</si>
  <si>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</si>
  <si>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</si>
  <si>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</si>
  <si>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</si>
  <si>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</si>
  <si>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</si>
  <si>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</si>
  <si>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</si>
  <si>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</si>
  <si>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</si>
  <si>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</si>
  <si>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</si>
  <si>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</si>
  <si>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</si>
  <si>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</si>
  <si>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</si>
  <si>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</si>
  <si>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</si>
  <si>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</si>
  <si>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</si>
  <si>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</si>
  <si>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</si>
  <si>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</si>
  <si>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</si>
  <si>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</si>
  <si>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</si>
  <si>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</si>
  <si>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</si>
  <si>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</si>
  <si>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</si>
  <si>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</si>
  <si>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</si>
  <si>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</si>
  <si>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</si>
  <si>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</si>
  <si>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</si>
  <si>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</si>
  <si>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</si>
  <si>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</si>
  <si>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</si>
  <si>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</si>
  <si>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</si>
  <si>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</si>
  <si>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</si>
  <si>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</si>
  <si>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</si>
  <si>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</si>
  <si>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</si>
  <si>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</si>
  <si>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</si>
  <si>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</si>
  <si>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</si>
  <si>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</si>
  <si>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</si>
  <si>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</si>
  <si>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</si>
  <si>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</si>
  <si>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</si>
  <si>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</si>
  <si>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</si>
  <si>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</si>
  <si>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</si>
  <si>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</si>
  <si>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</si>
  <si>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</si>
  <si>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</si>
  <si>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</si>
  <si>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</si>
  <si>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</si>
  <si>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</si>
  <si>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</si>
  <si>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</si>
  <si>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</si>
  <si>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</si>
  <si>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</si>
  <si>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</si>
  <si>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</si>
  <si>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</si>
  <si>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</si>
  <si>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</si>
  <si>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</si>
  <si>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</si>
  <si>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</si>
  <si>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</si>
  <si>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</si>
  <si>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</si>
  <si>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</si>
  <si>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</si>
  <si>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</si>
  <si>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</si>
  <si>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</si>
  <si>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</si>
  <si>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</si>
  <si>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</si>
  <si>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</si>
  <si>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</si>
  <si>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</si>
  <si>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</si>
  <si>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</si>
  <si>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</si>
  <si>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</si>
  <si>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</si>
  <si>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</si>
  <si>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</si>
  <si>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</si>
  <si>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</si>
  <si>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</si>
  <si>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</si>
  <si>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</si>
  <si>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</si>
  <si>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</si>
  <si>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</si>
  <si>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</si>
  <si>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</si>
  <si>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</si>
  <si>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</si>
  <si>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</si>
  <si>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</si>
  <si>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</si>
  <si>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</si>
  <si>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</si>
  <si>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</si>
  <si>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</si>
  <si>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</si>
  <si>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</si>
  <si>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</si>
  <si>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</si>
  <si>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</si>
  <si>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</si>
  <si>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</si>
  <si>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</si>
  <si>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</si>
  <si>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</si>
  <si>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</si>
  <si>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</si>
  <si>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</si>
  <si>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</si>
  <si>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</si>
  <si>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</si>
  <si>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</si>
  <si>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</si>
  <si>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</si>
  <si>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</si>
  <si>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</si>
  <si>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</si>
  <si>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</si>
  <si>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</si>
  <si>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</si>
  <si>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</si>
  <si>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</si>
  <si>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</si>
  <si>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</si>
  <si>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</si>
  <si>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</si>
  <si>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</si>
  <si>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</si>
  <si>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</si>
  <si>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</si>
  <si>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</si>
  <si>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</si>
  <si>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</si>
  <si>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</si>
  <si>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</si>
  <si>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</si>
  <si>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</si>
  <si>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</si>
  <si>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</si>
  <si>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</si>
  <si>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</si>
  <si>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</si>
  <si>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</si>
  <si>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</si>
  <si>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</si>
  <si>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</si>
  <si>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</si>
  <si>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</si>
  <si>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</si>
  <si>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</si>
  <si>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</si>
  <si>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</si>
  <si>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</si>
  <si>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</si>
  <si>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</si>
  <si>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</si>
  <si>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</si>
  <si>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</si>
  <si>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</si>
  <si>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</si>
  <si>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</si>
  <si>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</si>
  <si>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</si>
  <si>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</si>
  <si>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</si>
  <si>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</si>
  <si>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</si>
  <si>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</si>
  <si>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</si>
  <si>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</si>
  <si>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</si>
  <si>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</si>
  <si>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</si>
  <si>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</si>
  <si>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</si>
  <si>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</si>
  <si>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</si>
  <si>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</si>
  <si>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</si>
  <si>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</si>
  <si>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</si>
  <si>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</si>
  <si>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</si>
  <si>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</si>
  <si>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</si>
  <si>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</si>
  <si>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</si>
  <si>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</si>
  <si>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</si>
  <si>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</si>
  <si>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</si>
  <si>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</si>
  <si>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</si>
  <si>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</si>
  <si>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</si>
  <si>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</si>
  <si>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</si>
  <si>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</si>
  <si>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</si>
  <si>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</si>
  <si>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</si>
  <si>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</si>
  <si>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</si>
  <si>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</si>
  <si>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</si>
  <si>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</si>
  <si>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</si>
  <si>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</si>
  <si>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</si>
  <si>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</si>
  <si>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</si>
  <si>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</si>
  <si>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</si>
  <si>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</si>
  <si>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</si>
  <si>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</si>
  <si>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</si>
  <si>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</si>
  <si>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</si>
  <si>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</si>
  <si>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</si>
  <si>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</si>
  <si>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</si>
  <si>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</si>
  <si>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</si>
  <si>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</si>
  <si>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</si>
  <si>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</si>
  <si>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</si>
  <si>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</si>
  <si>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</si>
  <si>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</si>
  <si>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</si>
  <si>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</si>
  <si>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</si>
  <si>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</si>
  <si>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</si>
  <si>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</si>
  <si>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</si>
  <si>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</si>
  <si>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</si>
  <si>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</si>
  <si>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</si>
  <si>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</si>
  <si>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</si>
  <si>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</si>
  <si>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</si>
  <si>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</si>
  <si>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</si>
  <si>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</si>
  <si>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</si>
  <si>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</si>
  <si>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</si>
  <si>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</si>
  <si>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</si>
  <si>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</si>
  <si>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</si>
  <si>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</si>
  <si>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</si>
  <si>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</si>
  <si>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</si>
  <si>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</si>
  <si>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</si>
  <si>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</si>
  <si>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</si>
  <si>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</si>
  <si>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</si>
  <si>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</si>
  <si>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</si>
  <si>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</si>
  <si>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</si>
  <si>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</si>
  <si>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</si>
  <si>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</si>
  <si>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</si>
  <si>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</si>
  <si>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</si>
  <si>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</si>
  <si>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</si>
  <si>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</si>
  <si>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</si>
  <si>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</si>
  <si>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</si>
  <si>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</si>
  <si>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</si>
  <si>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</si>
  <si>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</si>
  <si>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</si>
  <si>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</si>
  <si>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</si>
  <si>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</si>
  <si>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</si>
  <si>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</si>
  <si>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</si>
  <si>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</si>
  <si>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</si>
  <si>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</si>
  <si>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</si>
  <si>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</si>
  <si>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</si>
  <si>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</si>
  <si>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</si>
  <si>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</si>
  <si>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</si>
  <si>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</si>
  <si>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</si>
  <si>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</si>
  <si>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</si>
  <si>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</si>
  <si>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</si>
  <si>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</si>
  <si>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</si>
  <si>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</si>
  <si>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</si>
  <si>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</si>
  <si>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</si>
  <si>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</si>
  <si>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</si>
  <si>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</si>
  <si>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</si>
  <si>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</si>
  <si>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</si>
  <si>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</si>
  <si>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</si>
  <si>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</si>
  <si>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</si>
  <si>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</si>
  <si>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</si>
  <si>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</si>
  <si>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</si>
  <si>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</si>
  <si>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</si>
  <si>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</si>
  <si>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</si>
  <si>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</si>
  <si>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</si>
  <si>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</si>
  <si>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</si>
  <si>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</si>
  <si>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</si>
  <si>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</si>
  <si>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</si>
  <si>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</si>
  <si>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</si>
  <si>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</si>
  <si>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</si>
  <si>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</si>
  <si>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</si>
  <si>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</si>
  <si>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</si>
  <si>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</si>
  <si>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</si>
  <si>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</si>
  <si>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</si>
  <si>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</si>
  <si>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</si>
  <si>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</si>
  <si>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</si>
  <si>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</si>
  <si>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</si>
  <si>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</si>
  <si>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</si>
  <si>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</si>
  <si>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</si>
  <si>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</si>
  <si>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</si>
  <si>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</si>
  <si>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</si>
  <si>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</si>
  <si>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</si>
  <si>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</si>
  <si>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</si>
  <si>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</si>
  <si>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</si>
  <si>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</si>
  <si>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</si>
  <si>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</si>
  <si>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</si>
  <si>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</si>
  <si>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</si>
  <si>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</si>
  <si>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</si>
  <si>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</si>
  <si>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</si>
  <si>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</si>
  <si>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</si>
  <si>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</si>
  <si>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</si>
  <si>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</si>
  <si>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</si>
  <si>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</si>
  <si>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</si>
  <si>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</si>
  <si>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</si>
  <si>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</si>
  <si>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</si>
  <si>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</si>
  <si>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</si>
  <si>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</si>
  <si>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</si>
  <si>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</si>
  <si>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</si>
  <si>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</si>
  <si>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</si>
  <si>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</si>
  <si>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</si>
  <si>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</si>
  <si>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</si>
  <si>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</si>
  <si>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</si>
  <si>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</si>
  <si>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</si>
  <si>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</si>
  <si>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</si>
  <si>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</si>
  <si>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</si>
  <si>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</si>
  <si>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</si>
  <si>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</si>
  <si>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</si>
  <si>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</si>
  <si>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</si>
  <si>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</si>
  <si>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</si>
  <si>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</si>
  <si>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</si>
  <si>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</si>
  <si>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</si>
  <si>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</si>
  <si>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</si>
  <si>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</si>
  <si>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</si>
  <si>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</si>
  <si>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</si>
  <si>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</si>
  <si>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</si>
  <si>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</si>
  <si>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</si>
  <si>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</si>
  <si>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</si>
  <si>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</si>
  <si>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</si>
  <si>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</si>
  <si>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</si>
  <si>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</si>
  <si>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</si>
  <si>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</si>
  <si>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</si>
  <si>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</si>
  <si>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</si>
  <si>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</si>
  <si>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</si>
  <si>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</si>
  <si>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</si>
  <si>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</si>
  <si>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</si>
  <si>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</si>
  <si>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</si>
  <si>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</si>
  <si>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</si>
  <si>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</si>
  <si>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</si>
  <si>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</si>
  <si>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</si>
  <si>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</si>
  <si>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</si>
  <si>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</si>
  <si>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</si>
  <si>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</si>
  <si>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</si>
  <si>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</si>
  <si>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</si>
  <si>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</si>
  <si>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</si>
  <si>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</si>
  <si>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</si>
  <si>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</si>
  <si>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</si>
  <si>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</si>
  <si>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</si>
  <si>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</si>
  <si>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</si>
  <si>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</si>
  <si>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</si>
  <si>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</si>
  <si>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</si>
  <si>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</si>
  <si>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</si>
  <si>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</si>
  <si>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</si>
  <si>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</si>
  <si>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</si>
  <si>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</si>
  <si>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</si>
  <si>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</si>
  <si>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</si>
  <si>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</si>
  <si>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</si>
  <si>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</si>
  <si>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</si>
  <si>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</si>
  <si>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</si>
  <si>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</si>
  <si>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</si>
  <si>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</si>
  <si>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</si>
  <si>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</si>
  <si>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</si>
  <si>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</si>
  <si>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</si>
  <si>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</si>
  <si>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</si>
  <si>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</si>
  <si>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</si>
  <si>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</si>
  <si>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</si>
  <si>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</si>
  <si>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</si>
  <si>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</si>
  <si>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</si>
  <si>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</si>
  <si>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</si>
  <si>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</si>
  <si>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</si>
  <si>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</si>
  <si>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</si>
  <si>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</si>
  <si>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</si>
  <si>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</si>
  <si>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</si>
  <si>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</si>
  <si>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</si>
  <si>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</si>
  <si>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</si>
  <si>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</si>
  <si>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</si>
  <si>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</si>
  <si>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</si>
  <si>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</si>
  <si>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</si>
  <si>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</si>
  <si>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</si>
  <si>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</si>
  <si>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</si>
  <si>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</si>
  <si>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</si>
  <si>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</si>
  <si>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</si>
  <si>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</si>
  <si>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</si>
  <si>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</si>
  <si>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</si>
  <si>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</si>
  <si>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</si>
  <si>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</si>
  <si>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</si>
  <si>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</si>
  <si>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</si>
  <si>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</si>
  <si>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</si>
  <si>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</si>
  <si>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</si>
  <si>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</si>
  <si>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</si>
  <si>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</si>
  <si>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</si>
  <si>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</si>
  <si>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</si>
  <si>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</si>
  <si>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</si>
  <si>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</si>
  <si>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</si>
  <si>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</si>
  <si>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</si>
  <si>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</si>
  <si>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</si>
  <si>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</si>
  <si>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</si>
  <si>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</si>
  <si>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</si>
  <si>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</si>
  <si>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</si>
  <si>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</si>
  <si>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</si>
  <si>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</si>
  <si>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</si>
  <si>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</si>
  <si>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</si>
  <si>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</si>
  <si>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</si>
  <si>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</si>
  <si>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</si>
  <si>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</si>
  <si>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</si>
  <si>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</si>
  <si>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</si>
  <si>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</si>
  <si>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</si>
  <si>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</si>
  <si>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</si>
  <si>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</si>
  <si>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</si>
  <si>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</si>
  <si>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</si>
  <si>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</si>
  <si>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</si>
  <si>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</si>
  <si>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</si>
  <si>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</si>
  <si>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</si>
  <si>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</si>
  <si>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</si>
  <si>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</si>
  <si>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</si>
  <si>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</si>
  <si>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</si>
  <si>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</si>
  <si>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</si>
  <si>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</si>
  <si>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</si>
  <si>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</si>
  <si>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</si>
  <si>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</si>
  <si>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</si>
  <si>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</si>
  <si>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</si>
  <si>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</si>
  <si>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</si>
  <si>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</si>
  <si>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</si>
  <si>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</si>
  <si>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</si>
  <si>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</si>
  <si>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</si>
  <si>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</si>
  <si>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</si>
  <si>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</si>
  <si>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</si>
  <si>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</si>
  <si>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</si>
  <si>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</si>
  <si>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</si>
  <si>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</si>
  <si>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</si>
  <si>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</si>
  <si>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</si>
  <si>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</si>
  <si>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</si>
  <si>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</si>
  <si>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</si>
  <si>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</si>
  <si>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</si>
  <si>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</si>
  <si>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</si>
  <si>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</si>
  <si>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</si>
  <si>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</si>
  <si>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</si>
  <si>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</si>
  <si>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</si>
  <si>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</si>
  <si>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</si>
  <si>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</si>
  <si>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</si>
  <si>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</si>
  <si>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</si>
  <si>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</si>
  <si>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</si>
  <si>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</si>
  <si>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</si>
  <si>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</si>
  <si>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</si>
  <si>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</si>
  <si>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</si>
  <si>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</si>
  <si>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</si>
  <si>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</si>
  <si>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</si>
  <si>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</si>
  <si>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</si>
  <si>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</si>
  <si>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</si>
  <si>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</si>
  <si>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</si>
  <si>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</si>
  <si>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</si>
  <si>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</si>
  <si>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</si>
  <si>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</si>
  <si>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</si>
  <si>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</si>
  <si>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</si>
  <si>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</si>
  <si>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</si>
  <si>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</si>
  <si>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</si>
  <si>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</si>
  <si>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</si>
  <si>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</si>
  <si>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</si>
  <si>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</si>
  <si>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</si>
  <si>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</si>
  <si>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</si>
  <si>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</si>
  <si>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</si>
  <si>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</si>
  <si>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</si>
  <si>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</si>
  <si>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</si>
  <si>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</si>
  <si>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</si>
  <si>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</si>
  <si>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</si>
  <si>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</si>
  <si>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</si>
  <si>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</si>
  <si>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</si>
  <si>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</si>
  <si>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</si>
  <si>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</si>
  <si>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</si>
  <si>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</si>
  <si>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</si>
  <si>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</si>
  <si>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</si>
  <si>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</si>
  <si>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</si>
  <si>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</si>
  <si>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</si>
  <si>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</si>
  <si>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</si>
  <si>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</si>
  <si>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</si>
  <si>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</si>
  <si>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</si>
  <si>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</si>
  <si>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</si>
  <si>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</si>
  <si>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</si>
  <si>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</si>
  <si>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</si>
  <si>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</si>
  <si>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</si>
  <si>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</si>
  <si>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</si>
  <si>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</si>
  <si>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</si>
  <si>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</si>
  <si>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</si>
  <si>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</si>
  <si>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</si>
  <si>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</si>
  <si>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</si>
  <si>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</si>
  <si>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</si>
  <si>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</si>
  <si>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</si>
  <si>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</si>
  <si>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</si>
  <si>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</si>
  <si>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</si>
  <si>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</si>
  <si>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</si>
  <si>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</si>
  <si>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</si>
  <si>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</si>
  <si>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</si>
  <si>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</si>
  <si>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</si>
  <si>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</si>
  <si>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</si>
  <si>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</si>
  <si>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</si>
  <si>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</si>
  <si>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</si>
  <si>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</si>
  <si>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</si>
  <si>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</si>
  <si>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</si>
  <si>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</si>
  <si>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</si>
  <si>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</si>
  <si>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</si>
  <si>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</si>
  <si>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</si>
  <si>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</si>
  <si>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</si>
  <si>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</si>
  <si>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</si>
  <si>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</si>
  <si>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</si>
  <si>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</si>
  <si>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</si>
  <si>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</si>
  <si>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</si>
  <si>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</si>
  <si>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</si>
  <si>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</si>
  <si>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</si>
  <si>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</si>
  <si>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</si>
  <si>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</si>
  <si>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</si>
  <si>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</si>
  <si>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</si>
  <si>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</si>
  <si>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</si>
  <si>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</si>
  <si>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</si>
  <si>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</si>
  <si>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</si>
  <si>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</si>
  <si>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</si>
  <si>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</si>
  <si>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</si>
  <si>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</si>
  <si>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</si>
  <si>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</si>
  <si>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</si>
  <si>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</si>
  <si>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</si>
  <si>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</si>
  <si>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</si>
  <si>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</si>
  <si>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</si>
  <si>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</si>
  <si>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</si>
  <si>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</si>
  <si>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</si>
  <si>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</si>
  <si>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</si>
  <si>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</si>
  <si>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</si>
  <si>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</si>
  <si>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</si>
  <si>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</si>
  <si>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</si>
  <si>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</si>
  <si>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</si>
  <si>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</si>
  <si>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</si>
  <si>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</si>
  <si>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</si>
  <si>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</si>
  <si>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</si>
  <si>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</si>
  <si>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</si>
  <si>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</si>
  <si>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</si>
  <si>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</si>
  <si>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</si>
  <si>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</si>
  <si>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</si>
  <si>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</si>
  <si>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</si>
  <si>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</si>
  <si>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</si>
  <si>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</si>
  <si>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</si>
  <si>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</si>
  <si>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</si>
  <si>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</si>
  <si>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</si>
  <si>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</si>
  <si>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</si>
  <si>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</si>
  <si>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</si>
  <si>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</si>
  <si>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</si>
  <si>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</si>
  <si>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</si>
  <si>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</si>
  <si>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</si>
  <si>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</si>
  <si>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</si>
  <si>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</si>
  <si>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</si>
  <si>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</si>
  <si>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</si>
  <si>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</si>
  <si>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</si>
  <si>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</si>
  <si>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</si>
  <si>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</si>
  <si>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</si>
  <si>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</si>
  <si>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</si>
  <si>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</si>
  <si>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</si>
  <si>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</si>
  <si>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</si>
  <si>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</si>
  <si>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</si>
  <si>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</si>
  <si>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</si>
  <si>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</si>
  <si>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</si>
  <si>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住宅</t>
  </si>
  <si>
    <t>城镇住宅用地</t>
  </si>
  <si>
    <t>地上</t>
  </si>
  <si>
    <t>普通住宅</t>
  </si>
  <si>
    <t>是</t>
  </si>
  <si>
    <t>住宅</t>
    <phoneticPr fontId="7" type="noConversion"/>
  </si>
  <si>
    <t>成新度</t>
  </si>
  <si>
    <t>利息：取LPR加浮动点数</t>
  </si>
  <si>
    <t>收益法 (元)</t>
  </si>
  <si>
    <t>押一</t>
  </si>
  <si>
    <t>钢混</t>
  </si>
  <si>
    <t>非生产用房</t>
  </si>
  <si>
    <t>自定义容积率</t>
  </si>
  <si>
    <t>与级别开发程度一致</t>
  </si>
  <si>
    <t>有</t>
  </si>
  <si>
    <t>无</t>
  </si>
  <si>
    <t>1000米以外</t>
  </si>
  <si>
    <t>一般</t>
  </si>
  <si>
    <t>较好</t>
  </si>
  <si>
    <t>好</t>
  </si>
  <si>
    <t>未包含在土地购买价格中</t>
  </si>
  <si>
    <t>已包含在土地取得成本中</t>
  </si>
  <si>
    <t>地下</t>
  </si>
  <si>
    <t>车库</t>
    <phoneticPr fontId="7" type="noConversion"/>
  </si>
  <si>
    <t>单套模式</t>
  </si>
  <si>
    <t>售价</t>
  </si>
  <si>
    <t>面积</t>
    <phoneticPr fontId="134" type="noConversion"/>
  </si>
  <si>
    <t>2023-7-21</t>
    <phoneticPr fontId="134" type="noConversion"/>
  </si>
  <si>
    <t>2023-6-30</t>
    <phoneticPr fontId="134" type="noConversion"/>
  </si>
  <si>
    <t>成本法 (元) -车库</t>
  </si>
  <si>
    <t>成本法 (元) -车库</t>
    <phoneticPr fontId="16" type="noConversion"/>
  </si>
  <si>
    <t>比较法-车位</t>
  </si>
  <si>
    <t>2023-6-19</t>
    <phoneticPr fontId="134" type="noConversion"/>
  </si>
  <si>
    <t>1层</t>
    <phoneticPr fontId="134" type="noConversion"/>
  </si>
  <si>
    <t>2层</t>
    <phoneticPr fontId="134" type="noConversion"/>
  </si>
  <si>
    <t>住宅</t>
    <phoneticPr fontId="134" type="noConversion"/>
  </si>
  <si>
    <t>车库</t>
    <phoneticPr fontId="134" type="noConversion"/>
  </si>
  <si>
    <t>面积</t>
    <phoneticPr fontId="134" type="noConversion"/>
  </si>
  <si>
    <t>总价</t>
    <phoneticPr fontId="134" type="noConversion"/>
  </si>
  <si>
    <t>单价</t>
    <phoneticPr fontId="134" type="noConversion"/>
  </si>
  <si>
    <t>成本法 (元)</t>
  </si>
  <si>
    <t xml:space="preserve"> --</t>
  </si>
  <si>
    <t xml:space="preserve"> 上海昂内有限公司  </t>
  </si>
  <si>
    <t>2003-12-10</t>
  </si>
  <si>
    <t xml:space="preserve"> 住宅可兼容底商  </t>
  </si>
  <si>
    <t xml:space="preserve"> 已成交  </t>
  </si>
  <si>
    <t>综合用地(含住宅)</t>
  </si>
  <si>
    <t xml:space="preserve"> 石景山区  </t>
  </si>
  <si>
    <t>京土整储挂(石)[2003]026号</t>
  </si>
  <si>
    <t>石景山区古城</t>
  </si>
  <si>
    <t xml:space="preserve"> 北京三威房地产开发有限公司  </t>
  </si>
  <si>
    <t>2003-12-19</t>
  </si>
  <si>
    <t xml:space="preserve"> 住宅  </t>
  </si>
  <si>
    <t>住宅用地</t>
  </si>
  <si>
    <t xml:space="preserve"> 门头沟区  </t>
  </si>
  <si>
    <t>门土储挂字[2003]001号</t>
  </si>
  <si>
    <t>门头沟区城子大街132号</t>
  </si>
  <si>
    <t xml:space="preserve"> 北京灵山房地产开发有限公司  </t>
  </si>
  <si>
    <t>2004-07-07</t>
  </si>
  <si>
    <t>门土储挂字[2004]003号</t>
  </si>
  <si>
    <t>门土储挂字[2004]003号地块</t>
  </si>
  <si>
    <t xml:space="preserve"> 北京实兴腾飞置业发展公司  </t>
  </si>
  <si>
    <t xml:space="preserve"> --  </t>
  </si>
  <si>
    <t>2006-04-20</t>
  </si>
  <si>
    <t xml:space="preserve"> 住宅、商业  </t>
  </si>
  <si>
    <t>京土整储招(石)[2006]013号</t>
  </si>
  <si>
    <t>石景山区金鼎商贸区用地</t>
  </si>
  <si>
    <t xml:space="preserve"> 北京龙泰华房地产开发有限责任公司  </t>
  </si>
  <si>
    <t>2007-05-10</t>
  </si>
  <si>
    <t xml:space="preserve"> 居住  </t>
  </si>
  <si>
    <t>京土整储挂(门)[2007]017号</t>
  </si>
  <si>
    <t>门头沟新城城子地区21-217地块</t>
  </si>
  <si>
    <t xml:space="preserve"> 北京首钢房地产开发有限公司  </t>
  </si>
  <si>
    <t>2007-05-18</t>
  </si>
  <si>
    <t xml:space="preserve"> 居住(含基础教育)、公共设施、绿地  </t>
  </si>
  <si>
    <t>京土整储招(石)[2007]014号</t>
  </si>
  <si>
    <t>石景山区金顶街三区住宅及配套项目用地</t>
  </si>
  <si>
    <t xml:space="preserve"> 北京金第房地产开发有限责任公司、北京成业行房地产开发有限公司联合  </t>
  </si>
  <si>
    <t>2007-05-29</t>
  </si>
  <si>
    <t xml:space="preserve"> 居住用地  </t>
  </si>
  <si>
    <t>京土整储招(石)[2007]021号</t>
  </si>
  <si>
    <t>石景山区鲁谷G804居住用地</t>
  </si>
  <si>
    <t xml:space="preserve"> 华润置地(武汉)发展有限公司  </t>
  </si>
  <si>
    <t>2007-12-17</t>
  </si>
  <si>
    <t>京土整储挂(门)[2007]063号</t>
  </si>
  <si>
    <t>门头沟新城冯村地区(一期)居住项目用地</t>
  </si>
  <si>
    <t xml:space="preserve"> 远洋地产有限公司  </t>
  </si>
  <si>
    <t>2008-01-17</t>
  </si>
  <si>
    <t xml:space="preserve"> 居住、商业  </t>
  </si>
  <si>
    <t>京土整储招(石)[2007]089号</t>
  </si>
  <si>
    <t>石景山区石槽住宅、商业及配套用地</t>
  </si>
  <si>
    <t xml:space="preserve"> 金融街控股股份有限公司与北京石开房地产开发有限公司投标联合体  </t>
  </si>
  <si>
    <t>2008-10-14</t>
  </si>
  <si>
    <t xml:space="preserve"> 居住、商业金融  </t>
  </si>
  <si>
    <t xml:space="preserve"> ≤2.55  </t>
  </si>
  <si>
    <t>京土整储招(石)[2008]027号</t>
  </si>
  <si>
    <t>石景山区衙门口居住、公建用地</t>
  </si>
  <si>
    <t xml:space="preserve"> 北京金隅嘉业房地产开发有限公司  </t>
  </si>
  <si>
    <t>2009-03-06</t>
  </si>
  <si>
    <t xml:space="preserve"> 住宅及居住公共服务设施  </t>
  </si>
  <si>
    <t>京土整储招(石)[2009]005号</t>
  </si>
  <si>
    <t>石景山区金顶街居住项目</t>
  </si>
  <si>
    <t xml:space="preserve"> 京汉置业集团股份有限公司  </t>
  </si>
  <si>
    <t>2009-05-12</t>
  </si>
  <si>
    <t>京土整储挂(石) [2009]017号</t>
  </si>
  <si>
    <t>石景山区衙门口东路北侧居住及配套项目用地</t>
  </si>
  <si>
    <t>2009-07-06</t>
  </si>
  <si>
    <t>京土整储挂(石)[2009]063号</t>
  </si>
  <si>
    <t>石景山区石槽居住项目用地</t>
  </si>
  <si>
    <t xml:space="preserve"> 北京天台山房地产开发有限公司  </t>
  </si>
  <si>
    <t>2009-12-30</t>
  </si>
  <si>
    <t xml:space="preserve"> 居住及配套  </t>
  </si>
  <si>
    <t>京土整储挂(门)[2009]129号</t>
  </si>
  <si>
    <t>门头沟区龙泉镇城子地区</t>
  </si>
  <si>
    <t xml:space="preserve"> 北京住总正华开发建设集团有限公司、北京正华永兴房地产开发有限公司联合体  </t>
  </si>
  <si>
    <t>2010-08-19</t>
  </si>
  <si>
    <t xml:space="preserve"> R2二类居住  </t>
  </si>
  <si>
    <t>京土整储招(石)[2010]078号</t>
  </si>
  <si>
    <t>北京市石景山区五里坨住宅项目(原西山木材厂)用地(配建廉租房)</t>
  </si>
  <si>
    <t xml:space="preserve"> 北京住总房地产开发有限责任公司、北京骏洋房地产开发有限公司联合体  </t>
  </si>
  <si>
    <t>2011-06-09</t>
  </si>
  <si>
    <t xml:space="preserve"> F1住宅混合公建用地、R2二类居住用地  </t>
  </si>
  <si>
    <t>京土整储招(门)[2011]042号</t>
  </si>
  <si>
    <t>门头沟区永定镇居住项目国有建设用地</t>
  </si>
  <si>
    <t xml:space="preserve"> 中铁房地产集团北京顺捷金海置业有限公司  </t>
  </si>
  <si>
    <t>2011-09-21</t>
  </si>
  <si>
    <t xml:space="preserve"> F1住宅混合公建、R2二类居住  </t>
  </si>
  <si>
    <t>京土整储挂(门)[2011]088号</t>
  </si>
  <si>
    <t>门头沟永定镇居住及F1住宅混合公建项目</t>
  </si>
  <si>
    <t xml:space="preserve"> 北京昊泰房地产开发有限公司  </t>
  </si>
  <si>
    <t>2011-12-29</t>
  </si>
  <si>
    <t xml:space="preserve"> R2二类居住用地、R53托幼用地  </t>
  </si>
  <si>
    <t>京土整储挂(门)[2011]152号</t>
  </si>
  <si>
    <t>北京市门头沟区黑山地区居住、托幼项目(配建"公共租赁住房")</t>
  </si>
  <si>
    <t xml:space="preserve"> 北京鹏辉房地产开发有限公司  </t>
  </si>
  <si>
    <t>2012-06-18</t>
  </si>
  <si>
    <t xml:space="preserve"> F1住宅混合公建用地  </t>
  </si>
  <si>
    <t>京土整储挂(门)[2012]015号</t>
  </si>
  <si>
    <t>北京市门头沟区龙泉镇F1住宅混合公建用地项目</t>
  </si>
  <si>
    <t xml:space="preserve"> 北京住总正华开发建设集团有限公司、北京正华天宝投资管理有限公司联合体  </t>
  </si>
  <si>
    <t>2012-11-01</t>
  </si>
  <si>
    <t xml:space="preserve"> R2二类居住用地、S3社会停车场库用地、C5医疗卫生用地、R53托幼用地  </t>
  </si>
  <si>
    <t>京土整储挂(门)[2012]062号</t>
  </si>
  <si>
    <t>门头沟区永定镇(MC20-034—MC20-036、MC020-041地块)限价商品住房项目</t>
  </si>
  <si>
    <t xml:space="preserve"> 中海地产集团有限公司  </t>
  </si>
  <si>
    <t>2013-01-10</t>
  </si>
  <si>
    <t xml:space="preserve"> R2二类居住用地、C2商业金融用地  </t>
  </si>
  <si>
    <t>京土整储招(石)[2012]078号</t>
  </si>
  <si>
    <t>石景山区老古城综合改造项目D、JB地块二类居住及商业金融项目(配建公共租赁住房)</t>
  </si>
  <si>
    <t xml:space="preserve"> 中国水电建设集团房地产有限公司、金地(集团)股份有限公司联合体  </t>
  </si>
  <si>
    <t>2013-02-04</t>
  </si>
  <si>
    <t xml:space="preserve"> R2二类居住用地、C2商业金融、R53托幼用地、S3社会停车场库用地  </t>
  </si>
  <si>
    <t>京土整储招(门)[2013]005号</t>
  </si>
  <si>
    <t>门头沟区门头沟新城MC10-033、MC10-035-1、MC10-035-2、MC10-036、MC10-055、MC10-056地块二类居住、商业金融、托幼及社会停车场库用地</t>
  </si>
  <si>
    <t>2013-02-07</t>
  </si>
  <si>
    <t xml:space="preserve"> R2二类居住用地、F1住宅混合公建用地、R53托幼用地  </t>
  </si>
  <si>
    <t>京土整储招(门)[2013]006号</t>
  </si>
  <si>
    <t>门头沟区门头沟新城MC10-037、MC10-038、MC10-040、MC10-041、MC10-060、MC10-065地块二类居住、住宅混合公建及托幼用地(配建“公共租赁住房”)</t>
  </si>
  <si>
    <t xml:space="preserve"> 北京建工地产有限责任公司  </t>
  </si>
  <si>
    <t>2013-07-15</t>
  </si>
  <si>
    <t xml:space="preserve"> 五里坨地块为R2二类居住用地、R53托幼用地,京西(东区)地块为C2商业金融用地  </t>
  </si>
  <si>
    <t xml:space="preserve"> 五里坨地块容积率为2.41,京西(东区)地块容积率为4.5  </t>
  </si>
  <si>
    <t>京土整储招(石)[2013]054号</t>
  </si>
  <si>
    <t>石景山区五里坨建设组团02号地B地块保障性住房用地、京西商务中心(东区)商业金融用地</t>
  </si>
  <si>
    <t xml:space="preserve"> 金融街控股股份有限公司、北京实兴腾飞置业发展公司联合体  </t>
  </si>
  <si>
    <t xml:space="preserve"> 南宫地块为R2二类居住用地,京西(西区)地块为C2商业金融用地  </t>
  </si>
  <si>
    <t xml:space="preserve"> 南宫地块容积率为2.02,京西(西区)地块容积率为4.5  </t>
  </si>
  <si>
    <t>京土整储招(石)[2013]055号</t>
  </si>
  <si>
    <t>石景山区五里坨南宫住宅小区(A、B地块)保障性住房用地、京西商务中心(西区)商业金融用地</t>
  </si>
  <si>
    <t xml:space="preserve"> 北京市华远置业有限公司、北京金秋莱太房地产开发有限公司联合体  </t>
  </si>
  <si>
    <t>2013-11-21</t>
  </si>
  <si>
    <t xml:space="preserve"> F1住宅混合公建、C2商业金融用地  </t>
  </si>
  <si>
    <t>京土整储招(门)[2013]118号</t>
  </si>
  <si>
    <t>门头沟区门头沟新城MC08-014/015地块住宅混合公建、商业金融用地(配建“经济适用住房”、“自住型商品住房”)</t>
  </si>
  <si>
    <t xml:space="preserve"> 北京住总房地产开发有限责任公司、北京融创恒基地产有限公司、北京骏洋房地产开发有限公司联合体  </t>
  </si>
  <si>
    <t>2013-12-19</t>
  </si>
  <si>
    <t xml:space="preserve"> F1住宅混合公建、C2商业金融、R53托幼、C5医疗卫生  </t>
  </si>
  <si>
    <t>京土整储招(门)[2013]128号</t>
  </si>
  <si>
    <t>门头沟区门头沟新城MC16-073等地块住宅混合公建、商业金融、托幼及医疗卫生用地(配建“限价商品住房”)</t>
  </si>
  <si>
    <t xml:space="preserve"> 中铁置业集团北京有限公司、中国中铁航空港建设集团有限公司、中铁物资有限责任公司、中铁四局集团有限公司联合体  </t>
  </si>
  <si>
    <t>2014-04-18</t>
  </si>
  <si>
    <t>京土整储挂(门)[2014]028号</t>
  </si>
  <si>
    <t>门头沟区永定镇MC00-0020-0031、0049地块F1住宅混合公建用地(配建经济适用房)(门头沟东辛秤C地块东区)</t>
  </si>
  <si>
    <t xml:space="preserve"> 中国水电建设集团房地产有限公司、宁波益方投资合伙企业(有限合伙)联合体  </t>
  </si>
  <si>
    <t xml:space="preserve"> R2二类居住用地、S3社会停车场库用地、R53托幼用地  </t>
  </si>
  <si>
    <t>京土整储挂(门)[2014]027号</t>
  </si>
  <si>
    <t>门头沟区永定镇MC00-0020-0030、0032、0042、0043、0048地块R2二类居住用地、S3社会停车场库用地及R53托幼用地(门头沟东辛秤C地块西区)</t>
  </si>
  <si>
    <t xml:space="preserve"> 京汉置业集团股份有限公司、东方邦信置业有限公司联合体  </t>
  </si>
  <si>
    <t>2014-07-17</t>
  </si>
  <si>
    <t>京土整储挂(石)[2014]037号</t>
  </si>
  <si>
    <t>石景山区八角第二水泥管厂1612-034、1612-042地块二类居住、托幼用地(配建"限价商品住房")</t>
  </si>
  <si>
    <t xml:space="preserve"> 北京德俊置业有限公司、北京奥宸置业有限公司联合体  </t>
  </si>
  <si>
    <t>2014-09-28</t>
  </si>
  <si>
    <t>京土整储挂(石)[2014]061号</t>
  </si>
  <si>
    <t>石景山区刘娘府1604-659等地块(刘娘府综合改造项目A1地块一期)二类居住及商业金融用地</t>
  </si>
  <si>
    <t xml:space="preserve"> 北京城建兴云房地产有限公司  </t>
  </si>
  <si>
    <t>2014-10-17</t>
  </si>
  <si>
    <t xml:space="preserve"> R2二类居住用地、S4社会停车场库用地、A33基础教育用地  </t>
  </si>
  <si>
    <t>京土整储挂(门)[2014]067号</t>
  </si>
  <si>
    <t>门头沟区永定镇MC00-0015-0059等地块R2二类居住用地、S4社会停车场库用地、A33基础教育用地(配建公共租赁住房)(原门头沟冯村、何各庄地区土地一级开发项目A地块部分地块北区)</t>
  </si>
  <si>
    <t xml:space="preserve"> 北京保利兴房地产开发有限公司、北京首都开发股份有限公司联合体  </t>
  </si>
  <si>
    <t xml:space="preserve"> R2二类居住用地、F2公建混合居住用地、A33基础教育用地  </t>
  </si>
  <si>
    <t>京土整储挂(门)[2014]066号</t>
  </si>
  <si>
    <t>门头沟区永定镇MC00-0015-0068等地块R2二类居住用地、F2公建混合居住用地、A33基础教育用地(原门头沟冯村、何各庄地区土地一级开发项目A地块部分地块南区)</t>
  </si>
  <si>
    <t xml:space="preserve"> 北京京投置地房地产有限公司、北京市基础设施投资有限公司联合体  </t>
  </si>
  <si>
    <t>2014-10-21</t>
  </si>
  <si>
    <t xml:space="preserve"> R2二类居住用地、F1住宅混合公建用地、C2商业金融用地、C3文化娱乐用地、C1行政办公用地、C4体育用地、R52小学用地、R53托幼用地、U1供应设施用地  </t>
  </si>
  <si>
    <t>京土整储挂(门)[2014]068号</t>
  </si>
  <si>
    <t>门头沟区潭柘寺MC01-0003-0067等地块R2二类居住用地、F1住宅混合公建用地等用途用地(配建经济适用住房)(原门头沟区潭柘寺镇中心区C地块项目)</t>
  </si>
  <si>
    <t xml:space="preserve"> 北京中海金石房地产开发有限公司  </t>
  </si>
  <si>
    <t>2014-11-02</t>
  </si>
  <si>
    <t xml:space="preserve"> R2二类居住用地、B4综合性商业金融服务业用地、A33基础教育用地  </t>
  </si>
  <si>
    <t>京土整储挂(石)[2014]073号</t>
  </si>
  <si>
    <t>石景山区老古城综合改造项目C等地块二类居住、综合性商业金融服务业及基础教育用地</t>
  </si>
  <si>
    <t xml:space="preserve"> 北京金地创世咨询有限公司、中国电建地产集团有限公司联合体  </t>
  </si>
  <si>
    <t>2015-09-29</t>
  </si>
  <si>
    <t xml:space="preserve"> R2二类居住用地、A33基础教育用地  </t>
  </si>
  <si>
    <t>京土整储挂(门)[2015]033号</t>
  </si>
  <si>
    <t>门头沟区永定镇MC00-0017-6021、6022地块(门头沟S1线区域组团03地块北部一期用地)</t>
  </si>
  <si>
    <t xml:space="preserve"> 北京万科企业有限公司  </t>
  </si>
  <si>
    <t>2015-11-18</t>
  </si>
  <si>
    <t xml:space="preserve"> B4综合性商业金融服务业用地、F1住宅混合公建用地  </t>
  </si>
  <si>
    <t>京土整储挂(门)[2015]055号</t>
  </si>
  <si>
    <t>门头沟区永定镇MC00-0020-0009、0012地块</t>
  </si>
  <si>
    <t xml:space="preserve"> 杭州致全投资有限公司、中交地产有限公司、深圳市平嘉投资管理有限公司联合体  </t>
  </si>
  <si>
    <t xml:space="preserve"> R2二类居住用地  </t>
  </si>
  <si>
    <t>京土整储挂(门)[2015]056号</t>
  </si>
  <si>
    <t>门头沟区永定镇MC00-0017-6018、6020地块</t>
  </si>
  <si>
    <t>2015-12-30</t>
  </si>
  <si>
    <t xml:space="preserve"> R2二类居住用地、混合住宅用地、其他类多功能用地  </t>
  </si>
  <si>
    <t xml:space="preserve"> ≤3.38  </t>
  </si>
  <si>
    <t>京土棚改招(石)[2015]001号</t>
  </si>
  <si>
    <t>石景山区北辛安棚户区改造A区项目前期工作及拟改造土地使用权</t>
  </si>
  <si>
    <t xml:space="preserve"> 北京泰达和信投资管理有限公司  </t>
  </si>
  <si>
    <t>2016-02-26</t>
  </si>
  <si>
    <t xml:space="preserve"> B1商业用地、F1住宅混合公建用地、A33基础教育用地  </t>
  </si>
  <si>
    <t>京土整储挂(门)[2016]004号</t>
  </si>
  <si>
    <t>门头沟区龙泉镇MC00-0003-0026等地块B1商业用地、F1住宅混合公建用地及A33基础教育用地(原门头沟区城子大街国有资源整合改造升级地块)</t>
  </si>
  <si>
    <t xml:space="preserve"> 北京京投置地房地产有限公司、北京首都开发股份有限公司、保利(北京)房地产开发有限公司、北京龙湖天行置业有限公司、北京德俊置业有限公司  </t>
  </si>
  <si>
    <t>2017-01-19</t>
  </si>
  <si>
    <t xml:space="preserve"> S4社会停车场用地、B4综合性商业金融服务业用地、R2二类居住用地、B1商业用地、F1住宅混合公建用地  </t>
  </si>
  <si>
    <t>京土整储挂(门)[2016]033号</t>
  </si>
  <si>
    <t>门头沟区潭柘寺镇MC01-0003-6009、6008、0057、0086、0120、6016、6015地块</t>
  </si>
  <si>
    <t xml:space="preserve"> 中铁二十二局集团房地产开发有限公司、北京实兴腾飞置业发展公司联合体  </t>
  </si>
  <si>
    <t>2017-04-24</t>
  </si>
  <si>
    <t>京土整储挂(石)[2017]021号</t>
  </si>
  <si>
    <t>石景山区玉泉西一路x-18160地块</t>
  </si>
  <si>
    <t xml:space="preserve"> 中铁房地产集团北方有限公司  </t>
  </si>
  <si>
    <t>2017-04-25</t>
  </si>
  <si>
    <t xml:space="preserve"> R2二类居住用地A33基础教育用地S4社会停车场用地  </t>
  </si>
  <si>
    <t xml:space="preserve"> 居住2.5,教育0.7  </t>
  </si>
  <si>
    <t>京土整储挂(门)[2017]025号</t>
  </si>
  <si>
    <t>门头沟区永定镇MC00-0015-0043地块</t>
  </si>
  <si>
    <t xml:space="preserve"> 北京建工地产有限责任公司、北京天恒正同资产管理有限公司联合体  </t>
  </si>
  <si>
    <t>2017-09-13</t>
  </si>
  <si>
    <t>京土整储挂(石)[2017]063号</t>
  </si>
  <si>
    <t>北京市石景山区东下庄1605-630地块R2二类居住用地</t>
  </si>
  <si>
    <t xml:space="preserve"> 杭州胜拓投资有限公司  </t>
  </si>
  <si>
    <t>2017-11-07</t>
  </si>
  <si>
    <t xml:space="preserve"> R2二类居住用地、F1住宅混合公建用地、F3其他类多功能用地、A334基础教育用地、B4综合性商业金融服务业用地  </t>
  </si>
  <si>
    <t>京土整储挂(石)[2017]082号</t>
  </si>
  <si>
    <t>北京市石景山区五里坨建设组团一(1601-029)等地块R2二类居住用地、F1住宅混合公建用地、F3其他类多功能用地、B4综合性商业金融服务业用地、A334基础教育用地</t>
  </si>
  <si>
    <t xml:space="preserve"> 北京万湖企业管理有限公司、北京盛新置业有限公司、廊坊市卓越锦华房地产开发有限公司联合体  </t>
  </si>
  <si>
    <t>2017-11-14</t>
  </si>
  <si>
    <t xml:space="preserve"> F3其他类多功能用地、R2二类居住用地、A334基础教育用地  </t>
  </si>
  <si>
    <t>京土整储挂(石)[2017]083号</t>
  </si>
  <si>
    <t>北京市石景山区五里坨建设组团二1601-053地块等F3其他类多功能用地、R2二类居住用地、A334基础教育用地</t>
  </si>
  <si>
    <t xml:space="preserve"> 隆泰实业(北京)有限公司、中国电建地产集团有限公司联合体  </t>
  </si>
  <si>
    <t>2018-02-02</t>
  </si>
  <si>
    <t xml:space="preserve"> B1商业用地、F3其他类多功能用地、R2二类居住用地、A334基础教育用地  </t>
  </si>
  <si>
    <t>京土整储挂(门)[2017]117号</t>
  </si>
  <si>
    <t>北京市门头沟区永定镇岢罗坨、秋坡、石佛村MC00-0500-0004、0007、0011、0008、0012、0014、MC00-0600-0004、0006、0008、0009、0031地块</t>
  </si>
  <si>
    <t xml:space="preserve"> 中国电建地产集团有限公司、山西建设投资集团有限公司、北京金地驰创投资咨询有限公司、隆泰实业(北京)有限公司联合体  </t>
  </si>
  <si>
    <t>京土整储挂(门)[2017]116号</t>
  </si>
  <si>
    <t>北京市门头沟区永定镇岢罗坨、秋坡、石佛村MC00-0500-0009、0010、0013地块R2二类居住用地</t>
  </si>
  <si>
    <t xml:space="preserve"> 中铁置业集团北京有限公司  </t>
  </si>
  <si>
    <t>2018-02-06</t>
  </si>
  <si>
    <t>京土整储挂(门)[2017]119号</t>
  </si>
  <si>
    <t>北京市门头沟区永定镇曹各庄桥户营村MC00-0016-063地块F1住宅混合公建用地、MC00-0016-064地块</t>
  </si>
  <si>
    <t xml:space="preserve"> 中海地产集团有限公司、北京首钢房地产开发有限公司联合体  </t>
  </si>
  <si>
    <t>2018-10-31</t>
  </si>
  <si>
    <t>京土整储挂(石)[2018]025号</t>
  </si>
  <si>
    <t>北京市石景山区古城南街东侧1612-806、813、819、820等地块R2二类居住用地</t>
  </si>
  <si>
    <t>2019-01-24</t>
  </si>
  <si>
    <t>京土整储招(石)[2018]056号</t>
  </si>
  <si>
    <t>北京市石景山区阜石路1603-616地块R2二类居住用地</t>
  </si>
  <si>
    <t xml:space="preserve"> 首金盛创(天津)置业发展有限公司、北京新城万隆房地产开发有限公司联合体  </t>
  </si>
  <si>
    <t>2019-01-31</t>
  </si>
  <si>
    <t>京土整储挂(石)[2018]061号</t>
  </si>
  <si>
    <t>北京市石景山区西黄村1606-641地块R2二类居住用地、1606-642地块A33基础教育用地</t>
  </si>
  <si>
    <t xml:space="preserve"> 北京骏乐企业管理咨询有限公司  </t>
  </si>
  <si>
    <t>2019-02-01</t>
  </si>
  <si>
    <t xml:space="preserve"> R2二类居住用地、T6区域综合交通枢纽用地、S4社会停车场用地  </t>
  </si>
  <si>
    <t xml:space="preserve"> r2=2.8,t6=3.5  </t>
  </si>
  <si>
    <t>京土整储挂(门)[2018]065号</t>
  </si>
  <si>
    <t>北京市门头沟区永定镇曹各庄桥户营村MC00-0016-061地块R2二类居住用地、MC16-041地块T6区域综合交通枢纽用地、MC16-048地块S4社会停车场用地</t>
  </si>
  <si>
    <t xml:space="preserve"> 北京凯竣商务服务有限公司  </t>
  </si>
  <si>
    <t>2019-04-04</t>
  </si>
  <si>
    <t xml:space="preserve"> A334基础教育用地、F1住宅混合公建用地、F2公建混合住宅用地  </t>
  </si>
  <si>
    <t xml:space="preserve"> a334=0.8,f1、f2=2.5  </t>
  </si>
  <si>
    <t>京土整储挂(门)[2019]004号</t>
  </si>
  <si>
    <t>北京市门头沟区永定镇MC00-0016-0055、0056、0066地块A334基础教育用地、F1住宅混合公建用地、F2公建混合住宅用地</t>
  </si>
  <si>
    <t xml:space="preserve"> 北京润置商业运营管理有限公司、北京海赋丰业房地产开发有限公司、上海兴泷置业有限公司联合体  </t>
  </si>
  <si>
    <t>2019-06-27</t>
  </si>
  <si>
    <t xml:space="preserve"> b4≤5,a33≤0.8,r2≤2.8  </t>
  </si>
  <si>
    <t>京土整储挂(石)[2019]012号</t>
  </si>
  <si>
    <t>北京市石景山区古城南街东侧1612-761、764等地块R2二类居住用地、1612-768地块B4综合性商业金融服务业用地、1612-760地块A33基础教育用地</t>
  </si>
  <si>
    <t xml:space="preserve"> 中海企业发展集团有限公司、北京首钢房地产开发有限公司联合体  </t>
  </si>
  <si>
    <t>2019-11-20</t>
  </si>
  <si>
    <t xml:space="preserve"> R2二类居住用地、F3其他类多功能用地、A33基础教育用地  </t>
  </si>
  <si>
    <t xml:space="preserve"> 805、812、822≤2.2.5,823≤2.8,811≤0.8  </t>
  </si>
  <si>
    <t>京土整储挂(石)[2019]033号</t>
  </si>
  <si>
    <t>北京市石景山区古城南街东侧(首钢园区东南区)1612-805、812、823、822、811等地块R2二类居住用地、F3其他类多功能用地、A33基础教育用地</t>
  </si>
  <si>
    <t xml:space="preserve"> 厦门建益融房地产有限公司  </t>
  </si>
  <si>
    <t>2020-01-03</t>
  </si>
  <si>
    <t xml:space="preserve"> ≤2.8  </t>
  </si>
  <si>
    <t>京土整储挂(石)[2019]042号</t>
  </si>
  <si>
    <t>北京市石景山区古城南街东侧(首钢园区东南区)1612-757地块R2二类居住用地</t>
  </si>
  <si>
    <t xml:space="preserve"> 深圳市海嘉投资有限公司  </t>
  </si>
  <si>
    <t>京土整储挂(石)[2019]043号</t>
  </si>
  <si>
    <t>北京市石景山区古城南街东侧(首钢园区东南区)1612-759地块R2二类居住用地</t>
  </si>
  <si>
    <t xml:space="preserve"> 首金睿志(天津)置业发展有限公司  </t>
  </si>
  <si>
    <t>2020-02-11</t>
  </si>
  <si>
    <t xml:space="preserve"> F2公建混合住宅用地  </t>
  </si>
  <si>
    <t xml:space="preserve"> ≤3.07  </t>
  </si>
  <si>
    <t>京土整储挂(石)[2019]050号</t>
  </si>
  <si>
    <t>北京市石景山区西黄村1606-646地块F2公建混合住宅用地</t>
  </si>
  <si>
    <t xml:space="preserve"> 中建方程投资发展集团有限公司、中建信和地产有限公司联合体  </t>
  </si>
  <si>
    <t>2020-06-10</t>
  </si>
  <si>
    <t xml:space="preserve"> 6057地块≤1.5,0097地块≤1.4  </t>
  </si>
  <si>
    <t>京土整储挂(门)[2020]022号</t>
  </si>
  <si>
    <t>北京市门头沟区永定镇南区MC00-0015-6057、MC00-0015-0090等地块R2二类居住用地</t>
  </si>
  <si>
    <t xml:space="preserve"> 北京鼎泰佳业房地产开发有限公司  </t>
  </si>
  <si>
    <t>2020-07-14</t>
  </si>
  <si>
    <t xml:space="preserve"> ≤2.0  </t>
  </si>
  <si>
    <t>京土整储挂(门)[2020]024号</t>
  </si>
  <si>
    <t>北京市门头沟区新城04街区MC00-0004-6022地块R2二类居住用地</t>
  </si>
  <si>
    <t xml:space="preserve"> 京能置业股份有限公司  </t>
  </si>
  <si>
    <t>2020-07-24</t>
  </si>
  <si>
    <t xml:space="preserve"> R2二类居住用地、S4社会停车场用地、A33基础教育用地  </t>
  </si>
  <si>
    <t xml:space="preserve"> r2≤1.4,a33≤0.8  </t>
  </si>
  <si>
    <t>京土整储招(门)[2020]030号</t>
  </si>
  <si>
    <t>北京市门头沟区龙泉镇门头沟新城05街区MC00-0005-6002、6003、6010、6011、6007、6008、6012地块R2二类居住用地、S4社会停车场用地、A33基础教育用地</t>
  </si>
  <si>
    <t xml:space="preserve"> 北京鑫安兴业房地产开发有限公司  </t>
  </si>
  <si>
    <t>2020-09-02</t>
  </si>
  <si>
    <t xml:space="preserve"> 二类居住用地、其他类多功能用地  </t>
  </si>
  <si>
    <t xml:space="preserve"> r2≤2.8,多功能≤4.9,幼托≤0.8  </t>
  </si>
  <si>
    <t>京土整储挂(石)[2020]035号</t>
  </si>
  <si>
    <t>北京市石景山区北辛安棚户区改造B区土地开发项目1608-658地块其他类多功能用地、1608-673-B地块二类居住用地、1608-676地块托幼用地</t>
  </si>
  <si>
    <t xml:space="preserve"> 北京远景中安置业有限公司  </t>
  </si>
  <si>
    <t>2020-12-30</t>
  </si>
  <si>
    <t xml:space="preserve"> 二类居住用地、综合性商业金融服务业用地、基础教育用地  </t>
  </si>
  <si>
    <t xml:space="preserve"> ≤1.54  </t>
  </si>
  <si>
    <t>京土整储挂(石)[2020]050号</t>
  </si>
  <si>
    <t>北京市石景山区刘娘府综合改造A2地块土地一级开发项目1604-663、1604-667地块二类居住用地、1604-676、1604-678地块综合性商业金融服务业用地、1604-666地块基础教育用地</t>
  </si>
  <si>
    <t>2021-01-14</t>
  </si>
  <si>
    <t xml:space="preserve"> 二类居住用地  </t>
  </si>
  <si>
    <t>京土整储挂(石)[2020]044号</t>
  </si>
  <si>
    <t>北京市石景山区北辛安棚户区改造B区土地开发项目1608-673-A地块二类居住用地</t>
  </si>
  <si>
    <t xml:space="preserve"> 北京西斯马管理咨询有限公司、北京石泰鸿业置业有限公司  </t>
  </si>
  <si>
    <t>2021-05-08</t>
  </si>
  <si>
    <t xml:space="preserve"> 二类居住用地、基础教育用地  </t>
  </si>
  <si>
    <t xml:space="preserve"> ≤2.7  </t>
  </si>
  <si>
    <t>京土整储挂(石)[2021]016号</t>
  </si>
  <si>
    <t>北京市石景山区衙门口棚户区改造土地开发项目1615-708地块二类居住用地、1612-734地块基础教育用地</t>
  </si>
  <si>
    <t xml:space="preserve"> 北京雅盛房地产开发有限公司  </t>
  </si>
  <si>
    <t xml:space="preserve"> R2二类居住用地、S4社会停车场用地  </t>
  </si>
  <si>
    <t xml:space="preserve"> ≤1.1  </t>
  </si>
  <si>
    <t>京土整储挂(门)[2021]025号</t>
  </si>
  <si>
    <t>北京市门头沟区永定镇冯村、何各庄MC00-0013-0077、MC00-0013-0081、MC00-0013-0087等地块R2二类居住用地、S4社会停车场用地</t>
  </si>
  <si>
    <t xml:space="preserve"> 中海企业发展集团有限公司  </t>
  </si>
  <si>
    <t>2021-10-12</t>
  </si>
  <si>
    <t>京土整储挂(石)[2021]051号</t>
  </si>
  <si>
    <t>北京市石景山区首钢园区东南区土地一级开发项目1612-829地块F1住宅混合公建用地(配建“保障性租赁住房”)</t>
  </si>
  <si>
    <t xml:space="preserve"> 北京龙湖中佰置业有限公司、北京北辰实业股份有限公司  </t>
  </si>
  <si>
    <t>2021-10-13</t>
  </si>
  <si>
    <t xml:space="preserve"> R2二类居住用地、F3其他类多功能用地  </t>
  </si>
  <si>
    <t xml:space="preserve"> 居住2.7、其他2.0  </t>
  </si>
  <si>
    <t>京土整储挂(门)[2021]070号</t>
  </si>
  <si>
    <t>北京市门头沟区永定镇MC00-0605-0004地块R2二类居住用地、MC00-0605-0008地块F3其他类多功能用地(配建“保障性租赁住房”)</t>
  </si>
  <si>
    <t xml:space="preserve"> 北京方兴亦城置业有限公司  </t>
  </si>
  <si>
    <t>2021-12-24</t>
  </si>
  <si>
    <t>京土整储挂(门)[2021]085号</t>
  </si>
  <si>
    <t>北京市门头沟区永定镇MC00-0605-0001,0003等地块R2二类居住用地(配建“保障性租赁住房”)</t>
  </si>
  <si>
    <t xml:space="preserve"> 北京金地兴业房地产有限公司  </t>
  </si>
  <si>
    <t>京土整储挂(门)[2021]086号</t>
  </si>
  <si>
    <t>北京市门头沟区永定镇MC00-0605-0002,0005等地块R2二类居住用地(配建“保障性租赁住房”)</t>
  </si>
  <si>
    <t xml:space="preserve"> 长春创诚房地产开发有限公司  </t>
  </si>
  <si>
    <t>2022-02-16</t>
  </si>
  <si>
    <t xml:space="preserve"> R2二类居住用地、B4综合性商业金融服务业用地、A334基础教育用地  </t>
  </si>
  <si>
    <t xml:space="preserve"> 1604-654-1地块容积率1.3,1604-654-2地块容积率1.1,1604-696地块容积率2.6,1604-728-1地块容积率0.9  </t>
  </si>
  <si>
    <t>京土储挂(石)[2022]007号</t>
  </si>
  <si>
    <t>北京市石景山区刘娘府综合改造土地一级开发项目1604-654-1、654-2、696、728-1地块R2二类居住用地、B4综合性商业金融服务业用地、A334基础教育用地</t>
  </si>
  <si>
    <t xml:space="preserve"> 华润置地开发(北京)有限公司  </t>
  </si>
  <si>
    <t>京土储挂(石)[2022]005号</t>
  </si>
  <si>
    <t>北京市石景山区首钢园区东南区土地一级开发项目1612-824地块R2二类居住用地</t>
  </si>
  <si>
    <t xml:space="preserve"> 北京安泰兴业置业有限公司、北京石泰集团有限公司  </t>
  </si>
  <si>
    <t>2022-05-31</t>
  </si>
  <si>
    <t xml:space="preserve"> ≤2.5  </t>
  </si>
  <si>
    <t>京土储挂(石)[2022]031号</t>
  </si>
  <si>
    <t>北京市石景山区衙门口棚户区改造土地开发项目1616-670地块F1住宅混合公建用地</t>
  </si>
  <si>
    <t xml:space="preserve"> 重庆中交丽景置业有限公司  </t>
  </si>
  <si>
    <t>2022-09-22</t>
  </si>
  <si>
    <t>京土储挂(石)[2022]051号</t>
  </si>
  <si>
    <t>北京市石景山区五里坨土地一级开发项目1602-648、1602-650地块R2二类居住用地、F3其他类多功能用地</t>
  </si>
  <si>
    <t xml:space="preserve"> 中建方程投资发展集团有限公司、中建信和地产有限公司  </t>
  </si>
  <si>
    <t>2022-11-28</t>
  </si>
  <si>
    <t>京土储挂(门)〔2022〕068号</t>
  </si>
  <si>
    <t>北京市门头沟区永定镇南区棚户区改造和环境整治项目MC00-0015-6050地块R2二类居住用地</t>
  </si>
  <si>
    <t xml:space="preserve"> 北京中海地产有限公司  </t>
  </si>
  <si>
    <t>京土储挂(石)〔2022〕067号</t>
  </si>
  <si>
    <t>北京市石景山区老古城综合改造土地一级开发项目1608-626地块R2二类居住用地</t>
  </si>
  <si>
    <t xml:space="preserve"> 青岛康景实业有限公司  </t>
  </si>
  <si>
    <t>2023-02-07</t>
  </si>
  <si>
    <t xml:space="preserve"> R2 二类居住用地、A334 托幼用地  </t>
  </si>
  <si>
    <t xml:space="preserve"> r2:2.96,a33:0.8  </t>
  </si>
  <si>
    <t>京土储挂(石)[2022]074号</t>
  </si>
  <si>
    <t>北京市石景山区苹果园交通枢纽商务区土地一级开发项目1604-631-2、1604-634地块R2二类居住用地、A334托幼用地</t>
  </si>
  <si>
    <t>2023-06-01</t>
  </si>
  <si>
    <t xml:space="preserve"> F1 住宅混合公建用 地  </t>
  </si>
  <si>
    <t>京土储挂(石)[2023]012号</t>
  </si>
  <si>
    <t>北京市石景山区衙门口棚户区改造土地开发项目1615-713地块F1住宅混合公建用地</t>
  </si>
  <si>
    <t xml:space="preserve"> 保利(北京)房地产开发有限公司  </t>
  </si>
  <si>
    <t>2023-06-16</t>
  </si>
  <si>
    <t xml:space="preserve"> R2二类居住用地、F3其他类多功能用地、A334基础教育用地  </t>
  </si>
  <si>
    <t>京土储挂(石)[2023]018号</t>
  </si>
  <si>
    <t>北京市石景山区广宁村棚户区改造项目SS00-1603-2015、2019、2027、2009地块R2二类居住用地、F3其他类多功能用地、A334基础教育用地</t>
  </si>
  <si>
    <t xml:space="preserve"> 北京首怡科新置业有限公司  </t>
  </si>
  <si>
    <t>2023-09-26</t>
  </si>
  <si>
    <t xml:space="preserve"> R2 二类居住用地、F3其他类多功能用地  </t>
  </si>
  <si>
    <t>京土储挂(石)[2023]044号</t>
  </si>
  <si>
    <t>北京市石景山区1609 街区新首钢国际人才社区核心区1609-014、018、019、032 地块R2二类居住用地、F3 其他类多功能用地</t>
  </si>
  <si>
    <t>保证金(万元)</t>
  </si>
  <si>
    <t>受让单位</t>
  </si>
  <si>
    <t>溢价率(%)</t>
  </si>
  <si>
    <t>成交楼面价(元/㎡)</t>
  </si>
  <si>
    <t>成交价(万元)</t>
  </si>
  <si>
    <t>成交日期</t>
  </si>
  <si>
    <t>起始价(万元)</t>
  </si>
  <si>
    <t>截止日期</t>
  </si>
  <si>
    <t>建设用地面积(㎡)</t>
  </si>
  <si>
    <t>规划建筑面积(㎡)</t>
  </si>
  <si>
    <t>详细规划</t>
  </si>
  <si>
    <t>容积率</t>
  </si>
  <si>
    <t>成交状态</t>
  </si>
  <si>
    <t>用地性质</t>
  </si>
  <si>
    <t>区县</t>
  </si>
  <si>
    <t>地块编号</t>
  </si>
  <si>
    <t>地块名称</t>
  </si>
  <si>
    <t>土地</t>
    <phoneticPr fontId="134" type="noConversion"/>
  </si>
  <si>
    <t>70</t>
    <phoneticPr fontId="30" type="noConversion"/>
  </si>
  <si>
    <t>住宅</t>
    <phoneticPr fontId="30" type="noConversion"/>
  </si>
  <si>
    <t>限竞房</t>
  </si>
  <si>
    <t>限竞房</t>
    <phoneticPr fontId="30" type="noConversion"/>
  </si>
  <si>
    <t>利息</t>
    <phoneticPr fontId="134" type="noConversion"/>
  </si>
  <si>
    <t>比较法-住宅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</si>
</sst>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2"/>
      <color rgb="FFFF0000"/>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181" fontId="47" fillId="12" borderId="0" xfId="17" applyNumberFormat="1" applyFont="1" applyFill="1" applyAlignment="1" applyProtection="1">
      <alignment vertical="center"/>
      <protection locked="0"/>
    </xf>
    <xf numFmtId="49" fontId="95" fillId="0" borderId="0" xfId="0" applyNumberFormat="1" applyFont="1">
      <alignment vertical="center"/>
    </xf>
    <xf numFmtId="0" fontId="95" fillId="0" borderId="0" xfId="0" applyFont="1">
      <alignment vertical="center"/>
    </xf>
    <xf numFmtId="14" fontId="0" fillId="0" borderId="0" xfId="0" applyNumberFormat="1">
      <alignment vertical="center"/>
    </xf>
    <xf numFmtId="0" fontId="95" fillId="0" borderId="0" xfId="0" applyFont="1" applyAlignment="1">
      <alignment horizontal="center" vertical="center"/>
    </xf>
    <xf numFmtId="0" fontId="0" fillId="0" borderId="0" xfId="0" applyAlignment="1">
      <alignment horizontal="center" vertical="center"/>
    </xf>
    <xf numFmtId="0" fontId="269" fillId="0" borderId="0" xfId="19"/>
    <xf numFmtId="0" fontId="248" fillId="0" borderId="0" xfId="19" applyFont="1"/>
    <xf numFmtId="0" fontId="94" fillId="0" borderId="9" xfId="0" applyNumberFormat="1" applyFont="1" applyFill="1" applyBorder="1" applyAlignment="1" applyProtection="1">
      <alignment horizontal="center" vertical="center" wrapText="1"/>
      <protection locked="0"/>
    </xf>
    <xf numFmtId="0" fontId="269" fillId="0" borderId="0" xfId="19" applyFill="1"/>
    <xf numFmtId="0" fontId="248" fillId="0" borderId="0" xfId="19" applyFont="1" applyFill="1"/>
    <xf numFmtId="0" fontId="248" fillId="5" borderId="0" xfId="19" applyFont="1" applyFill="1"/>
    <xf numFmtId="14" fontId="54" fillId="3" borderId="0" xfId="0" applyNumberFormat="1" applyFont="1" applyFill="1" applyAlignment="1" applyProtection="1">
      <alignment vertical="center"/>
      <protection locked="0"/>
    </xf>
    <xf numFmtId="14" fontId="54" fillId="0" borderId="0" xfId="0" applyNumberFormat="1" applyFont="1" applyFill="1" applyAlignment="1" applyProtection="1">
      <alignment vertical="center"/>
      <protection locked="0"/>
    </xf>
    <xf numFmtId="0" fontId="80" fillId="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4" fillId="3"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269" fillId="0" borderId="0" xfId="19"/>
    <xf numFmtId="14" fontId="269" fillId="0" borderId="0" xfId="19" applyNumberFormat="1"/>
    <xf numFmtId="0" fontId="270" fillId="0" borderId="0" xfId="19" applyFont="1"/>
    <xf numFmtId="14" fontId="248" fillId="0" borderId="0" xfId="19" applyNumberFormat="1" applyFont="1"/>
    <xf numFmtId="0" fontId="270" fillId="0" borderId="0" xfId="19" applyFont="1" applyFill="1"/>
    <xf numFmtId="14" fontId="248" fillId="0" borderId="0" xfId="19" applyNumberFormat="1" applyFont="1" applyFill="1"/>
    <xf numFmtId="0" fontId="269" fillId="0" borderId="0" xfId="19" applyFill="1"/>
    <xf numFmtId="14" fontId="269" fillId="0" borderId="0" xfId="19" applyNumberFormat="1" applyFill="1"/>
    <xf numFmtId="0" fontId="248" fillId="5" borderId="0" xfId="19" applyFont="1" applyFill="1"/>
    <xf numFmtId="14" fontId="248" fillId="5" borderId="0" xfId="19" applyNumberFormat="1" applyFont="1" applyFill="1"/>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xr:uid="{00000000-0005-0000-0000-000001000000}"/>
    <cellStyle name="常规" xfId="0" builtinId="0"/>
    <cellStyle name="常规 10" xfId="19" xr:uid="{F85978BB-11C2-4FFF-90D2-D2B47C65D174}"/>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2.png"/><Relationship Id="rId4" Type="http://schemas.openxmlformats.org/officeDocument/2006/relationships/image" Target="../media/image7.png"/><Relationship Id="rId9"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47625</xdr:colOff>
      <xdr:row>40</xdr:row>
      <xdr:rowOff>0</xdr:rowOff>
    </xdr:from>
    <xdr:ext cx="7200000" cy="3923809"/>
    <xdr:pic>
      <xdr:nvPicPr>
        <xdr:cNvPr id="2" name="图片 1">
          <a:extLst>
            <a:ext uri="{FF2B5EF4-FFF2-40B4-BE49-F238E27FC236}">
              <a16:creationId xmlns:a16="http://schemas.microsoft.com/office/drawing/2014/main" id="{B92880D4-A4D2-4CB1-9B78-4EA8E6C23A02}"/>
            </a:ext>
          </a:extLst>
        </xdr:cNvPr>
        <xdr:cNvPicPr>
          <a:picLocks noChangeAspect="1"/>
        </xdr:cNvPicPr>
      </xdr:nvPicPr>
      <xdr:blipFill>
        <a:blip xmlns:r="http://schemas.openxmlformats.org/officeDocument/2006/relationships" r:embed="rId1"/>
        <a:stretch>
          <a:fillRect/>
        </a:stretch>
      </xdr:blipFill>
      <xdr:spPr>
        <a:xfrm>
          <a:off x="47625" y="7239000"/>
          <a:ext cx="7200000" cy="392380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247105</xdr:colOff>
      <xdr:row>19</xdr:row>
      <xdr:rowOff>161498</xdr:rowOff>
    </xdr:to>
    <xdr:pic>
      <xdr:nvPicPr>
        <xdr:cNvPr id="2" name="图片 1">
          <a:extLst>
            <a:ext uri="{FF2B5EF4-FFF2-40B4-BE49-F238E27FC236}">
              <a16:creationId xmlns:a16="http://schemas.microsoft.com/office/drawing/2014/main" id="{48CF8BBB-D239-4E5D-93AB-2AED33C8F668}"/>
            </a:ext>
          </a:extLst>
        </xdr:cNvPr>
        <xdr:cNvPicPr>
          <a:picLocks noChangeAspect="1"/>
        </xdr:cNvPicPr>
      </xdr:nvPicPr>
      <xdr:blipFill>
        <a:blip xmlns:r="http://schemas.openxmlformats.org/officeDocument/2006/relationships" r:embed="rId1"/>
        <a:stretch>
          <a:fillRect/>
        </a:stretch>
      </xdr:blipFill>
      <xdr:spPr>
        <a:xfrm>
          <a:off x="0" y="0"/>
          <a:ext cx="4361905" cy="3419048"/>
        </a:xfrm>
        <a:prstGeom prst="rect">
          <a:avLst/>
        </a:prstGeom>
      </xdr:spPr>
    </xdr:pic>
    <xdr:clientData/>
  </xdr:twoCellAnchor>
  <xdr:twoCellAnchor editAs="oneCell">
    <xdr:from>
      <xdr:col>6</xdr:col>
      <xdr:colOff>619125</xdr:colOff>
      <xdr:row>0</xdr:row>
      <xdr:rowOff>0</xdr:rowOff>
    </xdr:from>
    <xdr:to>
      <xdr:col>14</xdr:col>
      <xdr:colOff>351383</xdr:colOff>
      <xdr:row>17</xdr:row>
      <xdr:rowOff>144975</xdr:rowOff>
    </xdr:to>
    <xdr:pic>
      <xdr:nvPicPr>
        <xdr:cNvPr id="3" name="图片 2">
          <a:extLst>
            <a:ext uri="{FF2B5EF4-FFF2-40B4-BE49-F238E27FC236}">
              <a16:creationId xmlns:a16="http://schemas.microsoft.com/office/drawing/2014/main" id="{6E66C5B6-2F06-4A8A-8690-B7E4242D5EC1}"/>
            </a:ext>
          </a:extLst>
        </xdr:cNvPr>
        <xdr:cNvPicPr>
          <a:picLocks noChangeAspect="1"/>
        </xdr:cNvPicPr>
      </xdr:nvPicPr>
      <xdr:blipFill>
        <a:blip xmlns:r="http://schemas.openxmlformats.org/officeDocument/2006/relationships" r:embed="rId2"/>
        <a:stretch>
          <a:fillRect/>
        </a:stretch>
      </xdr:blipFill>
      <xdr:spPr>
        <a:xfrm>
          <a:off x="4733925" y="0"/>
          <a:ext cx="5218658" cy="3059625"/>
        </a:xfrm>
        <a:prstGeom prst="rect">
          <a:avLst/>
        </a:prstGeom>
      </xdr:spPr>
    </xdr:pic>
    <xdr:clientData/>
  </xdr:twoCellAnchor>
  <xdr:twoCellAnchor editAs="oneCell">
    <xdr:from>
      <xdr:col>21</xdr:col>
      <xdr:colOff>228600</xdr:colOff>
      <xdr:row>0</xdr:row>
      <xdr:rowOff>0</xdr:rowOff>
    </xdr:from>
    <xdr:to>
      <xdr:col>31</xdr:col>
      <xdr:colOff>476250</xdr:colOff>
      <xdr:row>18</xdr:row>
      <xdr:rowOff>95360</xdr:rowOff>
    </xdr:to>
    <xdr:pic>
      <xdr:nvPicPr>
        <xdr:cNvPr id="4" name="图片 3">
          <a:extLst>
            <a:ext uri="{FF2B5EF4-FFF2-40B4-BE49-F238E27FC236}">
              <a16:creationId xmlns:a16="http://schemas.microsoft.com/office/drawing/2014/main" id="{0D7E4638-973D-48C0-9AB0-31BB1BA6CF4F}"/>
            </a:ext>
          </a:extLst>
        </xdr:cNvPr>
        <xdr:cNvPicPr>
          <a:picLocks noChangeAspect="1"/>
        </xdr:cNvPicPr>
      </xdr:nvPicPr>
      <xdr:blipFill>
        <a:blip xmlns:r="http://schemas.openxmlformats.org/officeDocument/2006/relationships" r:embed="rId3"/>
        <a:stretch>
          <a:fillRect/>
        </a:stretch>
      </xdr:blipFill>
      <xdr:spPr>
        <a:xfrm>
          <a:off x="14439900" y="0"/>
          <a:ext cx="7105650" cy="3181460"/>
        </a:xfrm>
        <a:prstGeom prst="rect">
          <a:avLst/>
        </a:prstGeom>
      </xdr:spPr>
    </xdr:pic>
    <xdr:clientData/>
  </xdr:twoCellAnchor>
  <xdr:twoCellAnchor editAs="oneCell">
    <xdr:from>
      <xdr:col>0</xdr:col>
      <xdr:colOff>1</xdr:colOff>
      <xdr:row>16</xdr:row>
      <xdr:rowOff>20546</xdr:rowOff>
    </xdr:from>
    <xdr:to>
      <xdr:col>16</xdr:col>
      <xdr:colOff>666751</xdr:colOff>
      <xdr:row>19</xdr:row>
      <xdr:rowOff>152318</xdr:rowOff>
    </xdr:to>
    <xdr:pic>
      <xdr:nvPicPr>
        <xdr:cNvPr id="5" name="图片 4">
          <a:extLst>
            <a:ext uri="{FF2B5EF4-FFF2-40B4-BE49-F238E27FC236}">
              <a16:creationId xmlns:a16="http://schemas.microsoft.com/office/drawing/2014/main" id="{BB40D31D-09FE-4047-9C9A-9353469F6AE4}"/>
            </a:ext>
          </a:extLst>
        </xdr:cNvPr>
        <xdr:cNvPicPr>
          <a:picLocks noChangeAspect="1"/>
        </xdr:cNvPicPr>
      </xdr:nvPicPr>
      <xdr:blipFill>
        <a:blip xmlns:r="http://schemas.openxmlformats.org/officeDocument/2006/relationships" r:embed="rId4"/>
        <a:stretch>
          <a:fillRect/>
        </a:stretch>
      </xdr:blipFill>
      <xdr:spPr>
        <a:xfrm>
          <a:off x="1" y="2763746"/>
          <a:ext cx="11639550" cy="646122"/>
        </a:xfrm>
        <a:prstGeom prst="rect">
          <a:avLst/>
        </a:prstGeom>
      </xdr:spPr>
    </xdr:pic>
    <xdr:clientData/>
  </xdr:twoCellAnchor>
  <xdr:twoCellAnchor editAs="oneCell">
    <xdr:from>
      <xdr:col>0</xdr:col>
      <xdr:colOff>0</xdr:colOff>
      <xdr:row>19</xdr:row>
      <xdr:rowOff>142875</xdr:rowOff>
    </xdr:from>
    <xdr:to>
      <xdr:col>16</xdr:col>
      <xdr:colOff>617676</xdr:colOff>
      <xdr:row>21</xdr:row>
      <xdr:rowOff>171404</xdr:rowOff>
    </xdr:to>
    <xdr:pic>
      <xdr:nvPicPr>
        <xdr:cNvPr id="6" name="图片 5">
          <a:extLst>
            <a:ext uri="{FF2B5EF4-FFF2-40B4-BE49-F238E27FC236}">
              <a16:creationId xmlns:a16="http://schemas.microsoft.com/office/drawing/2014/main" id="{4D651422-7160-465D-991C-566736C32191}"/>
            </a:ext>
          </a:extLst>
        </xdr:cNvPr>
        <xdr:cNvPicPr>
          <a:picLocks noChangeAspect="1"/>
        </xdr:cNvPicPr>
      </xdr:nvPicPr>
      <xdr:blipFill>
        <a:blip xmlns:r="http://schemas.openxmlformats.org/officeDocument/2006/relationships" r:embed="rId5"/>
        <a:stretch>
          <a:fillRect/>
        </a:stretch>
      </xdr:blipFill>
      <xdr:spPr>
        <a:xfrm>
          <a:off x="0" y="3400425"/>
          <a:ext cx="11590476" cy="371429"/>
        </a:xfrm>
        <a:prstGeom prst="rect">
          <a:avLst/>
        </a:prstGeom>
      </xdr:spPr>
    </xdr:pic>
    <xdr:clientData/>
  </xdr:twoCellAnchor>
  <xdr:twoCellAnchor editAs="oneCell">
    <xdr:from>
      <xdr:col>0</xdr:col>
      <xdr:colOff>0</xdr:colOff>
      <xdr:row>42</xdr:row>
      <xdr:rowOff>142875</xdr:rowOff>
    </xdr:from>
    <xdr:to>
      <xdr:col>15</xdr:col>
      <xdr:colOff>190500</xdr:colOff>
      <xdr:row>50</xdr:row>
      <xdr:rowOff>153486</xdr:rowOff>
    </xdr:to>
    <xdr:pic>
      <xdr:nvPicPr>
        <xdr:cNvPr id="8" name="图片 7">
          <a:extLst>
            <a:ext uri="{FF2B5EF4-FFF2-40B4-BE49-F238E27FC236}">
              <a16:creationId xmlns:a16="http://schemas.microsoft.com/office/drawing/2014/main" id="{92F7DBE9-3160-4465-B118-80152C851FCE}"/>
            </a:ext>
          </a:extLst>
        </xdr:cNvPr>
        <xdr:cNvPicPr>
          <a:picLocks noChangeAspect="1"/>
        </xdr:cNvPicPr>
      </xdr:nvPicPr>
      <xdr:blipFill>
        <a:blip xmlns:r="http://schemas.openxmlformats.org/officeDocument/2006/relationships" r:embed="rId6"/>
        <a:stretch>
          <a:fillRect/>
        </a:stretch>
      </xdr:blipFill>
      <xdr:spPr>
        <a:xfrm>
          <a:off x="0" y="7343775"/>
          <a:ext cx="10477500" cy="1382211"/>
        </a:xfrm>
        <a:prstGeom prst="rect">
          <a:avLst/>
        </a:prstGeom>
      </xdr:spPr>
    </xdr:pic>
    <xdr:clientData/>
  </xdr:twoCellAnchor>
  <xdr:twoCellAnchor editAs="oneCell">
    <xdr:from>
      <xdr:col>0</xdr:col>
      <xdr:colOff>0</xdr:colOff>
      <xdr:row>50</xdr:row>
      <xdr:rowOff>104775</xdr:rowOff>
    </xdr:from>
    <xdr:to>
      <xdr:col>15</xdr:col>
      <xdr:colOff>138157</xdr:colOff>
      <xdr:row>54</xdr:row>
      <xdr:rowOff>161820</xdr:rowOff>
    </xdr:to>
    <xdr:pic>
      <xdr:nvPicPr>
        <xdr:cNvPr id="9" name="图片 8">
          <a:extLst>
            <a:ext uri="{FF2B5EF4-FFF2-40B4-BE49-F238E27FC236}">
              <a16:creationId xmlns:a16="http://schemas.microsoft.com/office/drawing/2014/main" id="{C8869888-27EC-41A3-AA92-0E4EFD9AEA54}"/>
            </a:ext>
          </a:extLst>
        </xdr:cNvPr>
        <xdr:cNvPicPr>
          <a:picLocks noChangeAspect="1"/>
        </xdr:cNvPicPr>
      </xdr:nvPicPr>
      <xdr:blipFill>
        <a:blip xmlns:r="http://schemas.openxmlformats.org/officeDocument/2006/relationships" r:embed="rId7"/>
        <a:stretch>
          <a:fillRect/>
        </a:stretch>
      </xdr:blipFill>
      <xdr:spPr>
        <a:xfrm>
          <a:off x="0" y="8677275"/>
          <a:ext cx="10425157" cy="742845"/>
        </a:xfrm>
        <a:prstGeom prst="rect">
          <a:avLst/>
        </a:prstGeom>
      </xdr:spPr>
    </xdr:pic>
    <xdr:clientData/>
  </xdr:twoCellAnchor>
  <xdr:twoCellAnchor editAs="oneCell">
    <xdr:from>
      <xdr:col>0</xdr:col>
      <xdr:colOff>0</xdr:colOff>
      <xdr:row>21</xdr:row>
      <xdr:rowOff>145290</xdr:rowOff>
    </xdr:from>
    <xdr:to>
      <xdr:col>16</xdr:col>
      <xdr:colOff>619125</xdr:colOff>
      <xdr:row>36</xdr:row>
      <xdr:rowOff>113979</xdr:rowOff>
    </xdr:to>
    <xdr:pic>
      <xdr:nvPicPr>
        <xdr:cNvPr id="10" name="图片 9">
          <a:extLst>
            <a:ext uri="{FF2B5EF4-FFF2-40B4-BE49-F238E27FC236}">
              <a16:creationId xmlns:a16="http://schemas.microsoft.com/office/drawing/2014/main" id="{40E86F7B-886E-45AE-9FD2-FF727F0DF747}"/>
            </a:ext>
          </a:extLst>
        </xdr:cNvPr>
        <xdr:cNvPicPr>
          <a:picLocks noChangeAspect="1"/>
        </xdr:cNvPicPr>
      </xdr:nvPicPr>
      <xdr:blipFill>
        <a:blip xmlns:r="http://schemas.openxmlformats.org/officeDocument/2006/relationships" r:embed="rId8"/>
        <a:stretch>
          <a:fillRect/>
        </a:stretch>
      </xdr:blipFill>
      <xdr:spPr>
        <a:xfrm>
          <a:off x="0" y="3745740"/>
          <a:ext cx="11591925" cy="2540439"/>
        </a:xfrm>
        <a:prstGeom prst="rect">
          <a:avLst/>
        </a:prstGeom>
      </xdr:spPr>
    </xdr:pic>
    <xdr:clientData/>
  </xdr:twoCellAnchor>
  <xdr:twoCellAnchor editAs="oneCell">
    <xdr:from>
      <xdr:col>0</xdr:col>
      <xdr:colOff>0</xdr:colOff>
      <xdr:row>56</xdr:row>
      <xdr:rowOff>133350</xdr:rowOff>
    </xdr:from>
    <xdr:to>
      <xdr:col>10</xdr:col>
      <xdr:colOff>342000</xdr:colOff>
      <xdr:row>79</xdr:row>
      <xdr:rowOff>113809</xdr:rowOff>
    </xdr:to>
    <xdr:pic>
      <xdr:nvPicPr>
        <xdr:cNvPr id="7" name="图片 6">
          <a:extLst>
            <a:ext uri="{FF2B5EF4-FFF2-40B4-BE49-F238E27FC236}">
              <a16:creationId xmlns:a16="http://schemas.microsoft.com/office/drawing/2014/main" id="{ADDD915C-281F-4102-8252-55EC88945CD6}"/>
            </a:ext>
          </a:extLst>
        </xdr:cNvPr>
        <xdr:cNvPicPr>
          <a:picLocks noChangeAspect="1"/>
        </xdr:cNvPicPr>
      </xdr:nvPicPr>
      <xdr:blipFill>
        <a:blip xmlns:r="http://schemas.openxmlformats.org/officeDocument/2006/relationships" r:embed="rId9"/>
        <a:stretch>
          <a:fillRect/>
        </a:stretch>
      </xdr:blipFill>
      <xdr:spPr>
        <a:xfrm>
          <a:off x="0" y="9734550"/>
          <a:ext cx="7200000" cy="3923809"/>
        </a:xfrm>
        <a:prstGeom prst="rect">
          <a:avLst/>
        </a:prstGeom>
      </xdr:spPr>
    </xdr:pic>
    <xdr:clientData/>
  </xdr:twoCellAnchor>
  <xdr:twoCellAnchor editAs="oneCell">
    <xdr:from>
      <xdr:col>0</xdr:col>
      <xdr:colOff>0</xdr:colOff>
      <xdr:row>37</xdr:row>
      <xdr:rowOff>0</xdr:rowOff>
    </xdr:from>
    <xdr:to>
      <xdr:col>15</xdr:col>
      <xdr:colOff>469777</xdr:colOff>
      <xdr:row>41</xdr:row>
      <xdr:rowOff>161810</xdr:rowOff>
    </xdr:to>
    <xdr:pic>
      <xdr:nvPicPr>
        <xdr:cNvPr id="12" name="图片 11">
          <a:extLst>
            <a:ext uri="{FF2B5EF4-FFF2-40B4-BE49-F238E27FC236}">
              <a16:creationId xmlns:a16="http://schemas.microsoft.com/office/drawing/2014/main" id="{36067D1A-5DA8-4811-BE57-6CEFABB20C05}"/>
            </a:ext>
          </a:extLst>
        </xdr:cNvPr>
        <xdr:cNvPicPr>
          <a:picLocks noChangeAspect="1"/>
        </xdr:cNvPicPr>
      </xdr:nvPicPr>
      <xdr:blipFill>
        <a:blip xmlns:r="http://schemas.openxmlformats.org/officeDocument/2006/relationships" r:embed="rId10"/>
        <a:stretch>
          <a:fillRect/>
        </a:stretch>
      </xdr:blipFill>
      <xdr:spPr>
        <a:xfrm>
          <a:off x="0" y="6343650"/>
          <a:ext cx="10756777" cy="8476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估价对象为房地产，为所有。根据《国有土地使用证》[]，估价对象（分摊）出让国有建设用地使用权面积为0平方米，建筑面积为126.26平方米。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估价对象为房地产,属开发建设的，该项目尚在开发建设中。根据《国有土地使用证》[]，估价对象（分摊）出让国有建设用地使用权面积为0平方米，规划建筑面积为126.26平方米。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2023年8月24日（评估专业人员实地查勘之日）</v>
      </c>
    </row>
    <row r="13" spans="1:2" s="1203" customFormat="1">
      <c r="A13" s="1201" t="s">
        <v>529</v>
      </c>
      <c r="B13" s="1202" t="str">
        <f>'预评函-1'!A18</f>
        <v>本次估价的“房地产价值”是指在正常市场情况下，在价值时点2023年8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126.25999999999999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K29" sqref="K29"/>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3409</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4" t="s">
        <v>385</v>
      </c>
      <c r="C54" s="1551" t="s">
        <v>583</v>
      </c>
    </row>
    <row r="55" spans="1:4">
      <c r="A55" s="3525"/>
      <c r="B55" s="1554" t="s">
        <v>386</v>
      </c>
      <c r="C55" s="1551" t="s">
        <v>584</v>
      </c>
    </row>
    <row r="56" spans="1:4">
      <c r="A56" s="3525"/>
      <c r="B56" s="1554" t="s">
        <v>387</v>
      </c>
      <c r="C56" s="1551" t="s">
        <v>588</v>
      </c>
    </row>
    <row r="57" spans="1:4">
      <c r="A57" s="352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26" t="s">
        <v>2583</v>
      </c>
      <c r="J2" s="3526"/>
      <c r="K2" s="3526"/>
      <c r="L2" s="3526"/>
      <c r="M2" s="3526"/>
      <c r="N2" s="3526"/>
      <c r="O2" s="3526"/>
      <c r="P2" s="3526"/>
      <c r="Q2" s="3526"/>
      <c r="R2" s="3526"/>
    </row>
    <row r="3" spans="1:18">
      <c r="A3" s="3020" t="s">
        <v>2504</v>
      </c>
      <c r="B3" s="3021">
        <f>项目基本情况!D3</f>
        <v>45162</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3.32</v>
      </c>
      <c r="D5" s="3025">
        <f>IF(ISERROR(ROUND(POWER(1+E5,A5-C5)*(POWER(1+E5,C5)-1)/(POWER(1+E5,A5)-1),3)),0,ROUND(POWER(1+E5,A5-C5)*(POWER(1+E5,C5)-1)/(POWER(1+E5,A5)-1),4))</f>
        <v>0.1542</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13.33</v>
      </c>
      <c r="D6" s="3025">
        <f>IF(ISERROR(ROUND(POWER(1+E6,A6-C6)*(POWER(1+E6,C6)-1)/(POWER(1+E6,A6)-1),3)),0,ROUND(POWER(1+E6,A6-C6)*(POWER(1+E6,C6)-1)/(POWER(1+E6,A6)-1),4))</f>
        <v>0.4738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33.340000000000003</v>
      </c>
      <c r="D7" s="3025">
        <f>IF(ISERROR(ROUND(POWER(1+E7,A7-C7)*(POWER(1+E7,C7)-1)/(POWER(1+E7,A7)-1),3)),0,ROUND(POWER(1+E7,A7-C7)*(POWER(1+E7,C7)-1)/(POWER(1+E7,A7)-1),4))</f>
        <v>0.77959999999999996</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6" zoomScale="80" zoomScaleNormal="100" zoomScaleSheetLayoutView="80" workbookViewId="0">
      <selection activeCell="H24" sqref="H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5" t="str">
        <f>IF(B10="北京市","北京市",C10)&amp;F10&amp;IF('结果表-住宅'!G1="在建","出让国有建设用地使用权及在建建筑物",IF('结果表-住宅'!G1="土地","出让国有建设用地使用权",))&amp;B9&amp;"预评估"</f>
        <v>预评估</v>
      </c>
      <c r="C1" s="3536"/>
      <c r="D1" s="3536"/>
      <c r="E1" s="3536"/>
      <c r="F1" s="3536"/>
      <c r="G1" s="3536"/>
      <c r="H1" s="3536"/>
      <c r="I1" s="3537"/>
      <c r="J1" s="2471"/>
      <c r="K1" s="2368"/>
      <c r="L1" s="2369"/>
      <c r="M1" s="2369"/>
      <c r="N1" s="2370"/>
      <c r="O1" s="1576"/>
      <c r="P1" s="2370"/>
      <c r="Q1" s="2370"/>
      <c r="R1" s="2370"/>
      <c r="S1" s="1682" t="str">
        <f>IF(B10="北京市","北京市",C10)&amp;F10&amp;IF('结果表-住宅'!G1="在建","出让国有建设用地使用权及在建建筑物房地产抵押价值",IF('结果表-住宅'!G1="土地","出让国有建设用地使用权抵押价值",B9))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IF(B10="北京市","北京市",C10)&amp;F10&amp;IF('结果表-住宅'!G1="在建","出让国有建设用地使用权及在建建筑物房地产",IF('结果表-住宅'!G1="土地","出让国有建设用地使用权","房地产"))</f>
        <v>房地产</v>
      </c>
      <c r="T2" s="1745"/>
      <c r="U2" s="1745"/>
      <c r="V2" s="1745"/>
      <c r="W2" s="1745"/>
      <c r="X2" s="1745"/>
      <c r="Y2" s="1745"/>
      <c r="Z2" s="1745"/>
      <c r="AA2" s="1745"/>
      <c r="AB2" s="1745"/>
    </row>
    <row r="3" spans="1:30">
      <c r="A3" s="302" t="s">
        <v>2170</v>
      </c>
      <c r="B3" s="2373">
        <f>D3</f>
        <v>45162</v>
      </c>
      <c r="C3" s="2374" t="s">
        <v>2171</v>
      </c>
      <c r="D3" s="2373">
        <v>45162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8" t="s">
        <v>2177</v>
      </c>
      <c r="E8" s="2391"/>
      <c r="F8" s="2392"/>
      <c r="G8" s="2663"/>
      <c r="H8" s="2663"/>
      <c r="I8" s="2663"/>
      <c r="J8" s="2439"/>
      <c r="K8" s="2614"/>
      <c r="L8" s="2613"/>
      <c r="M8" s="2613"/>
      <c r="N8" s="2439"/>
      <c r="O8" s="2450"/>
      <c r="P8" s="2439"/>
      <c r="Q8" s="2439"/>
      <c r="R8" s="2439"/>
    </row>
    <row r="9" spans="1:30" ht="13.5" thickBot="1">
      <c r="A9" s="2393" t="s">
        <v>2178</v>
      </c>
      <c r="B9" s="2394"/>
      <c r="C9" s="2395"/>
      <c r="D9" s="3539"/>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v>68653</v>
      </c>
      <c r="D13" s="856"/>
      <c r="E13" s="856"/>
      <c r="F13" s="856">
        <v>61348</v>
      </c>
      <c r="G13" s="856"/>
      <c r="H13" s="856"/>
      <c r="I13" s="856"/>
      <c r="J13" s="3062"/>
      <c r="K13" s="2613"/>
      <c r="L13" s="2613"/>
      <c r="M13" s="2439"/>
      <c r="N13" s="2450"/>
      <c r="O13" s="2439"/>
      <c r="P13" s="2439"/>
      <c r="Q13" s="2439"/>
      <c r="AD13" s="1745"/>
    </row>
    <row r="14" spans="1:30">
      <c r="A14" s="1081"/>
      <c r="B14" s="2407" t="s">
        <v>2191</v>
      </c>
      <c r="C14" s="2408">
        <v>70</v>
      </c>
      <c r="D14" s="2408"/>
      <c r="E14" s="2408"/>
      <c r="F14" s="2408">
        <v>50</v>
      </c>
      <c r="G14" s="2408"/>
      <c r="H14" s="2408"/>
      <c r="I14" s="2408"/>
      <c r="J14" s="3063"/>
      <c r="K14" s="2613"/>
      <c r="L14" s="2613"/>
      <c r="M14" s="2439"/>
      <c r="N14" s="2450"/>
      <c r="O14" s="2439"/>
      <c r="P14" s="2439"/>
      <c r="Q14" s="2439"/>
      <c r="AD14" s="1745"/>
    </row>
    <row r="15" spans="1:30">
      <c r="A15" s="320"/>
      <c r="B15" s="2409" t="s">
        <v>2192</v>
      </c>
      <c r="C15" s="2410">
        <f>IF(A13="出让",IF(C13="","",ROUNDDOWN(MIN((C13-$D$3)/365,C14),2)),C14)</f>
        <v>64.349999999999994</v>
      </c>
      <c r="D15" s="2410" t="str">
        <f>IF(A13="出让",IF(D13="","",ROUNDDOWN(MIN((D13-$D$3)/365,D14),2)),D14)</f>
        <v/>
      </c>
      <c r="E15" s="2410" t="str">
        <f>IF(A13="出让",IF(E13="","",ROUNDDOWN(MIN((E13-$D$3)/365,E14),2)),E14)</f>
        <v/>
      </c>
      <c r="F15" s="2410">
        <f>IF(A13="出让",IF(F13="","",ROUNDDOWN(MIN((F13-$D$3)/365,F14),2)),F14)</f>
        <v>44.34</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5"/>
      <c r="C16" s="3546"/>
      <c r="D16" s="3547"/>
      <c r="E16" s="2413" t="s">
        <v>2194</v>
      </c>
      <c r="F16" s="3548"/>
      <c r="G16" s="3549"/>
      <c r="H16" s="3549"/>
      <c r="I16" s="3550"/>
      <c r="J16" s="2439"/>
      <c r="K16" s="2617"/>
      <c r="L16" s="2451"/>
      <c r="M16" s="2451"/>
      <c r="N16" s="2509"/>
      <c r="O16" s="2451"/>
      <c r="P16" s="2509"/>
      <c r="Q16" s="2439"/>
      <c r="R16" s="2439"/>
    </row>
    <row r="17" spans="1:28">
      <c r="A17" s="313" t="s">
        <v>2195</v>
      </c>
      <c r="B17" s="302" t="s">
        <v>2196</v>
      </c>
      <c r="C17" s="8">
        <f>'数据-汇总表'!E3</f>
        <v>126.25999999999999</v>
      </c>
      <c r="D17" s="2322" t="s">
        <v>2197</v>
      </c>
      <c r="E17" s="3551" t="s">
        <v>2198</v>
      </c>
      <c r="F17" s="3552"/>
      <c r="G17" s="3552"/>
      <c r="H17" s="3552"/>
      <c r="I17" s="355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54" t="s">
        <v>2202</v>
      </c>
      <c r="F18" s="3555"/>
      <c r="G18" s="3555"/>
      <c r="H18" s="3555"/>
      <c r="I18" s="355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41" t="s">
        <v>2206</v>
      </c>
      <c r="C20" s="3542"/>
      <c r="D20" s="3543" t="s">
        <v>2207</v>
      </c>
      <c r="E20" s="3544"/>
      <c r="F20" s="2647" t="s">
        <v>1056</v>
      </c>
      <c r="G20" s="2664"/>
      <c r="H20" s="2664"/>
      <c r="I20" s="2664"/>
      <c r="J20" s="2439"/>
      <c r="K20" s="354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4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40"/>
      <c r="L22" s="684"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9"/>
      <c r="B30" s="302" t="s">
        <v>2218</v>
      </c>
      <c r="C30" s="3530"/>
      <c r="D30" s="3531"/>
      <c r="E30" s="2664"/>
      <c r="F30" s="2664"/>
      <c r="G30" s="2664"/>
      <c r="H30" s="2664"/>
      <c r="I30" s="2664"/>
      <c r="J30" s="2439"/>
      <c r="K30" s="2616"/>
      <c r="L30" s="2613"/>
      <c r="M30" s="2613"/>
      <c r="N30" s="2439"/>
      <c r="O30" s="2450"/>
      <c r="P30" s="2439"/>
      <c r="Q30" s="2439"/>
      <c r="R30" s="2439"/>
      <c r="S30" s="2439"/>
      <c r="T30" s="2439"/>
      <c r="U30" s="2439"/>
      <c r="V30" s="2439"/>
    </row>
    <row r="31" spans="1:28">
      <c r="A31" s="353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7" t="s">
        <v>2228</v>
      </c>
      <c r="T34" s="2428" t="str">
        <f>NUMBERSTRING(7-K34,1)&amp;"通"</f>
        <v>七通</v>
      </c>
      <c r="U34" s="2439"/>
      <c r="V34" s="2439"/>
    </row>
    <row r="35" spans="1:30">
      <c r="A35" s="2429"/>
      <c r="B35" s="3534" t="s">
        <v>2229</v>
      </c>
      <c r="C35" s="3534"/>
      <c r="D35" s="3534"/>
      <c r="E35" s="353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t="s">
        <v>151</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126.25999999999999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126.25999999999999</v>
      </c>
      <c r="H5" s="13">
        <f t="shared" ref="H5:AT5" si="0">SUM(H13:H656)</f>
        <v>126.25999999999999</v>
      </c>
      <c r="I5" s="13">
        <f t="shared" si="0"/>
        <v>87.89</v>
      </c>
      <c r="J5" s="13">
        <f t="shared" si="0"/>
        <v>0</v>
      </c>
      <c r="K5" s="13">
        <f t="shared" si="0"/>
        <v>38.369999999999997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126.25999999999999</v>
      </c>
      <c r="BA5" s="15">
        <f t="shared" si="1"/>
        <v>126.25999999999999</v>
      </c>
      <c r="BB5" s="15">
        <f t="shared" si="1"/>
        <v>87.89</v>
      </c>
      <c r="BC5" s="15">
        <f t="shared" si="1"/>
        <v>38.369999999999997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t="s">
        <v>3401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3379</v>
      </c>
      <c r="J10" s="809"/>
      <c r="K10" s="1609" t="s">
        <v>3338</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3382</v>
      </c>
      <c r="J11" s="1615"/>
      <c r="K11" s="1614" t="s">
        <v>3338</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t="str">
        <f>K10</f>
        <v>车库</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普通住宅</v>
      </c>
      <c r="BC12" s="1624" t="str">
        <f>K11</f>
        <v>车库</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126.25999999999999</v>
      </c>
      <c r="H13" s="17">
        <f>SUMIF(I$12:AB$12,"总值",I13:AB13)</f>
        <v>126.25999999999999</v>
      </c>
      <c r="I13" s="1626">
        <v>87.89</v>
      </c>
      <c r="J13" s="1626"/>
      <c r="K13" s="1626">
        <v>38.369999999999997</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126.25999999999999</v>
      </c>
      <c r="BA13" s="13">
        <f>SUM(BB13:BK13)</f>
        <v>126.25999999999999</v>
      </c>
      <c r="BB13" s="13">
        <f>IF($D13="是",I13-J13,0)</f>
        <v>87.89</v>
      </c>
      <c r="BC13" s="13">
        <f>IF($D13="是",K13-L13,0)</f>
        <v>38.369999999999997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3" zoomScale="90" zoomScaleNormal="100" zoomScaleSheetLayoutView="90" workbookViewId="0">
      <selection activeCell="G21" sqref="G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6" t="s">
        <v>1131</v>
      </c>
      <c r="B2" s="3566"/>
      <c r="C2" s="3566"/>
      <c r="D2" s="796" t="s">
        <v>1107</v>
      </c>
      <c r="E2" s="1639" t="s">
        <v>1108</v>
      </c>
      <c r="F2" s="2659"/>
      <c r="G2" s="2650"/>
      <c r="H2" s="2651"/>
      <c r="I2" s="2325" t="s">
        <v>1132</v>
      </c>
      <c r="J2" s="2659"/>
      <c r="K2" s="2659"/>
      <c r="L2" s="2659"/>
      <c r="M2" s="2659"/>
      <c r="N2" s="2661"/>
      <c r="O2" s="2659"/>
      <c r="P2" s="2659"/>
    </row>
    <row r="3" spans="1:16" ht="15.75" thickBot="1">
      <c r="A3" s="3567" t="s">
        <v>1105</v>
      </c>
      <c r="B3" s="3567"/>
      <c r="C3" s="3567"/>
      <c r="D3" s="43">
        <f>'数据-基础表'!AY6</f>
        <v>0</v>
      </c>
      <c r="E3" s="43">
        <f>'数据-基础表'!AZ5</f>
        <v>126.25999999999999</v>
      </c>
      <c r="F3" s="2659"/>
      <c r="G3" s="1145"/>
      <c r="H3" s="1026" t="s">
        <v>1106</v>
      </c>
      <c r="I3" s="855" t="e">
        <f>ROUND('数据-基础表'!B3/'数据-基础表'!A3,2)</f>
        <v>#DIV/0!</v>
      </c>
      <c r="J3" s="2659"/>
      <c r="K3" s="2659"/>
      <c r="L3" s="2659"/>
      <c r="M3" s="2659"/>
      <c r="N3" s="2661"/>
      <c r="O3" s="2659"/>
      <c r="P3" s="2659"/>
    </row>
    <row r="4" spans="1:16" ht="15">
      <c r="A4" s="3568"/>
      <c r="B4" s="3569"/>
      <c r="C4" s="357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1" t="s">
        <v>1110</v>
      </c>
      <c r="C5" s="3571"/>
      <c r="D5" s="45">
        <f>ROUND($D$3*E5/$E$3,2)</f>
        <v>0</v>
      </c>
      <c r="E5" s="46">
        <f>SUMIF('数据-基础表'!$11:$11,"住宅",'数据-基础表'!$5:$5)</f>
        <v>87.89</v>
      </c>
      <c r="F5" s="2659"/>
      <c r="G5" s="1145"/>
      <c r="H5" s="1026" t="s">
        <v>1106</v>
      </c>
      <c r="I5" s="855" t="e">
        <f>ROUND(E31/D31,2)</f>
        <v>#DIV/0!</v>
      </c>
      <c r="J5" s="2659"/>
      <c r="K5" s="2659"/>
      <c r="L5" s="2659"/>
      <c r="M5" s="2659"/>
      <c r="N5" s="2659"/>
      <c r="O5" s="2659"/>
      <c r="P5" s="2659"/>
    </row>
    <row r="6" spans="1:16" ht="15" thickBot="1">
      <c r="A6" s="1644"/>
      <c r="B6" s="3571" t="s">
        <v>1111</v>
      </c>
      <c r="C6" s="3571"/>
      <c r="D6" s="45">
        <f>ROUND($D$3*E6/$E$3,2)</f>
        <v>0</v>
      </c>
      <c r="E6" s="46">
        <f>E3-E5</f>
        <v>38.36999999999999</v>
      </c>
      <c r="F6" s="2659"/>
      <c r="G6" s="2653" t="s">
        <v>1112</v>
      </c>
      <c r="H6" s="1146" t="s">
        <v>1113</v>
      </c>
      <c r="I6" s="2654" t="e">
        <f>ROUND(F31/D31,2)</f>
        <v>#DIV/0!</v>
      </c>
      <c r="J6" s="2659"/>
      <c r="K6" s="2659"/>
      <c r="L6" s="2659"/>
      <c r="M6" s="2659"/>
      <c r="N6" s="2659"/>
      <c r="O6" s="2659"/>
      <c r="P6" s="2659"/>
    </row>
    <row r="7" spans="1:16" ht="15.75" thickBot="1">
      <c r="A7" s="3563"/>
      <c r="B7" s="3564"/>
      <c r="C7" s="3565"/>
      <c r="D7" s="1641" t="s">
        <v>1107</v>
      </c>
      <c r="E7" s="1645" t="s">
        <v>1114</v>
      </c>
      <c r="F7" s="2659"/>
      <c r="G7" s="2655" t="s">
        <v>1115</v>
      </c>
      <c r="H7" s="2656"/>
      <c r="I7" s="2657">
        <v>1.6</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87.89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38.369999999999997</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126.25999999999999</v>
      </c>
      <c r="F16" s="2659"/>
      <c r="G16" s="2660"/>
      <c r="H16" s="1648" t="s">
        <v>1135</v>
      </c>
      <c r="I16" s="1649"/>
      <c r="J16" s="1139"/>
      <c r="K16" s="3560" t="s">
        <v>1135</v>
      </c>
      <c r="L16" s="3561"/>
      <c r="M16" s="3561"/>
      <c r="N16" s="3561"/>
      <c r="O16" s="3561"/>
      <c r="P16" s="3562"/>
    </row>
    <row r="17" spans="1:19" ht="15">
      <c r="A17" s="1650" t="s">
        <v>1136</v>
      </c>
      <c r="B17" s="1651" t="s">
        <v>1137</v>
      </c>
      <c r="C17" s="1652" t="s">
        <v>1138</v>
      </c>
      <c r="D17" s="1653" t="s">
        <v>1126</v>
      </c>
      <c r="E17" s="1654" t="s">
        <v>1127</v>
      </c>
      <c r="F17" s="1655"/>
      <c r="G17" s="1656"/>
      <c r="H17" s="1657" t="s">
        <v>1139</v>
      </c>
      <c r="I17" s="1658" t="s">
        <v>1124</v>
      </c>
      <c r="J17" s="1139"/>
      <c r="K17" s="3557" t="s">
        <v>1140</v>
      </c>
      <c r="L17" s="3558"/>
      <c r="M17" s="3559"/>
      <c r="N17" s="3557" t="s">
        <v>1141</v>
      </c>
      <c r="O17" s="3558"/>
      <c r="P17" s="355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3384</v>
      </c>
      <c r="D19" s="45">
        <f>ROUND($D$3*E19/$E$3,2)</f>
        <v>0</v>
      </c>
      <c r="E19" s="53">
        <f t="shared" ref="E19:E26" si="1">SUM(F19:G19)</f>
        <v>87.89</v>
      </c>
      <c r="F19" s="2795">
        <f>'数据-基础表'!I13</f>
        <v>87.89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87.89</v>
      </c>
    </row>
    <row r="20" spans="1:19">
      <c r="A20" s="1670"/>
      <c r="B20" s="47" t="s">
        <v>1153</v>
      </c>
      <c r="C20" s="3417" t="s">
        <v>3402</v>
      </c>
      <c r="D20" s="45">
        <f t="shared" ref="D20:D26" si="6">ROUND($D$3*E20/$E$3,2)</f>
        <v>0</v>
      </c>
      <c r="E20" s="53">
        <f t="shared" si="1"/>
        <v>38.369999999999997</v>
      </c>
      <c r="F20" s="2795"/>
      <c r="G20" s="2796">
        <f>'数据-基础表'!K13</f>
        <v>38.369999999999997</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38.369999999999997</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126.25999999999999</v>
      </c>
      <c r="F27" s="1140">
        <f>IF(SUM(F19:F26)=E8,SUM(F19:F26),"地上面积有误")</f>
        <v>87.89</v>
      </c>
      <c r="G27" s="1142">
        <f>SUM(G19:G26)</f>
        <v>38.369999999999997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126.25999999999999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126.25999999999999</v>
      </c>
      <c r="F31" s="677">
        <f>F27+F30</f>
        <v>87.89</v>
      </c>
      <c r="G31" s="678">
        <f>G27+G30</f>
        <v>38.369999999999997</v>
      </c>
      <c r="H31" s="2659"/>
      <c r="I31" s="2659"/>
      <c r="J31" s="2659"/>
      <c r="K31" s="2659"/>
      <c r="L31" s="2659"/>
      <c r="M31" s="2659"/>
      <c r="N31" s="2659"/>
      <c r="O31" s="2659"/>
      <c r="P31" s="2659"/>
    </row>
    <row r="32" spans="1:19">
      <c r="A32" s="1643"/>
      <c r="B32" s="1643" t="s">
        <v>1159</v>
      </c>
      <c r="C32" s="1643"/>
      <c r="D32" s="1643"/>
      <c r="E32" s="1053">
        <f>SUMIF(C19:C26,"*住宅*",E19:E26)</f>
        <v>87.89</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3" sqref="K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45162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3379</v>
      </c>
      <c r="D6" s="858">
        <f>SUMIF(项目基本情况!C$12:I$12,C6,项目基本情况!C$14:I$14)</f>
        <v>70</v>
      </c>
      <c r="E6" s="857">
        <f>IF(B6="","",SUMIF(项目基本情况!C$12:I$12,C6,项目基本情况!C$13:I$13))</f>
        <v>68653</v>
      </c>
      <c r="F6" s="64">
        <f>SUMIF(项目基本情况!C$12:I$12,C6,项目基本情况!C$15:I$15)</f>
        <v>64.349999999999994</v>
      </c>
      <c r="G6" s="65">
        <f>IF(ISERROR(ROUND(POWER(1+H6,D6-F6)*(POWER(1+H6,F6)-1)/(POWER(1+H6,D6)-1),3)),0,ROUND(POWER(1+H6,D6-F6)*(POWER(1+H6,F6)-1)/(POWER(1+H6,D6)-1),3))</f>
        <v>0.98899999999999999</v>
      </c>
      <c r="H6" s="732">
        <v>0.05</v>
      </c>
      <c r="I6" s="732">
        <v>4.4999999999999998E-2</v>
      </c>
      <c r="J6" s="66">
        <v>0.06</v>
      </c>
      <c r="K6" s="1030">
        <f>SUMIF('数据-汇总表'!C$19:C$33,A6,'数据-汇总表'!E$19:E$33)</f>
        <v>87.89</v>
      </c>
      <c r="L6" s="733">
        <v>3500</v>
      </c>
      <c r="M6" s="67">
        <f t="shared" ref="M6:M14" si="0">ROUND(K6*L6/10000,0)</f>
        <v>31</v>
      </c>
      <c r="N6" s="731">
        <f>N20</f>
        <v>0.96699999999999997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8">
        <v>5500</v>
      </c>
      <c r="V6" s="70">
        <v>0.03</v>
      </c>
      <c r="W6" s="70">
        <v>0.05</v>
      </c>
      <c r="X6" s="1040"/>
      <c r="Y6" s="71">
        <f>N6</f>
        <v>0.96699999999999997</v>
      </c>
      <c r="Z6" s="72"/>
      <c r="AA6" s="66"/>
      <c r="AB6" s="66"/>
      <c r="AC6" s="1040"/>
      <c r="AD6" s="73"/>
      <c r="AE6" s="1041">
        <f ca="1">IF(AN6="",0,SUMIF(INDIRECT("'"&amp;AN6&amp;"'"&amp;"!E:E"),$AE$5,INDIRECT("'"&amp;AN6&amp;"'"&amp;"!F:F")))</f>
        <v>64.349999999999994</v>
      </c>
      <c r="AF6" s="1348"/>
      <c r="AG6" s="138">
        <f>IF(AF6="",0,AE6-AF6)</f>
        <v>0</v>
      </c>
      <c r="AH6" s="74">
        <v>1</v>
      </c>
      <c r="AI6" s="76">
        <v>12</v>
      </c>
      <c r="AJ6" s="77"/>
      <c r="AK6" s="78">
        <v>0.01</v>
      </c>
      <c r="AL6" s="79">
        <v>1E-3</v>
      </c>
      <c r="AM6" s="80">
        <v>0.01</v>
      </c>
      <c r="AN6" s="1715" t="s">
        <v>3387</v>
      </c>
      <c r="AO6" s="52">
        <f ca="1">SUMIF(INDIRECT("'"&amp;AN6&amp;"'"&amp;"!A:A"),"总价",INDIRECT("'"&amp;AN6&amp;"'"&amp;"!B:B"))</f>
        <v>186.4991</v>
      </c>
      <c r="AP6" s="1716">
        <f>IF(C6="住宅",K6*L6,0)</f>
        <v>307615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3338</v>
      </c>
      <c r="D7" s="858">
        <f>SUMIF(项目基本情况!C$12:I$12,C7,项目基本情况!C$14:I$14)</f>
        <v>50</v>
      </c>
      <c r="E7" s="857">
        <f>IF(B7="","",SUMIF(项目基本情况!C$12:I$12,C7,项目基本情况!C$13:I$13))</f>
        <v>61348</v>
      </c>
      <c r="F7" s="64">
        <f>SUMIF(项目基本情况!C$12:I$12,C7,项目基本情况!C$15:I$15)</f>
        <v>44.34</v>
      </c>
      <c r="G7" s="65">
        <f t="shared" ref="G7:G11" si="2">IF(ISERROR(ROUND(POWER(1+H7,D7-F7)*(POWER(1+H7,F7)-1)/(POWER(1+H7,D7)-1),3)),0,ROUND(POWER(1+H7,D7-F7)*(POWER(1+H7,F7)-1)/(POWER(1+H7,D7)-1),3))</f>
        <v>0.97</v>
      </c>
      <c r="H7" s="732">
        <v>0.05</v>
      </c>
      <c r="I7" s="732">
        <v>4.4999999999999998E-2</v>
      </c>
      <c r="J7" s="66">
        <v>0.06</v>
      </c>
      <c r="K7" s="1030">
        <f>SUMIF('数据-汇总表'!C$19:C$33,A7,'数据-汇总表'!E$19:E$33)</f>
        <v>38.369999999999997</v>
      </c>
      <c r="L7" s="733">
        <v>3500</v>
      </c>
      <c r="M7" s="67">
        <f t="shared" si="0"/>
        <v>13</v>
      </c>
      <c r="N7" s="731">
        <f>N6</f>
        <v>0.96699999999999997</v>
      </c>
      <c r="O7" s="67" t="str">
        <f t="shared" ref="O7:O14" si="3">IF($N$5="成新度","——",ROUND(M7*N7,0))</f>
        <v>——</v>
      </c>
      <c r="P7" s="68" t="str">
        <f t="shared" ref="P7:P14" si="4">IF($N$5="成新度","——",M7-O7)</f>
        <v>——</v>
      </c>
      <c r="Q7" s="734">
        <v>0.2</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0.98299999999999998</v>
      </c>
      <c r="H16" s="90">
        <f>ROUND(SUMPRODUCT(H6:H13,K6:K13)/SUMPRODUCT((H6:H13&gt;0)*(K6:K13)),3)</f>
        <v>0.05</v>
      </c>
      <c r="I16" s="91"/>
      <c r="J16" s="91"/>
      <c r="K16" s="92">
        <f>SUM(K6:K15)</f>
        <v>126.25999999999999</v>
      </c>
      <c r="L16" s="93">
        <f>ROUND(M16*10000/SUM(K6:K14),0)</f>
        <v>3485</v>
      </c>
      <c r="M16" s="93">
        <f>SUM(M6:M14)</f>
        <v>44</v>
      </c>
      <c r="N16" s="94">
        <f>ROUND(SUMPRODUCT(M6:M14,N6:N14)/M16,3)</f>
        <v>0.96699999999999997</v>
      </c>
      <c r="O16" s="93">
        <f>SUM(O6:O14)</f>
        <v>0</v>
      </c>
      <c r="P16" s="93">
        <f>SUM(P6:P14)</f>
        <v>0</v>
      </c>
      <c r="Q16" s="95">
        <f>ROUND(SUMPRODUCT(Q6:Q13,K6:K13)/SUMPRODUCT((Q6:Q13&gt;0)*(K6:K13)),2)</f>
        <v>0.23</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v>2021</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3467">
        <f>ROUND(1-(2023-N19)/60,3)</f>
        <v>0.96699999999999997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(元)'!C9</f>
        <v>14062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0.02</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0.02</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f ca="1">'结果表-住宅'!G20</f>
        <v>48678</v>
      </c>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3386</v>
      </c>
      <c r="B40" s="1078">
        <f ca="1">IF(A40="利息：取LPR",存贷款利率!G1,存贷款利率!G1+C40)</f>
        <v>4.7500000000000001E-2</v>
      </c>
      <c r="C40" s="2814">
        <v>1.2999999999999999E-2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2" t="s">
        <v>2286</v>
      </c>
      <c r="B1" s="3573"/>
      <c r="C1" s="3573"/>
      <c r="D1" s="3573"/>
      <c r="E1" s="3573"/>
      <c r="F1" s="3573"/>
      <c r="G1" s="357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126.25999999999999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45162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455</v>
      </c>
      <c r="C5" s="2512">
        <f ca="1">IF(B5=D14,'结果表-住宅'!H102,ROUND(B5*10000/$B$1,0))</f>
        <v>36037</v>
      </c>
      <c r="D5" s="2512" t="e">
        <f ca="1">ROUND(B5*10000/$B$2,0)</f>
        <v>#DIV/0!</v>
      </c>
      <c r="E5" s="2686"/>
      <c r="F5" s="2687"/>
      <c r="G5" s="2687"/>
      <c r="H5" s="2688"/>
      <c r="I5" s="2688"/>
      <c r="J5" s="2688"/>
      <c r="K5" s="2688"/>
    </row>
    <row r="6" spans="1:11" ht="16.5">
      <c r="A6" s="2512" t="s">
        <v>656</v>
      </c>
      <c r="B6" s="2512">
        <f>SUM(G14:G23)</f>
        <v>0</v>
      </c>
      <c r="C6" s="2512">
        <f ca="1">IF(B6=G14,'结果表-住宅'!H108,ROUND(B6*10000/$B$1,0))</f>
        <v>0</v>
      </c>
      <c r="D6" s="2512" t="e">
        <f>ROUND(B6*10000/$B$2,0)</f>
        <v>#DIV/0!</v>
      </c>
      <c r="E6" s="2686"/>
      <c r="F6" s="2687"/>
      <c r="G6" s="2687"/>
      <c r="H6" s="2688"/>
      <c r="I6" s="2688"/>
      <c r="J6" s="2688"/>
      <c r="K6" s="2688"/>
    </row>
    <row r="7" spans="1:11" ht="16.5">
      <c r="A7" s="2512" t="s">
        <v>664</v>
      </c>
      <c r="B7" s="2512">
        <f>SUM(H14:H23)</f>
        <v>0</v>
      </c>
      <c r="C7" s="2512" t="str">
        <f>IF(B7=H14,'结果表-住宅'!H110,ROUND(B7*10000/$B$1,0))</f>
        <v>——</v>
      </c>
      <c r="D7" s="2512" t="e">
        <f>ROUND(B7*10000/$B$2,0)</f>
        <v>#DIV/0!</v>
      </c>
      <c r="E7" s="2686"/>
      <c r="F7" s="2687"/>
      <c r="G7" s="2687"/>
      <c r="H7" s="2688"/>
      <c r="I7" s="2688"/>
      <c r="J7" s="2688"/>
      <c r="K7" s="2688"/>
    </row>
    <row r="8" spans="1:11" ht="16.5">
      <c r="A8" s="2512" t="s">
        <v>587</v>
      </c>
      <c r="B8" s="2512">
        <f>SUM(I14:I23)</f>
        <v>0</v>
      </c>
      <c r="C8" s="2512" t="str">
        <f>IF(B8=I14,'结果表-住宅'!H112,ROUND(B8*10000/$B$1,0))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87.89</v>
      </c>
      <c r="C14" s="2518"/>
      <c r="D14" s="2518">
        <f ca="1">'结果表-住宅'!G19</f>
        <v>428</v>
      </c>
      <c r="E14" s="2518">
        <f ca="1">ROUND(D14*10000/B14,0)</f>
        <v>48697</v>
      </c>
      <c r="F14" s="2518" t="e">
        <f ca="1">ROUND(D14*10000/C14,0)</f>
        <v>#DIV/0!</v>
      </c>
      <c r="G14" s="2518"/>
      <c r="H14" s="2518"/>
      <c r="I14" s="2518"/>
      <c r="J14" s="2687"/>
      <c r="K14" s="2688"/>
    </row>
    <row r="15" spans="1:11" ht="16.5">
      <c r="A15" s="2517" t="s">
        <v>649</v>
      </c>
      <c r="B15" s="2519">
        <f>'数据-汇总表'!G20</f>
        <v>38.369999999999997</v>
      </c>
      <c r="C15" s="2519"/>
      <c r="D15" s="2519">
        <f ca="1">'结果表-车位'!G19</f>
        <v>27</v>
      </c>
      <c r="E15" s="2518">
        <f t="shared" ref="E15:E23" ca="1" si="0">ROUND(D15*10000/B15,0)</f>
        <v>7037</v>
      </c>
      <c r="F15" s="2518" t="e">
        <f t="shared" ref="F15:F23" ca="1"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8" t="str">
        <f>项目基本情况!S2</f>
        <v>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4" t="s">
        <v>1265</v>
      </c>
      <c r="B4" s="1755" t="s">
        <v>1266</v>
      </c>
      <c r="C4" s="1756" t="s">
        <v>3419</v>
      </c>
      <c r="D4" s="1756" t="s">
        <v>3834</v>
      </c>
      <c r="E4" s="3614" t="s">
        <v>1267</v>
      </c>
      <c r="F4" s="3615"/>
      <c r="G4" s="3615"/>
      <c r="H4" s="3615"/>
      <c r="I4" s="3616"/>
      <c r="K4" s="146" t="str">
        <f>IF(ISNUMBER(FIND("比较法",'结果表-住宅'!C4)),"比较法",IF(ISNUMBER(FIND("成本法",'结果表-住宅'!C4)),"成本法",IF(ISNUMBER(FIND("假设开发法",'结果表-住宅'!C4)),"假设开发法",IF(ISNUMBER(FIND("收益法",'结果表-住宅'!C4)),"收益法","基准地价系数修正法"))))</f>
        <v>成本法</v>
      </c>
      <c r="L4" s="146" t="str">
        <f>IF(ISNUMBER(FIND("比较法",'结果表-住宅'!D4)),"比较法",IF(ISNUMBER(FIND("成本法",'结果表-住宅'!D4)),"成本法",IF(ISNUMBER(FIND("假设开发法",'结果表-住宅'!D4)),"假设开发法",IF(ISNUMBER(FIND("收益法",'结果表-住宅'!D4)),"收益法","基准地价系数修正法"))))</f>
        <v>比较法</v>
      </c>
    </row>
    <row r="5" spans="1:12" ht="12.75">
      <c r="A5" s="3588" t="s">
        <v>1268</v>
      </c>
      <c r="B5" s="3575">
        <v>25</v>
      </c>
      <c r="C5" s="3591"/>
      <c r="D5" s="3611"/>
      <c r="E5" s="131" t="s">
        <v>1269</v>
      </c>
      <c r="F5" s="1757"/>
      <c r="G5" s="1757"/>
      <c r="H5" s="1757"/>
      <c r="I5" s="1373"/>
    </row>
    <row r="6" spans="1:12" ht="12.75">
      <c r="A6" s="3588"/>
      <c r="B6" s="3575"/>
      <c r="C6" s="3592"/>
      <c r="D6" s="3611"/>
      <c r="E6" s="131" t="s">
        <v>1270</v>
      </c>
      <c r="F6" s="1757"/>
      <c r="G6" s="1757"/>
      <c r="H6" s="1757"/>
      <c r="I6" s="1373"/>
    </row>
    <row r="7" spans="1:12" ht="12.75">
      <c r="A7" s="3588"/>
      <c r="B7" s="3575"/>
      <c r="C7" s="3593"/>
      <c r="D7" s="3611"/>
      <c r="E7" s="131" t="s">
        <v>1271</v>
      </c>
      <c r="F7" s="1757"/>
      <c r="G7" s="1757"/>
      <c r="H7" s="1757"/>
      <c r="I7" s="1373"/>
    </row>
    <row r="8" spans="1:12" ht="12.75">
      <c r="A8" s="3588" t="s">
        <v>1272</v>
      </c>
      <c r="B8" s="3575">
        <v>15</v>
      </c>
      <c r="C8" s="3591"/>
      <c r="D8" s="3611"/>
      <c r="E8" s="131" t="s">
        <v>1273</v>
      </c>
      <c r="F8" s="1757"/>
      <c r="G8" s="1757"/>
      <c r="H8" s="1757"/>
      <c r="I8" s="1373"/>
    </row>
    <row r="9" spans="1:12" ht="12.75">
      <c r="A9" s="3588"/>
      <c r="B9" s="3575"/>
      <c r="C9" s="3593"/>
      <c r="D9" s="3611"/>
      <c r="E9" s="131" t="s">
        <v>1274</v>
      </c>
      <c r="F9" s="1757"/>
      <c r="G9" s="1757"/>
      <c r="H9" s="1757"/>
      <c r="I9" s="1373"/>
    </row>
    <row r="10" spans="1:12" ht="12.75">
      <c r="A10" s="3588" t="s">
        <v>1275</v>
      </c>
      <c r="B10" s="3575">
        <v>15</v>
      </c>
      <c r="C10" s="3591"/>
      <c r="D10" s="3611"/>
      <c r="E10" s="131" t="s">
        <v>1276</v>
      </c>
      <c r="F10" s="1757"/>
      <c r="G10" s="1757"/>
      <c r="H10" s="1757"/>
      <c r="I10" s="1373"/>
    </row>
    <row r="11" spans="1:12" ht="12.75">
      <c r="A11" s="3588"/>
      <c r="B11" s="3575"/>
      <c r="C11" s="3593"/>
      <c r="D11" s="3611"/>
      <c r="E11" s="131" t="s">
        <v>1277</v>
      </c>
      <c r="F11" s="1757"/>
      <c r="G11" s="1757"/>
      <c r="H11" s="1757"/>
      <c r="I11" s="1373"/>
    </row>
    <row r="12" spans="1:12" ht="12.75">
      <c r="A12" s="3588" t="s">
        <v>1278</v>
      </c>
      <c r="B12" s="3575">
        <v>15</v>
      </c>
      <c r="C12" s="3591"/>
      <c r="D12" s="3611"/>
      <c r="E12" s="131" t="s">
        <v>1279</v>
      </c>
      <c r="F12" s="1757"/>
      <c r="G12" s="1757"/>
      <c r="H12" s="1757"/>
      <c r="I12" s="1373"/>
    </row>
    <row r="13" spans="1:12" ht="12.75">
      <c r="A13" s="3588"/>
      <c r="B13" s="3575"/>
      <c r="C13" s="3593"/>
      <c r="D13" s="3611"/>
      <c r="E13" s="131" t="s">
        <v>1280</v>
      </c>
      <c r="F13" s="1757"/>
      <c r="G13" s="1757"/>
      <c r="H13" s="1757"/>
      <c r="I13" s="1373"/>
    </row>
    <row r="14" spans="1:12" ht="12.75">
      <c r="A14" s="3588" t="s">
        <v>1281</v>
      </c>
      <c r="B14" s="3575">
        <v>30</v>
      </c>
      <c r="C14" s="3591">
        <v>2</v>
      </c>
      <c r="D14" s="3611">
        <f>10-C14</f>
        <v>8</v>
      </c>
      <c r="E14" s="131" t="s">
        <v>1282</v>
      </c>
      <c r="F14" s="1757"/>
      <c r="G14" s="1757"/>
      <c r="H14" s="1757"/>
      <c r="I14" s="1373"/>
    </row>
    <row r="15" spans="1:12" ht="12.75">
      <c r="A15" s="3588"/>
      <c r="B15" s="3575"/>
      <c r="C15" s="3592"/>
      <c r="D15" s="3611"/>
      <c r="E15" s="131" t="s">
        <v>1283</v>
      </c>
      <c r="F15" s="1757"/>
      <c r="G15" s="1757"/>
      <c r="H15" s="1757"/>
      <c r="I15" s="1373"/>
    </row>
    <row r="16" spans="1:12" ht="12.75">
      <c r="A16" s="3588"/>
      <c r="B16" s="3575"/>
      <c r="C16" s="3593"/>
      <c r="D16" s="3611"/>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598" t="s">
        <v>2131</v>
      </c>
      <c r="F18" s="3599"/>
      <c r="G18" s="3599"/>
      <c r="H18" s="3599"/>
      <c r="I18" s="3599"/>
      <c r="K18" s="302" t="s">
        <v>1289</v>
      </c>
      <c r="L18" s="302">
        <f>IF(C1="",'数据-汇总表'!E3,SUMIF(项目类型,C1,'数据-汇总表'!E17:E26)+SUMIF(项目类型,C1,'数据-汇总表'!I17:I26))</f>
        <v>126.25999999999999</v>
      </c>
      <c r="M18" s="302">
        <f>IF(C1="",'数据-汇总表'!E3,SUMIF(项目类型,C1,'数据-汇总表'!E17:E26))</f>
        <v>126.25999999999999</v>
      </c>
    </row>
    <row r="19" spans="1:36" ht="15">
      <c r="A19" s="1761" t="s">
        <v>1290</v>
      </c>
      <c r="B19" s="1762" t="s">
        <v>1291</v>
      </c>
      <c r="C19" s="134">
        <f ca="1">SUMIF(INDIRECT("'"&amp;C4&amp;"'"&amp;"!A:A"),'结果表-住宅'!B19,INDIRECT("'"&amp;C4&amp;"'"&amp;"!B:B"))</f>
        <v>250.1917</v>
      </c>
      <c r="D19" s="135">
        <f ca="1">SUMIF(INDIRECT("'"&amp;D4&amp;"'"&amp;"!A:A"),'结果表-住宅'!B19,INDIRECT("'"&amp;D4&amp;"'"&amp;"!B:B"))</f>
        <v>472.24180000000001</v>
      </c>
      <c r="E19" s="1761" t="s">
        <v>1292</v>
      </c>
      <c r="F19" s="1762" t="s">
        <v>1291</v>
      </c>
      <c r="G19" s="136">
        <f ca="1">ROUND(C19*$C$18+D19*$D$18,0)</f>
        <v>428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SUMIF(INDIRECT("'"&amp;C4&amp;"'"&amp;"!A:A"),'结果表-住宅'!B20,INDIRECT("'"&amp;C4&amp;"'"&amp;"!B:B"))</f>
        <v>28466</v>
      </c>
      <c r="D20" s="138">
        <f ca="1">SUMIF(INDIRECT("'"&amp;D4&amp;"'"&amp;"!A:A"),'结果表-住宅'!B20,INDIRECT("'"&amp;D4&amp;"'"&amp;"!B:B"))</f>
        <v>53731</v>
      </c>
      <c r="E20" s="1764"/>
      <c r="F20" s="1026" t="s">
        <v>1295</v>
      </c>
      <c r="G20" s="139">
        <f ca="1">ROUND(C20*$C$18+D20*$D$18,0)</f>
        <v>48678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0.88751984977918941</v>
      </c>
      <c r="E22" s="129"/>
      <c r="F22" s="129"/>
      <c r="G22" s="129"/>
      <c r="H22" s="129"/>
      <c r="I22" s="129"/>
    </row>
    <row r="23" spans="1:36" ht="13.5" thickBot="1">
      <c r="A23" s="1747"/>
      <c r="B23" s="1747"/>
      <c r="C23" s="1747"/>
      <c r="D23" s="1747"/>
      <c r="E23" s="129"/>
      <c r="F23" s="129"/>
      <c r="G23" s="129"/>
      <c r="H23" s="129"/>
      <c r="I23" s="129"/>
    </row>
    <row r="24" spans="1:36" ht="14.25">
      <c r="A24" s="3582" t="s">
        <v>1299</v>
      </c>
      <c r="B24" s="1762" t="s">
        <v>1291</v>
      </c>
      <c r="C24" s="136">
        <f>IF(B30=0,0,D30)</f>
        <v>0</v>
      </c>
      <c r="D24" s="1769"/>
      <c r="E24" s="129"/>
      <c r="F24" s="129"/>
      <c r="G24" s="129"/>
      <c r="H24" s="129"/>
      <c r="I24" s="129"/>
    </row>
    <row r="25" spans="1:36" ht="14.25">
      <c r="A25" s="358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48678</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9" t="s">
        <v>1326</v>
      </c>
      <c r="B45" s="3580"/>
      <c r="C45" s="3581"/>
      <c r="D45" s="155" t="e">
        <f ca="1">ROUND(H101*F45,0)</f>
        <v>#REF!</v>
      </c>
      <c r="E45" s="156" t="s">
        <v>1327</v>
      </c>
      <c r="F45" s="157">
        <v>1</v>
      </c>
      <c r="G45" s="158" t="s">
        <v>1328</v>
      </c>
      <c r="H45" s="129"/>
      <c r="I45" s="129"/>
      <c r="J45" s="3657" t="s">
        <v>1329</v>
      </c>
      <c r="K45" s="3657"/>
      <c r="L45" s="3657"/>
      <c r="M45" s="3657"/>
      <c r="N45" s="3657"/>
      <c r="O45" s="3657"/>
    </row>
    <row r="46" spans="1:15" ht="14.25" customHeight="1">
      <c r="A46" s="3576" t="s">
        <v>1330</v>
      </c>
      <c r="B46" s="3577"/>
      <c r="C46" s="3577"/>
      <c r="D46" s="3577"/>
      <c r="E46" s="3577"/>
      <c r="F46" s="3577"/>
      <c r="G46" s="3578"/>
      <c r="H46" s="1806"/>
      <c r="I46" s="159"/>
      <c r="J46" s="2523">
        <v>1</v>
      </c>
      <c r="K46" s="3638" t="s">
        <v>1331</v>
      </c>
      <c r="L46" s="3638"/>
      <c r="M46" s="3658"/>
      <c r="N46" s="3658"/>
      <c r="O46" s="3658"/>
    </row>
    <row r="47" spans="1:15" ht="12" customHeight="1">
      <c r="A47" s="160" t="s">
        <v>1332</v>
      </c>
      <c r="B47" s="161"/>
      <c r="C47" s="162"/>
      <c r="D47" s="1087" t="s">
        <v>1333</v>
      </c>
      <c r="E47" s="302" t="s">
        <v>1334</v>
      </c>
      <c r="F47" s="163" t="s">
        <v>1335</v>
      </c>
      <c r="G47" s="2546" t="s">
        <v>1336</v>
      </c>
      <c r="H47" s="2547"/>
      <c r="I47" s="159"/>
      <c r="J47" s="2523">
        <v>2</v>
      </c>
      <c r="K47" s="3638" t="s">
        <v>1337</v>
      </c>
      <c r="L47" s="3638"/>
      <c r="M47" s="3659">
        <f>'数据-取费表'!B2</f>
        <v>45162</v>
      </c>
      <c r="N47" s="3659"/>
      <c r="O47" s="3659"/>
    </row>
    <row r="48" spans="1:15" ht="25.5">
      <c r="A48" s="3607" t="s">
        <v>1338</v>
      </c>
      <c r="B48" s="3590"/>
      <c r="C48" s="359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8" t="s">
        <v>1340</v>
      </c>
      <c r="L48" s="3638"/>
      <c r="M48" s="3660" t="e">
        <f ca="1">H101</f>
        <v>#REF!</v>
      </c>
      <c r="N48" s="3660"/>
      <c r="O48" s="3660"/>
    </row>
    <row r="49" spans="1:35" ht="25.5" customHeight="1">
      <c r="A49" s="2333" t="s">
        <v>1341</v>
      </c>
      <c r="B49" s="3574" t="s">
        <v>1342</v>
      </c>
      <c r="C49" s="3574"/>
      <c r="D49" s="1590">
        <v>0</v>
      </c>
      <c r="E49" s="324" t="s">
        <v>1343</v>
      </c>
      <c r="F49" s="2424" t="s">
        <v>28</v>
      </c>
      <c r="G49" s="3644"/>
      <c r="H49" s="2310" t="s">
        <v>2134</v>
      </c>
      <c r="I49" s="2311"/>
      <c r="J49" s="2523">
        <v>4</v>
      </c>
      <c r="K49" s="3638" t="str">
        <f>IF(项目基本情况!E8="房地产抵押价值","房地产抵押价值","抵押担保权已注销时的房地产抵押价值")</f>
        <v>抵押担保权已注销时的房地产抵押价值</v>
      </c>
      <c r="L49" s="3638"/>
      <c r="M49" s="3660" t="str">
        <f>IF(项目基本情况!E8="房地产抵押价值",H107,H109)</f>
        <v>——</v>
      </c>
      <c r="N49" s="3660"/>
      <c r="O49" s="3660"/>
    </row>
    <row r="50" spans="1:35" ht="25.5" customHeight="1">
      <c r="A50" s="2551"/>
      <c r="B50" s="3574" t="s">
        <v>1344</v>
      </c>
      <c r="C50" s="3574"/>
      <c r="D50" s="2552"/>
      <c r="E50" s="332"/>
      <c r="F50" s="2424"/>
      <c r="G50" s="3645"/>
      <c r="H50" s="2312" t="s">
        <v>2135</v>
      </c>
      <c r="I50" s="2311"/>
      <c r="J50" s="3657" t="s">
        <v>1345</v>
      </c>
      <c r="K50" s="3657"/>
      <c r="L50" s="3657"/>
      <c r="M50" s="3657"/>
      <c r="N50" s="3657"/>
      <c r="O50" s="3657"/>
    </row>
    <row r="51" spans="1:35" ht="20.45" customHeight="1">
      <c r="A51" s="2553"/>
      <c r="B51" s="3574" t="s">
        <v>1346</v>
      </c>
      <c r="C51" s="3574"/>
      <c r="D51" s="1087"/>
      <c r="E51" s="327"/>
      <c r="F51" s="2424"/>
      <c r="G51" s="3646"/>
      <c r="H51" s="2312" t="s">
        <v>2136</v>
      </c>
      <c r="I51" s="2311"/>
      <c r="J51" s="2524" t="s">
        <v>1347</v>
      </c>
      <c r="K51" s="3638" t="s">
        <v>1348</v>
      </c>
      <c r="L51" s="3638"/>
      <c r="M51" s="2524" t="s">
        <v>1349</v>
      </c>
      <c r="N51" s="2524" t="s">
        <v>1350</v>
      </c>
      <c r="O51" s="2524" t="s">
        <v>1351</v>
      </c>
    </row>
    <row r="52" spans="1:35" ht="24" customHeight="1">
      <c r="A52" s="2335" t="s">
        <v>1352</v>
      </c>
      <c r="B52" s="3574" t="s">
        <v>1353</v>
      </c>
      <c r="C52" s="3574"/>
      <c r="D52" s="1087" t="e">
        <f ca="1">ROUND(D45*'数据-取费表'!B41/(1+'数据-取费表'!C42),0)</f>
        <v>#REF!</v>
      </c>
      <c r="E52" s="2334" t="s">
        <v>1354</v>
      </c>
      <c r="F52" s="2554">
        <f>'数据-取费表'!B41</f>
        <v>5.6000000000000001E-2</v>
      </c>
      <c r="G52" s="2555"/>
      <c r="H52" s="2544"/>
      <c r="I52" s="1807"/>
      <c r="J52" s="2523">
        <v>1</v>
      </c>
      <c r="K52" s="3639" t="s">
        <v>1355</v>
      </c>
      <c r="L52" s="3639"/>
      <c r="M52" s="2525" t="b">
        <f>D48</f>
        <v>0</v>
      </c>
      <c r="N52" s="2523" t="str">
        <f>E48</f>
        <v>销售额×税（费）率</v>
      </c>
      <c r="O52" s="2526">
        <f>F48</f>
        <v>5.6000000000000001E-2</v>
      </c>
    </row>
    <row r="53" spans="1:35" ht="12" customHeight="1">
      <c r="A53" s="2335" t="s">
        <v>1356</v>
      </c>
      <c r="B53" s="3600" t="s">
        <v>2291</v>
      </c>
      <c r="C53" s="3601"/>
      <c r="D53" s="1087" t="e">
        <f ca="1">ROUND(D45*'数据-取费表'!B41/(1+'数据-取费表'!C42),0)</f>
        <v>#REF!</v>
      </c>
      <c r="E53" s="2334" t="s">
        <v>1354</v>
      </c>
      <c r="F53" s="2554">
        <f>'数据-取费表'!B41</f>
        <v>5.6000000000000001E-2</v>
      </c>
      <c r="G53" s="2555"/>
      <c r="H53" s="2544"/>
      <c r="I53" s="1807"/>
      <c r="J53" s="2523">
        <v>2</v>
      </c>
      <c r="K53" s="3639" t="s">
        <v>1357</v>
      </c>
      <c r="L53" s="3639"/>
      <c r="M53" s="2525" t="e">
        <f t="shared" ref="M53:O54" ca="1" si="0">D55</f>
        <v>#REF!</v>
      </c>
      <c r="N53" s="2523" t="str">
        <f t="shared" si="0"/>
        <v>销售额×税（费）率</v>
      </c>
      <c r="O53" s="2526" t="str">
        <f t="shared" si="0"/>
        <v>免征</v>
      </c>
    </row>
    <row r="54" spans="1:35" ht="12" customHeight="1">
      <c r="A54" s="2335" t="s">
        <v>1358</v>
      </c>
      <c r="B54" s="3600" t="s">
        <v>2292</v>
      </c>
      <c r="C54" s="3601"/>
      <c r="D54" s="1087" t="e">
        <f ca="1">C68</f>
        <v>#REF!</v>
      </c>
      <c r="E54" s="327" t="s">
        <v>1359</v>
      </c>
      <c r="F54" s="2554">
        <f>'数据-取费表'!B41</f>
        <v>5.6000000000000001E-2</v>
      </c>
      <c r="G54" s="2555"/>
      <c r="H54" s="2556"/>
      <c r="I54" s="1807"/>
      <c r="J54" s="2523">
        <v>3</v>
      </c>
      <c r="K54" s="3639" t="s">
        <v>1360</v>
      </c>
      <c r="L54" s="3639"/>
      <c r="M54" s="2525" t="e">
        <f t="shared" ca="1" si="0"/>
        <v>#REF!</v>
      </c>
      <c r="N54" s="2523" t="str">
        <f t="shared" si="0"/>
        <v>增值额×税（费）率</v>
      </c>
      <c r="O54" s="2527" t="str">
        <f t="shared" si="0"/>
        <v>免征</v>
      </c>
    </row>
    <row r="55" spans="1:35" ht="24" customHeight="1">
      <c r="A55" s="3589" t="s">
        <v>1361</v>
      </c>
      <c r="B55" s="3590"/>
      <c r="C55" s="3590"/>
      <c r="D55" s="2324" t="e">
        <f ca="1">IF(H55="个人住宅",0,ROUND(D45*I55,0))</f>
        <v>#REF!</v>
      </c>
      <c r="E55" s="2334" t="s">
        <v>1362</v>
      </c>
      <c r="F55" s="2554" t="str">
        <f>IF(H55="正常",I55,"免征")</f>
        <v>免征</v>
      </c>
      <c r="G55" s="2555"/>
      <c r="H55" s="2550"/>
      <c r="I55" s="165">
        <f>'数据-取费表'!B49</f>
        <v>5.0000000000000001E-4</v>
      </c>
      <c r="J55" s="2523">
        <f>IF(H59="非个人房产","",4)</f>
        <v>4</v>
      </c>
      <c r="K55" s="3639" t="str">
        <f>IF(H59="非个人房产","——","个人所得税")</f>
        <v>个人所得税</v>
      </c>
      <c r="L55" s="3639"/>
      <c r="M55" s="2528" t="e">
        <f ca="1">D59</f>
        <v>#REF!</v>
      </c>
      <c r="N55" s="2040" t="str">
        <f>E59</f>
        <v>差额计税</v>
      </c>
      <c r="O55" s="2529">
        <f>F59</f>
        <v>0.01</v>
      </c>
    </row>
    <row r="56" spans="1:35" ht="24.75">
      <c r="A56" s="3589" t="s">
        <v>1363</v>
      </c>
      <c r="B56" s="3590"/>
      <c r="C56" s="3590"/>
      <c r="D56" s="2324" t="e">
        <f ca="1">IF(H56="个人住宅",D57,D58)</f>
        <v>#REF!</v>
      </c>
      <c r="E56" s="2334" t="s">
        <v>1364</v>
      </c>
      <c r="F56" s="2554" t="str">
        <f>IF(H56="正常",F58,"免征")</f>
        <v>免征</v>
      </c>
      <c r="G56" s="2557" t="s">
        <v>1365</v>
      </c>
      <c r="H56" s="2558"/>
      <c r="I56" s="1808"/>
      <c r="J56" s="2523" t="str">
        <f>IF(项目基本情况!K6="上海银行",IF(J55="",4,J55+1),"")</f>
        <v/>
      </c>
      <c r="K56" s="3662" t="str">
        <f>IF(项目基本情况!K6="上海银行","其他处置费用","")</f>
        <v/>
      </c>
      <c r="L56" s="3663"/>
      <c r="M56" s="2525" t="str">
        <f>IF(项目基本情况!K6="上海银行",M69,"")</f>
        <v/>
      </c>
      <c r="N56" s="3662" t="str">
        <f>IF(项目基本情况!K6="上海银行","包含处置中涉及的律师、诉讼、拍卖、评估等费用","")</f>
        <v/>
      </c>
      <c r="O56" s="3665"/>
    </row>
    <row r="57" spans="1:35" ht="12.75">
      <c r="A57" s="2335" t="s">
        <v>1341</v>
      </c>
      <c r="B57" s="3600" t="s">
        <v>1366</v>
      </c>
      <c r="C57" s="3601"/>
      <c r="D57" s="1590">
        <v>0</v>
      </c>
      <c r="E57" s="324" t="s">
        <v>1343</v>
      </c>
      <c r="F57" s="302"/>
      <c r="G57" s="2555"/>
      <c r="H57" s="2559"/>
      <c r="I57" s="1808"/>
      <c r="J57" s="3639">
        <f>IF(AND(J55="",J56=""),4,IF(项目基本情况!K6="上海银行",'结果表-住宅'!J56+1,'结果表-住宅'!J55+1))</f>
        <v>5</v>
      </c>
      <c r="K57" s="3639" t="s">
        <v>1367</v>
      </c>
      <c r="L57" s="2530" t="s">
        <v>1368</v>
      </c>
      <c r="M57" s="2531"/>
      <c r="N57" s="2532">
        <f ca="1">SUMIF(M52:M56,"&lt;9e307")</f>
        <v>0</v>
      </c>
      <c r="O57" s="2533"/>
      <c r="P57" s="2690" t="e">
        <f ca="1">N57/M49</f>
        <v>#VALUE!</v>
      </c>
    </row>
    <row r="58" spans="1:35" ht="24.75">
      <c r="A58" s="2335" t="s">
        <v>1352</v>
      </c>
      <c r="B58" s="3600" t="s">
        <v>1369</v>
      </c>
      <c r="C58" s="3574"/>
      <c r="D58" s="2324" t="e">
        <f ca="1">IF(H58="转让取得",C81,C97)</f>
        <v>#REF!</v>
      </c>
      <c r="E58" s="2334" t="s">
        <v>1364</v>
      </c>
      <c r="F58" s="302" t="s">
        <v>28</v>
      </c>
      <c r="G58" s="2555"/>
      <c r="H58" s="2558"/>
      <c r="I58" s="1808"/>
      <c r="J58" s="3639"/>
      <c r="K58" s="3639"/>
      <c r="L58" s="2530" t="s">
        <v>1370</v>
      </c>
      <c r="M58" s="2534"/>
      <c r="N58" s="2535" t="str">
        <f ca="1">NUMBERSTRING(INT(N57*10000),2)&amp;"元整"</f>
        <v>零元整</v>
      </c>
      <c r="O58" s="2536"/>
    </row>
    <row r="59" spans="1:35" ht="24.75" thickBot="1">
      <c r="A59" s="3642" t="s">
        <v>1371</v>
      </c>
      <c r="B59" s="3643"/>
      <c r="C59" s="364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40">
        <f>J57+1</f>
        <v>6</v>
      </c>
      <c r="K59" s="3639" t="s">
        <v>1372</v>
      </c>
      <c r="L59" s="2523" t="s">
        <v>1368</v>
      </c>
      <c r="M59" s="2537"/>
      <c r="N59" s="2538" t="e">
        <f ca="1">M49-N57</f>
        <v>#VALUE!</v>
      </c>
      <c r="O59" s="2539"/>
    </row>
    <row r="60" spans="1:35" ht="12" customHeight="1">
      <c r="A60" s="1809"/>
      <c r="B60" s="1747"/>
      <c r="C60" s="1747"/>
      <c r="D60" s="1747"/>
      <c r="E60" s="1578"/>
      <c r="F60" s="1808"/>
      <c r="G60" s="1808"/>
      <c r="H60" s="1810"/>
      <c r="I60" s="129"/>
      <c r="J60" s="3641"/>
      <c r="K60" s="3639"/>
      <c r="L60" s="2530" t="s">
        <v>1370</v>
      </c>
      <c r="M60" s="2534"/>
      <c r="N60" s="2535" t="e">
        <f ca="1">NUMBERSTRING(INT(N59*10000),2)&amp;"元整"</f>
        <v>#VALUE!</v>
      </c>
      <c r="O60" s="2536"/>
    </row>
    <row r="61" spans="1:35" ht="13.5" thickBot="1">
      <c r="A61" s="3587" t="s">
        <v>1373</v>
      </c>
      <c r="B61" s="3587"/>
      <c r="C61" s="3587"/>
      <c r="D61" s="3587"/>
      <c r="E61" s="3587"/>
      <c r="F61" s="1808"/>
      <c r="G61" s="1808"/>
      <c r="H61" s="1810"/>
      <c r="I61" s="129"/>
      <c r="J61" s="2523">
        <f>J59+1</f>
        <v>7</v>
      </c>
      <c r="K61" s="3639" t="s">
        <v>1374</v>
      </c>
      <c r="L61" s="3639"/>
      <c r="M61" s="2540"/>
      <c r="N61" s="2541" t="e">
        <f ca="1">ROUND(N59*10000/'数据-汇总表'!E3,0)</f>
        <v>#VALUE!</v>
      </c>
      <c r="O61" s="2542"/>
    </row>
    <row r="62" spans="1:35" ht="12.75">
      <c r="A62" s="3605" t="s">
        <v>1375</v>
      </c>
      <c r="B62" s="360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64"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4"/>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4"/>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64"/>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4"/>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6" t="s">
        <v>1394</v>
      </c>
      <c r="B70" s="3627"/>
      <c r="C70" s="3627"/>
      <c r="D70" s="3627"/>
      <c r="E70" s="3627"/>
      <c r="F70" s="3627"/>
      <c r="G70" s="3627"/>
      <c r="H70" s="362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5" t="s">
        <v>1375</v>
      </c>
      <c r="B71" s="360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0" t="s">
        <v>1402</v>
      </c>
      <c r="F76" s="3574"/>
      <c r="G76" s="3574"/>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4" t="s">
        <v>1406</v>
      </c>
      <c r="F78" s="3585"/>
      <c r="G78" s="3585"/>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6" t="s">
        <v>1410</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5" t="s">
        <v>1375</v>
      </c>
      <c r="B84" s="360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6" t="s">
        <v>2129</v>
      </c>
      <c r="H90" s="366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9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4" t="s">
        <v>1406</v>
      </c>
      <c r="F93" s="3585"/>
      <c r="G93" s="3585"/>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5" t="s">
        <v>1426</v>
      </c>
      <c r="F94" s="3596"/>
      <c r="G94" s="3596"/>
      <c r="H94" s="359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8" t="s">
        <v>1428</v>
      </c>
      <c r="B100" s="3569"/>
      <c r="C100" s="3569"/>
      <c r="D100" s="3586"/>
      <c r="E100" s="3569" t="s">
        <v>1429</v>
      </c>
      <c r="F100" s="3569"/>
      <c r="G100" s="3569"/>
      <c r="H100" s="3586"/>
      <c r="I100" s="129"/>
    </row>
    <row r="101" spans="1:35" ht="18.75" customHeight="1">
      <c r="A101" s="3647" t="s">
        <v>1430</v>
      </c>
      <c r="B101" s="3648"/>
      <c r="C101" s="2585" t="str">
        <f>C4</f>
        <v>成本法 (元)</v>
      </c>
      <c r="D101" s="2586" t="str">
        <f>D4</f>
        <v>比较法-住宅</v>
      </c>
      <c r="E101" s="3661" t="s">
        <v>1431</v>
      </c>
      <c r="F101" s="3618"/>
      <c r="G101" s="1827" t="s">
        <v>1432</v>
      </c>
      <c r="H101" s="2595" t="e">
        <f ca="1">H118</f>
        <v>#REF!</v>
      </c>
      <c r="I101" s="129"/>
    </row>
    <row r="102" spans="1:35" ht="18.75" customHeight="1">
      <c r="A102" s="3620" t="s">
        <v>1433</v>
      </c>
      <c r="B102" s="2584" t="s">
        <v>1432</v>
      </c>
      <c r="C102" s="2585">
        <f ca="1">IF(D32="楼面单价",ROUND(C19,0),C19)</f>
        <v>250.1917</v>
      </c>
      <c r="D102" s="2586">
        <f ca="1">IF(D32="楼面单价",ROUND(D19,0),D19)</f>
        <v>472.24180000000001</v>
      </c>
      <c r="E102" s="3661"/>
      <c r="F102" s="3618"/>
      <c r="G102" s="1827" t="s">
        <v>1434</v>
      </c>
      <c r="H102" s="2555" t="e">
        <f ca="1">I118</f>
        <v>#REF!</v>
      </c>
      <c r="I102" s="129"/>
    </row>
    <row r="103" spans="1:35" ht="42.75" customHeight="1">
      <c r="A103" s="3620"/>
      <c r="B103" s="2584" t="s">
        <v>1434</v>
      </c>
      <c r="C103" s="2587">
        <f ca="1">C20</f>
        <v>28466</v>
      </c>
      <c r="D103" s="2588">
        <f ca="1">D20</f>
        <v>53731</v>
      </c>
      <c r="E103" s="3655" t="s">
        <v>1435</v>
      </c>
      <c r="F103" s="3656"/>
      <c r="G103" s="1828" t="s">
        <v>1436</v>
      </c>
      <c r="H103" s="2595">
        <f>IF(D36="正常操作",H104+H105+H106,H105+H106)</f>
        <v>0</v>
      </c>
      <c r="I103" s="129"/>
    </row>
    <row r="104" spans="1:35" ht="18.75" customHeight="1">
      <c r="A104" s="362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7" t="str">
        <f>IF(项目基本情况!E8="已注销","——","3.房地产抵押价值")</f>
        <v>3.房地产抵押价值</v>
      </c>
      <c r="F107" s="3618"/>
      <c r="G107" s="1827" t="s">
        <v>1432</v>
      </c>
      <c r="H107" s="2595" t="e">
        <f ca="1">IF(E107="——","——",H101-H103)</f>
        <v>#REF!</v>
      </c>
      <c r="I107" s="129"/>
    </row>
    <row r="108" spans="1:35" ht="18.75" customHeight="1">
      <c r="A108" s="129"/>
      <c r="B108" s="129"/>
      <c r="C108" s="129"/>
      <c r="D108" s="129"/>
      <c r="E108" s="3617"/>
      <c r="F108" s="3618"/>
      <c r="G108" s="1827" t="s">
        <v>1434</v>
      </c>
      <c r="H108" s="2555">
        <f ca="1">IF(H107=H101,H102,ROUND(H107*10000/'数据-汇总表'!E3,0))</f>
        <v>0</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618"/>
      <c r="G109" s="1827" t="s">
        <v>1432</v>
      </c>
      <c r="H109" s="2598" t="str">
        <f>IF(E109="——","——",H101-H105-H106)</f>
        <v>——</v>
      </c>
      <c r="I109" s="129"/>
    </row>
    <row r="110" spans="1:35" ht="18.75" customHeight="1">
      <c r="A110" s="129"/>
      <c r="B110" s="129"/>
      <c r="C110" s="129"/>
      <c r="D110" s="129"/>
      <c r="E110" s="3617"/>
      <c r="F110" s="3618"/>
      <c r="G110" s="1827" t="s">
        <v>1434</v>
      </c>
      <c r="H110" s="2555" t="str">
        <f>IF(H109="——","——",ROUND(H109*10000/'数据-汇总表'!E3,0))</f>
        <v>——</v>
      </c>
      <c r="I110" s="129"/>
    </row>
    <row r="111" spans="1:35" ht="18.75" customHeight="1">
      <c r="A111" s="129"/>
      <c r="B111" s="129"/>
      <c r="C111" s="129"/>
      <c r="D111" s="129"/>
      <c r="E111" s="3649" t="str">
        <f>IF(项目基本情况!E9="抵押净值",IF(OR(项目基本情况!E8="已注销",项目基本情况!E8="房地产抵押价值"),"4.抵押净值","5.抵押净值"),"——")</f>
        <v>——</v>
      </c>
      <c r="F111" s="3619"/>
      <c r="G111" s="1827" t="s">
        <v>1432</v>
      </c>
      <c r="H111" s="2595" t="str">
        <f>IF(E111="——","——",N59)</f>
        <v>——</v>
      </c>
      <c r="I111" s="129"/>
    </row>
    <row r="112" spans="1:35" ht="18.75" customHeight="1" thickBot="1">
      <c r="A112" s="129"/>
      <c r="B112" s="129"/>
      <c r="C112" s="129"/>
      <c r="D112" s="129"/>
      <c r="E112" s="3650"/>
      <c r="F112" s="3651"/>
      <c r="G112" s="1830" t="s">
        <v>1434</v>
      </c>
      <c r="H112" s="2599" t="str">
        <f>IF(E111="——","——",N61)</f>
        <v>——</v>
      </c>
      <c r="I112" s="129"/>
    </row>
    <row r="113" spans="1:27" ht="18.75" customHeight="1">
      <c r="A113" s="129"/>
      <c r="B113" s="129"/>
      <c r="C113" s="129"/>
      <c r="D113" s="129"/>
      <c r="E113" s="3622" t="s">
        <v>1440</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2" t="s">
        <v>1442</v>
      </c>
      <c r="B115" s="3633"/>
      <c r="C115" s="3633"/>
      <c r="D115" s="3633"/>
      <c r="E115" s="3633"/>
      <c r="F115" s="3633"/>
      <c r="G115" s="3633"/>
      <c r="H115" s="3633"/>
      <c r="I115" s="3634"/>
    </row>
    <row r="116" spans="1:27" ht="27" customHeight="1">
      <c r="A116" s="3588" t="s">
        <v>1443</v>
      </c>
      <c r="B116" s="3623" t="s">
        <v>1444</v>
      </c>
      <c r="C116" s="3623" t="s">
        <v>1445</v>
      </c>
      <c r="D116" s="3636" t="s">
        <v>1446</v>
      </c>
      <c r="E116" s="3637"/>
      <c r="F116" s="3631" t="s">
        <v>1447</v>
      </c>
      <c r="G116" s="3631"/>
      <c r="H116" s="3588" t="s">
        <v>1448</v>
      </c>
      <c r="I116" s="3588"/>
    </row>
    <row r="117" spans="1:27" ht="18.75" customHeight="1">
      <c r="A117" s="3588"/>
      <c r="B117" s="3624"/>
      <c r="C117" s="3624"/>
      <c r="D117" s="2329" t="s">
        <v>1449</v>
      </c>
      <c r="E117" s="2329" t="s">
        <v>1450</v>
      </c>
      <c r="F117" s="2329" t="s">
        <v>1449</v>
      </c>
      <c r="G117" s="2329" t="s">
        <v>1451</v>
      </c>
      <c r="H117" s="2329" t="s">
        <v>1449</v>
      </c>
      <c r="I117" s="2329" t="s">
        <v>1451</v>
      </c>
    </row>
    <row r="118" spans="1:27" ht="24.75" customHeight="1">
      <c r="A118" s="2600" t="str">
        <f>项目基本情况!S2</f>
        <v>房地产</v>
      </c>
      <c r="B118" s="2329">
        <f>M18</f>
        <v>126.25999999999999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8" t="s">
        <v>1452</v>
      </c>
      <c r="B119" s="3588"/>
      <c r="C119" s="3588"/>
      <c r="D119" s="3628" t="e">
        <f ca="1">NUMBERSTRING(INT(D118*10000),2)&amp;"元整"</f>
        <v>#REF!</v>
      </c>
      <c r="E119" s="3630"/>
      <c r="F119" s="3628" t="e">
        <f ca="1">NUMBERSTRING(INT(F118*10000),2)&amp;"元整"</f>
        <v>#REF!</v>
      </c>
      <c r="G119" s="3630"/>
      <c r="H119" s="3628" t="e">
        <f ca="1">NUMBERSTRING(INT(H118*10000),2)&amp;"元整"</f>
        <v>#REF!</v>
      </c>
      <c r="I119" s="3630"/>
    </row>
    <row r="120" spans="1:27" ht="18.75" customHeight="1">
      <c r="A120" s="3652" t="str">
        <f>IF(项目基本情况!B9="房地产市场价值","",MID(E103,3,LEN(E103)-2))</f>
        <v>估价师知悉的法定优先受偿款</v>
      </c>
      <c r="B120" s="3653"/>
      <c r="C120" s="3654"/>
      <c r="D120" s="3652">
        <f>H103</f>
        <v>0</v>
      </c>
      <c r="E120" s="3653"/>
      <c r="F120" s="3653"/>
      <c r="G120" s="3653"/>
      <c r="H120" s="3653"/>
      <c r="I120" s="365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8" t="s">
        <v>1452</v>
      </c>
      <c r="B121" s="3629"/>
      <c r="C121" s="3630"/>
      <c r="D121" s="3628" t="str">
        <f>IF(D120=0,"零元整",NUMBERSTRING(INT(D120*10000),2)&amp;"元整")</f>
        <v>零元整</v>
      </c>
      <c r="E121" s="3629"/>
      <c r="F121" s="3629"/>
      <c r="G121" s="3629"/>
      <c r="H121" s="3629"/>
      <c r="I121" s="3630"/>
      <c r="AA121" s="725"/>
    </row>
    <row r="122" spans="1:27" ht="18.75" customHeight="1">
      <c r="A122" s="3619" t="str">
        <f>IF(项目基本情况!B9="房地产市场价值","",MID(E107,3,LEN(E107)-2))</f>
        <v>房地产抵押价值</v>
      </c>
      <c r="B122" s="3619"/>
      <c r="C122" s="3619"/>
      <c r="D122" s="3652" t="e">
        <f ca="1">H107</f>
        <v>#REF!</v>
      </c>
      <c r="E122" s="3653"/>
      <c r="F122" s="3653"/>
      <c r="G122" s="3653"/>
      <c r="H122" s="3653"/>
      <c r="I122" s="3654"/>
      <c r="AA122" s="725"/>
    </row>
    <row r="123" spans="1:27" ht="18.75" customHeight="1">
      <c r="A123" s="3588" t="s">
        <v>1452</v>
      </c>
      <c r="B123" s="3588"/>
      <c r="C123" s="3588"/>
      <c r="D123" s="3628" t="e">
        <f ca="1">NUMBERSTRING(INT(D122*10000),2)&amp;"元整"</f>
        <v>#REF!</v>
      </c>
      <c r="E123" s="3629"/>
      <c r="F123" s="3629"/>
      <c r="G123" s="3629"/>
      <c r="H123" s="3629"/>
      <c r="I123" s="3630"/>
      <c r="AA123" s="725"/>
    </row>
    <row r="124" spans="1:27" ht="18.75" customHeight="1">
      <c r="A124" s="3619" t="str">
        <f>IF(项目基本情况!B9="房地产市场价值","",MID(E109,3,LEN(E109)-2))</f>
        <v/>
      </c>
      <c r="B124" s="3619"/>
      <c r="C124" s="3619"/>
      <c r="D124" s="3652" t="str">
        <f>H109</f>
        <v>——</v>
      </c>
      <c r="E124" s="3653"/>
      <c r="F124" s="3653"/>
      <c r="G124" s="3653"/>
      <c r="H124" s="3653"/>
      <c r="I124" s="3654"/>
      <c r="AA124" s="725"/>
    </row>
    <row r="125" spans="1:27" ht="18.75" customHeight="1">
      <c r="A125" s="3588" t="s">
        <v>1452</v>
      </c>
      <c r="B125" s="3588"/>
      <c r="C125" s="3588"/>
      <c r="D125" s="3628" t="e">
        <f>NUMBERSTRING(INT(D124*10000),2)&amp;"元整"</f>
        <v>#VALUE!</v>
      </c>
      <c r="E125" s="3629"/>
      <c r="F125" s="3629"/>
      <c r="G125" s="3629"/>
      <c r="H125" s="3629"/>
      <c r="I125" s="3630"/>
      <c r="AA125" s="725"/>
    </row>
    <row r="126" spans="1:27" ht="18.75" customHeight="1">
      <c r="A126" s="3619" t="str">
        <f>IF(项目基本情况!B9="房地产市场价值","",MID(E111,3,LEN(E111)-2))</f>
        <v/>
      </c>
      <c r="B126" s="3619"/>
      <c r="C126" s="3619"/>
      <c r="D126" s="3652" t="str">
        <f>H111</f>
        <v>——</v>
      </c>
      <c r="E126" s="3653"/>
      <c r="F126" s="3653"/>
      <c r="G126" s="3653"/>
      <c r="H126" s="3653"/>
      <c r="I126" s="3654"/>
      <c r="AA126" s="725"/>
    </row>
    <row r="127" spans="1:27" ht="18.75" customHeight="1">
      <c r="A127" s="3588" t="s">
        <v>1452</v>
      </c>
      <c r="B127" s="3588"/>
      <c r="C127" s="3588"/>
      <c r="D127" s="3628" t="e">
        <f>NUMBERSTRING(INT(D126*10000),2)&amp;"元整"</f>
        <v>#VALUE!</v>
      </c>
      <c r="E127" s="3629"/>
      <c r="F127" s="3629"/>
      <c r="G127" s="3629"/>
      <c r="H127" s="3629"/>
      <c r="I127" s="3630"/>
      <c r="AA127" s="725"/>
    </row>
    <row r="128" spans="1:27" ht="21.75" customHeight="1">
      <c r="A128" s="3635" t="s">
        <v>1453</v>
      </c>
      <c r="B128" s="3635"/>
      <c r="C128" s="3635"/>
      <c r="D128" s="3635"/>
      <c r="E128" s="3635"/>
      <c r="F128" s="3635"/>
      <c r="G128" s="3635"/>
      <c r="H128" s="3635"/>
      <c r="I128" s="363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20922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1657057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14062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14062</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87.89</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38.36999999999999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126.25999999999999</v>
      </c>
      <c r="E19" s="211">
        <f>'数据-取费表'!B31</f>
        <v>200</v>
      </c>
      <c r="F19" s="231"/>
      <c r="G19" s="1856"/>
    </row>
    <row r="20" spans="1:7" s="214" customFormat="1" ht="13.5" customHeight="1">
      <c r="A20" s="255" t="s">
        <v>1493</v>
      </c>
      <c r="B20" s="210" t="s">
        <v>1494</v>
      </c>
      <c r="C20" s="232">
        <f ca="1">ROUND((C5+C19)*F20,0)</f>
        <v>422</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1388</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1368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3332</v>
      </c>
      <c r="D27" s="235">
        <f ca="1">C29</f>
        <v>4.5999999999999999E-3</v>
      </c>
      <c r="E27" s="236" t="s">
        <v>1514</v>
      </c>
      <c r="F27" s="246">
        <f ca="1">IF(B1="",'数据-取费表'!Q16,INDIRECT("'数据-取费表'!q"&amp;$G$1))</f>
        <v>0.23</v>
      </c>
      <c r="G27" s="247" t="s">
        <v>1515</v>
      </c>
    </row>
    <row r="28" spans="1:7" s="214" customFormat="1" ht="13.5" customHeight="1">
      <c r="A28" s="780" t="s">
        <v>346</v>
      </c>
      <c r="B28" s="248" t="s">
        <v>1516</v>
      </c>
      <c r="C28" s="249">
        <f ca="1">ROUND((C5+C19+C20)*F27*'数据-取费表'!B21/'数据-取费表'!B20,0)</f>
        <v>3332</v>
      </c>
      <c r="D28" s="235"/>
      <c r="E28" s="236"/>
      <c r="F28" s="246"/>
      <c r="G28" s="247"/>
    </row>
    <row r="29" spans="1:7" s="214" customFormat="1" ht="13.5" customHeight="1">
      <c r="A29" s="780" t="s">
        <v>347</v>
      </c>
      <c r="B29" s="248" t="s">
        <v>1517</v>
      </c>
      <c r="C29" s="238">
        <f ca="1">ROUND(C21*F27*'数据-取费表'!B21/'数据-取费表'!B20,4)</f>
        <v>4.5999999999999999E-3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20852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44</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0.02</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0.02</v>
      </c>
      <c r="G36" s="260" t="s">
        <v>1530</v>
      </c>
    </row>
    <row r="37" spans="1:7" s="258" customFormat="1" ht="13.5" customHeight="1">
      <c r="A37" s="780" t="s">
        <v>353</v>
      </c>
      <c r="B37" s="215" t="s">
        <v>1531</v>
      </c>
      <c r="C37" s="249">
        <f ca="1">ROUND(E37*D37*F34/10000,0)</f>
        <v>3</v>
      </c>
      <c r="D37" s="217">
        <f ca="1">D19</f>
        <v>126.25999999999999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68" t="s">
        <v>1544</v>
      </c>
    </row>
    <row r="43" spans="1:7" ht="13.5" customHeight="1">
      <c r="A43" s="780" t="s">
        <v>347</v>
      </c>
      <c r="B43" s="215" t="s">
        <v>1545</v>
      </c>
      <c r="C43" s="238">
        <f ca="1">ROUND(IF('数据-取费表'!B22&lt;=1,C39*F22*'数据-取费表'!B21/2,C39*(POWER((1+F22),'数据-取费表'!B21/2)-1)),0)</f>
        <v>0</v>
      </c>
      <c r="D43" s="238"/>
      <c r="E43" s="238"/>
      <c r="F43" s="239"/>
      <c r="G43" s="3669"/>
    </row>
    <row r="44" spans="1:7" ht="13.5" customHeight="1">
      <c r="A44" s="780" t="s">
        <v>348</v>
      </c>
      <c r="B44" s="215" t="s">
        <v>1546</v>
      </c>
      <c r="C44" s="238">
        <f ca="1">ROUND(IF('数据-取费表'!B22&lt;=1,C40*F22*'数据-取费表'!B21/2,C40*(POWER((1+F22),'数据-取费表'!B21/2)-1)),4)</f>
        <v>1E-3</v>
      </c>
      <c r="D44" s="238"/>
      <c r="E44" s="238"/>
      <c r="F44" s="239"/>
      <c r="G44" s="3670"/>
    </row>
    <row r="45" spans="1:7" s="214" customFormat="1" ht="13.5" customHeight="1">
      <c r="A45" s="255" t="s">
        <v>1547</v>
      </c>
      <c r="B45" s="244" t="s">
        <v>1513</v>
      </c>
      <c r="C45" s="245">
        <f ca="1">C46</f>
        <v>12</v>
      </c>
      <c r="D45" s="235">
        <f ca="1">C47</f>
        <v>4.5999999999999999E-3</v>
      </c>
      <c r="E45" s="236" t="s">
        <v>1539</v>
      </c>
      <c r="F45" s="246">
        <f ca="1">F27</f>
        <v>0.23</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4.5999999999999999E-3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72</v>
      </c>
      <c r="D49" s="232"/>
      <c r="E49" s="232"/>
      <c r="F49" s="264"/>
      <c r="G49" s="234" t="s">
        <v>1554</v>
      </c>
    </row>
    <row r="50" spans="1:7" s="258" customFormat="1" ht="24">
      <c r="A50" s="255" t="s">
        <v>1555</v>
      </c>
      <c r="B50" s="210" t="s">
        <v>1556</v>
      </c>
      <c r="C50" s="232"/>
      <c r="D50" s="232"/>
      <c r="E50" s="232"/>
      <c r="F50" s="264">
        <f>IF('数据-取费表'!B24=0,'数据-取费表'!N16,1)</f>
        <v>0.96699999999999997</v>
      </c>
      <c r="G50" s="247" t="s">
        <v>1557</v>
      </c>
    </row>
    <row r="51" spans="1:7" ht="16.5" customHeight="1">
      <c r="A51" s="255" t="s">
        <v>1558</v>
      </c>
      <c r="B51" s="210" t="s">
        <v>1559</v>
      </c>
      <c r="C51" s="232">
        <f ca="1">ROUND(C49*F50,0)</f>
        <v>70</v>
      </c>
      <c r="D51" s="232"/>
      <c r="E51" s="232"/>
      <c r="F51" s="264"/>
      <c r="G51" s="234" t="s">
        <v>1560</v>
      </c>
    </row>
    <row r="52" spans="1:7" s="208" customFormat="1" ht="16.5" thickBot="1">
      <c r="A52" s="265" t="s">
        <v>1561</v>
      </c>
      <c r="B52" s="266"/>
      <c r="C52" s="267">
        <f ca="1">C31+C51</f>
        <v>20922</v>
      </c>
      <c r="D52" s="266"/>
      <c r="E52" s="266"/>
      <c r="F52" s="266"/>
      <c r="G52" s="268"/>
    </row>
    <row r="55" spans="1:7" ht="15">
      <c r="B55" s="270" t="s">
        <v>1562</v>
      </c>
      <c r="C55" s="271"/>
    </row>
    <row r="56" spans="1:7">
      <c r="B56" s="273" t="s">
        <v>802</v>
      </c>
      <c r="C56" s="275">
        <f ca="1">1-C57</f>
        <v>0.997</v>
      </c>
    </row>
    <row r="57" spans="1:7">
      <c r="B57" s="273" t="s">
        <v>803</v>
      </c>
      <c r="C57" s="274">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5" t="str">
        <f>项目基本情况!B1</f>
        <v>预评估</v>
      </c>
      <c r="C37" s="3485"/>
      <c r="D37" s="3485"/>
      <c r="E37" s="3485"/>
      <c r="F37" s="3485"/>
      <c r="G37" s="3485"/>
      <c r="H37" s="3485"/>
      <c r="I37" s="348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J45" sqref="J4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3379</v>
      </c>
      <c r="D1" s="1362" t="s">
        <v>43</v>
      </c>
      <c r="E1" s="1363" t="s">
        <v>678</v>
      </c>
      <c r="F1" s="1062">
        <f ca="1">J53</f>
        <v>64.349999999999994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186.4991</v>
      </c>
      <c r="C2" s="1387" t="s">
        <v>879</v>
      </c>
      <c r="D2" s="1471">
        <f ca="1">C40+J29+L46</f>
        <v>1864991</v>
      </c>
      <c r="E2" s="1388" t="s">
        <v>880</v>
      </c>
      <c r="F2" s="1389"/>
      <c r="G2" s="2706"/>
      <c r="H2" s="2695"/>
      <c r="I2" s="2695"/>
      <c r="J2" s="2695"/>
      <c r="K2" s="2696"/>
      <c r="L2" s="2695"/>
      <c r="M2" s="2695"/>
    </row>
    <row r="3" spans="1:37" ht="18" customHeight="1" thickBot="1">
      <c r="A3" s="1390" t="s">
        <v>881</v>
      </c>
      <c r="B3" s="1391">
        <f ca="1">IF(ISERROR(D2/F43),0,ROUND(D2/F43,0))</f>
        <v>21220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62778</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62700</v>
      </c>
      <c r="D6" s="155" t="s">
        <v>2106</v>
      </c>
      <c r="E6" s="302" t="s">
        <v>696</v>
      </c>
      <c r="F6" s="303">
        <f ca="1">INDIRECT("'数据-取费表'!u"&amp;$G$1)</f>
        <v>5500</v>
      </c>
      <c r="G6" s="1384"/>
      <c r="H6" s="1069" t="s">
        <v>398</v>
      </c>
      <c r="I6" s="3671" t="s">
        <v>694</v>
      </c>
      <c r="J6" s="301">
        <f ca="1">ROUND(M6*M8*M7*(1-M9),0)</f>
        <v>0</v>
      </c>
      <c r="K6" s="1376"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1</v>
      </c>
      <c r="G7" s="1384"/>
      <c r="H7" s="304"/>
      <c r="I7" s="3672"/>
      <c r="J7" s="306"/>
      <c r="K7" s="307"/>
      <c r="L7" s="302" t="s">
        <v>697</v>
      </c>
      <c r="M7" s="303">
        <f ca="1">F7</f>
        <v>1</v>
      </c>
    </row>
    <row r="8" spans="1:37" ht="18" customHeight="1">
      <c r="A8" s="304"/>
      <c r="B8" s="3672"/>
      <c r="C8" s="306"/>
      <c r="D8" s="307"/>
      <c r="E8" s="302" t="s">
        <v>698</v>
      </c>
      <c r="F8" s="303">
        <f ca="1">INDIRECT("'数据-取费表'!ai"&amp;$G$1)</f>
        <v>12</v>
      </c>
      <c r="G8" s="1384"/>
      <c r="H8" s="304"/>
      <c r="I8" s="3672"/>
      <c r="J8" s="306"/>
      <c r="K8" s="307"/>
      <c r="L8" s="302" t="s">
        <v>698</v>
      </c>
      <c r="M8" s="303">
        <f ca="1">INDIRECT("'数据-取费表'!ai"&amp;$G$1)</f>
        <v>12</v>
      </c>
    </row>
    <row r="9" spans="1:37" ht="18" customHeight="1">
      <c r="A9" s="304"/>
      <c r="B9" s="3673"/>
      <c r="C9" s="306"/>
      <c r="D9" s="307"/>
      <c r="E9" s="302" t="s">
        <v>699</v>
      </c>
      <c r="F9" s="312">
        <f ca="1">INDIRECT("'数据-取费表'!w"&amp;$G$1)</f>
        <v>0.05</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78</v>
      </c>
      <c r="D10" s="1366" t="s">
        <v>2116</v>
      </c>
      <c r="E10" s="313" t="s">
        <v>701</v>
      </c>
      <c r="F10" s="1116" t="s">
        <v>3388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480197</v>
      </c>
      <c r="D13" s="1081" t="s">
        <v>705</v>
      </c>
      <c r="E13" s="1081" t="s">
        <v>706</v>
      </c>
      <c r="F13" s="1082">
        <f ca="1">INDIRECT("'数据-取费表'!y"&amp;$G$1)</f>
        <v>0.96699999999999997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307615</v>
      </c>
      <c r="D14" s="1345" t="s">
        <v>708</v>
      </c>
      <c r="E14" s="1342"/>
      <c r="F14" s="319"/>
      <c r="G14" s="1384"/>
      <c r="H14" s="982" t="s">
        <v>398</v>
      </c>
      <c r="I14" s="302" t="s">
        <v>709</v>
      </c>
      <c r="J14" s="21">
        <f ca="1">C29</f>
        <v>496584</v>
      </c>
      <c r="K14" s="12"/>
      <c r="L14" s="807"/>
      <c r="M14" s="808"/>
    </row>
    <row r="15" spans="1:37" s="1397" customFormat="1" ht="18" customHeight="1" thickBot="1">
      <c r="A15" s="982" t="s">
        <v>399</v>
      </c>
      <c r="B15" s="302" t="s">
        <v>710</v>
      </c>
      <c r="C15" s="21">
        <f ca="1">ROUND(C14*F15,0)</f>
        <v>6152</v>
      </c>
      <c r="D15" s="320" t="s">
        <v>711</v>
      </c>
      <c r="E15" s="320" t="s">
        <v>712</v>
      </c>
      <c r="F15" s="321">
        <f>'数据-取费表'!B33</f>
        <v>0.02</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6152</v>
      </c>
      <c r="D16" s="302" t="s">
        <v>711</v>
      </c>
      <c r="E16" s="302" t="s">
        <v>712</v>
      </c>
      <c r="F16" s="322">
        <f ca="1">IF(INDIRECT("'数据-取费表'!c"&amp;$G$1)="住宅",'数据-取费表'!B34,0)</f>
        <v>0.02</v>
      </c>
      <c r="G16" s="1384"/>
      <c r="H16" s="1079" t="s">
        <v>393</v>
      </c>
      <c r="I16" s="1080" t="s">
        <v>714</v>
      </c>
      <c r="J16" s="310">
        <f ca="1">ROUND(J17+J22+J23+J24,0)</f>
        <v>4966</v>
      </c>
      <c r="K16" s="1087" t="s">
        <v>715</v>
      </c>
      <c r="L16" s="1088"/>
      <c r="M16" s="1072"/>
    </row>
    <row r="17" spans="1:37" s="1397" customFormat="1" ht="18" customHeight="1">
      <c r="A17" s="982" t="s">
        <v>681</v>
      </c>
      <c r="B17" s="302" t="s">
        <v>716</v>
      </c>
      <c r="C17" s="21">
        <f ca="1">ROUND(F17*(F43+INDIRECT("'数据-取费表'!S"&amp;$G$1)),0)</f>
        <v>17578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4614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342111</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10263</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4966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16737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-4966</v>
      </c>
      <c r="K25" s="1095" t="s">
        <v>753</v>
      </c>
      <c r="L25" s="1096"/>
      <c r="M25" s="1097"/>
    </row>
    <row r="26" spans="1:37" ht="18" customHeight="1">
      <c r="A26" s="982" t="s">
        <v>397</v>
      </c>
      <c r="B26" s="302" t="s">
        <v>754</v>
      </c>
      <c r="C26" s="21">
        <f ca="1">ROUND((C19+C20)*F26,0)</f>
        <v>88094</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496584</v>
      </c>
      <c r="D29" s="1092"/>
      <c r="E29" s="1090"/>
      <c r="F29" s="1093"/>
      <c r="G29" s="1396"/>
      <c r="H29" s="334" t="s">
        <v>396</v>
      </c>
      <c r="I29" s="335" t="s">
        <v>768</v>
      </c>
      <c r="J29" s="336">
        <f ca="1">ROUND(J26/(1+F40)^F41,0)</f>
        <v>0</v>
      </c>
      <c r="K29" s="337" t="s">
        <v>769</v>
      </c>
      <c r="L29" s="338"/>
      <c r="M29" s="339">
        <f ca="1">INDIRECT("'数据-取费表'!k"&amp;$G$1)</f>
        <v>87.89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16584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10510</v>
      </c>
      <c r="D31" s="1345" t="s">
        <v>720</v>
      </c>
      <c r="E31" s="1344" t="s">
        <v>770</v>
      </c>
      <c r="F31" s="2315">
        <f ca="1">IF(项目基本情况!B11="企业","——",IF(M47="住宅",IF(F6*F7*F8/12/(1+'数据-取费表'!F30)&gt;100000,4%,2.5%),IF(F6*F7*F8/12/(1+'数据-取费表'!F30)&gt;100000,12%,7%)))</f>
        <v>2.5000000000000001E-2</v>
      </c>
      <c r="G31" s="1384"/>
      <c r="H31" s="2808" t="s">
        <v>2310</v>
      </c>
      <c r="I31" s="1398"/>
      <c r="J31" s="1399"/>
      <c r="K31" s="2475"/>
      <c r="L31" s="2698"/>
      <c r="M31" s="2699"/>
    </row>
    <row r="32" spans="1:37" ht="18" customHeight="1">
      <c r="A32" s="982" t="s">
        <v>397</v>
      </c>
      <c r="B32" s="302" t="s">
        <v>723</v>
      </c>
      <c r="C32" s="21">
        <f ca="1">IF(项目基本情况!B11="自然人","——",ROUND(C6*F32/(1+'数据-取费表'!C42),0))</f>
        <v>3344</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7166</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4966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480</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628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46194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1864991</v>
      </c>
      <c r="D40" s="324" t="s">
        <v>758</v>
      </c>
      <c r="E40" s="302" t="s">
        <v>759</v>
      </c>
      <c r="F40" s="312">
        <f ca="1">INDIRECT("'数据-取费表'!I"&amp;$G$1)</f>
        <v>4.4999999999999998E-2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64.349999999999994</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21220</v>
      </c>
      <c r="D43" s="337" t="s">
        <v>777</v>
      </c>
      <c r="E43" s="338" t="s">
        <v>778</v>
      </c>
      <c r="F43" s="339">
        <f ca="1">INDIRECT("'数据-取费表'!k"&amp;$G$1)</f>
        <v>87.89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-197.88890000000001</v>
      </c>
      <c r="D45" s="3432" t="s">
        <v>3358</v>
      </c>
      <c r="E45" s="1400"/>
      <c r="F45" s="1400"/>
      <c r="O45" s="1403" t="s">
        <v>808</v>
      </c>
      <c r="P45" s="1461"/>
      <c r="Q45" s="1461"/>
      <c r="R45" s="1461"/>
    </row>
    <row r="46" spans="1:18" s="1384" customFormat="1" ht="13.5" thickBot="1">
      <c r="A46" s="1404" t="s">
        <v>809</v>
      </c>
      <c r="C46" s="1405">
        <f ca="1">ROUND(C45,0)</f>
        <v>-198</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3389</v>
      </c>
      <c r="K47" s="1416" t="s">
        <v>816</v>
      </c>
      <c r="L47" s="1417">
        <f ca="1">INDIRECT("'数据-取费表'!d"&amp;$G$1)</f>
        <v>70</v>
      </c>
      <c r="M47" s="1380" t="str">
        <f>IF(ISNUMBER(FIND("住宅",C1)),"住宅","非住宅")</f>
        <v>住宅</v>
      </c>
      <c r="O47" s="1418" t="s">
        <v>403</v>
      </c>
      <c r="P47" s="1419" t="s">
        <v>817</v>
      </c>
      <c r="Q47" s="1420">
        <f ca="1">C40+J29</f>
        <v>1864991</v>
      </c>
      <c r="R47" s="1420" t="s">
        <v>818</v>
      </c>
    </row>
    <row r="48" spans="1:18" s="1384" customFormat="1" ht="28.5" thickBot="1">
      <c r="A48" s="1110" t="s">
        <v>438</v>
      </c>
      <c r="B48" s="300" t="s">
        <v>692</v>
      </c>
      <c r="C48" s="1359">
        <f ca="1">C49+C53+C55</f>
        <v>0</v>
      </c>
      <c r="D48" s="1112"/>
      <c r="E48" s="1113"/>
      <c r="F48" s="962"/>
      <c r="G48" s="722"/>
      <c r="H48" s="723"/>
      <c r="I48" s="1421" t="s">
        <v>819</v>
      </c>
      <c r="J48" s="1422" t="s">
        <v>3390</v>
      </c>
      <c r="K48" s="1423" t="s">
        <v>820</v>
      </c>
      <c r="L48" s="1424">
        <f ca="1">INDIRECT("'数据-取费表'!f"&amp;$G$1)</f>
        <v>64.349999999999994</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2021</v>
      </c>
      <c r="K49" s="1423" t="s">
        <v>824</v>
      </c>
      <c r="L49" s="1427"/>
      <c r="O49" s="1428" t="s">
        <v>405</v>
      </c>
      <c r="P49" s="1419" t="s">
        <v>825</v>
      </c>
      <c r="Q49" s="1420">
        <f ca="1">C29</f>
        <v>496584</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58</v>
      </c>
      <c r="K51" s="1434" t="s">
        <v>830</v>
      </c>
      <c r="L51" s="1435">
        <f ca="1">ROUND(-PV(INDIRECT("'数据-取费表'!h"&amp;$G$1),J51,(C39-C13*C76),0),0)</f>
        <v>327125</v>
      </c>
      <c r="M51" s="1436"/>
      <c r="O51" s="1428" t="s">
        <v>407</v>
      </c>
      <c r="P51" s="1419" t="s">
        <v>831</v>
      </c>
      <c r="Q51" s="1431">
        <f>J52</f>
        <v>5.5E-2</v>
      </c>
      <c r="R51" s="1420"/>
    </row>
    <row r="52" spans="1:18" s="1384" customFormat="1" ht="13.5" thickBot="1">
      <c r="A52" s="977"/>
      <c r="B52" s="979"/>
      <c r="C52" s="980"/>
      <c r="D52" s="953"/>
      <c r="E52" s="981" t="s">
        <v>699</v>
      </c>
      <c r="F52" s="1054"/>
      <c r="I52" s="1437" t="s">
        <v>832</v>
      </c>
      <c r="J52" s="1438">
        <v>5.5E-2</v>
      </c>
      <c r="K52" s="1437" t="s">
        <v>833</v>
      </c>
      <c r="L52" s="1438"/>
      <c r="O52" s="1428" t="s">
        <v>408</v>
      </c>
      <c r="P52" s="1419" t="s">
        <v>834</v>
      </c>
      <c r="Q52" s="1420">
        <f ca="1">J53</f>
        <v>64.349999999999994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64.349999999999994</v>
      </c>
      <c r="K53" s="3674" t="s">
        <v>837</v>
      </c>
      <c r="L53" s="3675"/>
      <c r="O53" s="1418" t="s">
        <v>409</v>
      </c>
      <c r="P53" s="1419" t="s">
        <v>838</v>
      </c>
      <c r="Q53" s="1420">
        <f ca="1">Q47+Q48</f>
        <v>1864991</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480197</v>
      </c>
      <c r="D56" s="1447"/>
      <c r="E56" s="1448"/>
      <c r="F56" s="1440"/>
      <c r="I56" s="1449" t="s">
        <v>842</v>
      </c>
      <c r="J56" s="1450" t="s">
        <v>3383</v>
      </c>
      <c r="K56" s="1421" t="s">
        <v>843</v>
      </c>
      <c r="L56" s="1424">
        <f ca="1">IF(L48&lt;J51,"——",L48-J51)</f>
        <v>6.3499999999999943</v>
      </c>
      <c r="O56" s="1418" t="s">
        <v>403</v>
      </c>
      <c r="P56" s="1419" t="s">
        <v>817</v>
      </c>
      <c r="Q56" s="1420">
        <f ca="1">C40+J29</f>
        <v>1864991</v>
      </c>
      <c r="R56" s="1420" t="s">
        <v>818</v>
      </c>
    </row>
    <row r="57" spans="1:18" s="1384" customFormat="1" ht="24.75" thickBot="1">
      <c r="A57" s="1451"/>
      <c r="B57" s="950" t="s">
        <v>767</v>
      </c>
      <c r="C57" s="238">
        <f ca="1">C29</f>
        <v>496584</v>
      </c>
      <c r="D57" s="1452"/>
      <c r="E57" s="1453"/>
      <c r="F57" s="1454"/>
      <c r="I57" s="1455" t="s">
        <v>844</v>
      </c>
      <c r="J57" s="1456" t="str">
        <f ca="1">IF(OR(M47="住宅",J51&lt;L48,J56="是"),"——",J51-L48)</f>
        <v>——</v>
      </c>
      <c r="K57" s="1421" t="s">
        <v>892</v>
      </c>
      <c r="L57" s="1424">
        <f ca="1">IF(L48&lt;J51,"——",IF(L55="比较法",L49,IF(L55="基准地价",L50,L51)))</f>
        <v>327125</v>
      </c>
      <c r="O57" s="1418" t="s">
        <v>404</v>
      </c>
      <c r="P57" s="1419" t="s">
        <v>893</v>
      </c>
      <c r="Q57" s="1420">
        <f ca="1">L60</f>
        <v>0</v>
      </c>
      <c r="R57" s="1420" t="s">
        <v>894</v>
      </c>
    </row>
    <row r="58" spans="1:18" s="1384" customFormat="1" ht="24.75" thickBot="1">
      <c r="A58" s="315" t="s">
        <v>393</v>
      </c>
      <c r="B58" s="958" t="s">
        <v>714</v>
      </c>
      <c r="C58" s="316">
        <f ca="1">ROUND(C59+C64+C65+C66,0)</f>
        <v>5446</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1864991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4966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480</v>
      </c>
      <c r="D65" s="964" t="s">
        <v>743</v>
      </c>
      <c r="E65" s="950" t="s">
        <v>744</v>
      </c>
      <c r="F65" s="330">
        <f t="shared" ca="1" si="0"/>
        <v>1E-3</v>
      </c>
      <c r="I65" s="1462" t="s">
        <v>867</v>
      </c>
      <c r="J65" s="1463">
        <v>40</v>
      </c>
      <c r="K65" s="1463">
        <v>30</v>
      </c>
      <c r="L65" s="1463">
        <v>50</v>
      </c>
      <c r="M65" s="1465">
        <v>0.02</v>
      </c>
      <c r="O65" s="1418" t="s">
        <v>403</v>
      </c>
      <c r="P65" s="1419" t="s">
        <v>868</v>
      </c>
      <c r="Q65" s="1420">
        <f ca="1">C40+J29</f>
        <v>1864991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-5446</v>
      </c>
      <c r="D67" s="963" t="s">
        <v>753</v>
      </c>
      <c r="E67" s="968"/>
      <c r="F67" s="969"/>
      <c r="O67" s="1428" t="s">
        <v>405</v>
      </c>
      <c r="P67" s="1419" t="s">
        <v>850</v>
      </c>
      <c r="Q67" s="1466">
        <f ca="1">L51</f>
        <v>327125</v>
      </c>
      <c r="R67" s="1420" t="s">
        <v>870</v>
      </c>
    </row>
    <row r="68" spans="1:18" s="1384" customFormat="1" ht="16.5" thickBot="1">
      <c r="A68" s="947" t="s">
        <v>395</v>
      </c>
      <c r="B68" s="948" t="s">
        <v>774</v>
      </c>
      <c r="C68" s="301">
        <f ca="1">ROUND(C67*(1-((1+F70)/(1+F68))^F69)/(F68-F70),0)</f>
        <v>-113898</v>
      </c>
      <c r="D68" s="965" t="s">
        <v>758</v>
      </c>
      <c r="E68" s="950" t="s">
        <v>759</v>
      </c>
      <c r="F68" s="312">
        <f ca="1">F40</f>
        <v>4.4999999999999998E-2</v>
      </c>
      <c r="O68" s="1428" t="s">
        <v>406</v>
      </c>
      <c r="P68" s="1467" t="s">
        <v>871</v>
      </c>
      <c r="Q68" s="1420">
        <f ca="1">ROUND(Q69-Q70*Q71,0)</f>
        <v>17382</v>
      </c>
      <c r="R68" s="1420" t="s">
        <v>414</v>
      </c>
    </row>
    <row r="69" spans="1:18" s="1384" customFormat="1" ht="13.5" thickBot="1">
      <c r="A69" s="951"/>
      <c r="B69" s="952"/>
      <c r="C69" s="306"/>
      <c r="D69" s="970" t="s">
        <v>762</v>
      </c>
      <c r="E69" s="950" t="s">
        <v>763</v>
      </c>
      <c r="F69" s="333">
        <f ca="1">F41</f>
        <v>64.349999999999994</v>
      </c>
      <c r="O69" s="1428" t="s">
        <v>411</v>
      </c>
      <c r="P69" s="1467" t="s">
        <v>872</v>
      </c>
      <c r="Q69" s="1420">
        <f ca="1">C39</f>
        <v>46194</v>
      </c>
      <c r="R69" s="1420" t="s">
        <v>818</v>
      </c>
    </row>
    <row r="70" spans="1:18" s="1384" customFormat="1" ht="13.5" thickBot="1">
      <c r="A70" s="954"/>
      <c r="B70" s="955"/>
      <c r="C70" s="310"/>
      <c r="D70" s="966"/>
      <c r="E70" s="950" t="s">
        <v>766</v>
      </c>
      <c r="F70" s="1054"/>
      <c r="O70" s="1428" t="s">
        <v>412</v>
      </c>
      <c r="P70" s="1467" t="s">
        <v>873</v>
      </c>
      <c r="Q70" s="1420">
        <f ca="1">C13</f>
        <v>480197</v>
      </c>
      <c r="R70" s="1420" t="s">
        <v>818</v>
      </c>
    </row>
    <row r="71" spans="1:18" s="1384" customFormat="1" ht="13.5" thickBot="1">
      <c r="A71" s="971" t="s">
        <v>396</v>
      </c>
      <c r="B71" s="972" t="s">
        <v>776</v>
      </c>
      <c r="C71" s="336">
        <f ca="1">ROUND(C68/F71,0)</f>
        <v>-1296</v>
      </c>
      <c r="D71" s="973" t="s">
        <v>777</v>
      </c>
      <c r="E71" s="974" t="s">
        <v>778</v>
      </c>
      <c r="F71" s="339">
        <f ca="1">F43</f>
        <v>87.89</v>
      </c>
      <c r="O71" s="1428" t="s">
        <v>413</v>
      </c>
      <c r="P71" s="1467" t="s">
        <v>874</v>
      </c>
      <c r="Q71" s="1431">
        <f ca="1">C76</f>
        <v>0.06</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28812</v>
      </c>
      <c r="D75" s="1384"/>
      <c r="E75" s="1384"/>
      <c r="F75" s="1384"/>
      <c r="K75" s="1402"/>
      <c r="L75" s="1384"/>
      <c r="O75" s="1418" t="s">
        <v>409</v>
      </c>
      <c r="P75" s="1419" t="s">
        <v>838</v>
      </c>
      <c r="Q75" s="1420">
        <f ca="1">Q65+Q66</f>
        <v>1864991</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0.376</v>
      </c>
    </row>
    <row r="80" spans="1:18">
      <c r="B80" s="340" t="s">
        <v>800</v>
      </c>
      <c r="C80" s="274">
        <f ca="1">ROUND(C75/C39,3)</f>
        <v>0.624</v>
      </c>
    </row>
    <row r="81" spans="2:3">
      <c r="B81" s="270" t="s">
        <v>801</v>
      </c>
      <c r="C81" s="238"/>
    </row>
    <row r="82" spans="2:3">
      <c r="B82" s="273" t="s">
        <v>802</v>
      </c>
      <c r="C82" s="275">
        <f ca="1">1-C83</f>
        <v>0.74299999999999999</v>
      </c>
    </row>
    <row r="83" spans="2:3">
      <c r="B83" s="273" t="s">
        <v>803</v>
      </c>
      <c r="C83" s="274">
        <f ca="1">ROUND(C13/C40,3)</f>
        <v>0.25700000000000001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31" zoomScale="90" zoomScaleNormal="60" zoomScaleSheetLayoutView="90" workbookViewId="0">
      <selection activeCell="H66" sqref="H66:H6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3379</v>
      </c>
      <c r="E1" s="3426" t="s">
        <v>3403</v>
      </c>
      <c r="F1" s="1879" t="s">
        <v>3404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472.24180000000001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53731</v>
      </c>
      <c r="C3" s="354" t="s">
        <v>1665</v>
      </c>
      <c r="D3" s="353">
        <f>IF(D1="",'数据-汇总表'!E3,SUMIF('数据-汇总表'!$C19:$C33,D1,'数据-汇总表'!$E19:$E33))</f>
        <v>87.89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4" t="s">
        <v>1667</v>
      </c>
      <c r="D4" s="3695"/>
      <c r="E4" s="3696" t="s">
        <v>1668</v>
      </c>
      <c r="F4" s="3697"/>
      <c r="G4" s="3694" t="s">
        <v>1669</v>
      </c>
      <c r="H4" s="3695"/>
      <c r="I4" s="3694" t="s">
        <v>1670</v>
      </c>
      <c r="J4" s="3695"/>
      <c r="K4" s="1889" t="s">
        <v>1671</v>
      </c>
      <c r="L4" s="2715"/>
      <c r="M4" s="2716"/>
      <c r="N4" s="2716"/>
      <c r="O4" s="2716"/>
      <c r="P4" s="3698" t="s">
        <v>1672</v>
      </c>
      <c r="Q4" s="3699"/>
      <c r="R4" s="3704" t="s">
        <v>1668</v>
      </c>
      <c r="S4" s="3705"/>
      <c r="T4" s="3704" t="s">
        <v>1669</v>
      </c>
      <c r="U4" s="3705"/>
      <c r="V4" s="3710" t="s">
        <v>1670</v>
      </c>
      <c r="W4" s="3710"/>
      <c r="X4" s="1355"/>
      <c r="Y4" s="3704" t="s">
        <v>1672</v>
      </c>
      <c r="Z4" s="3705"/>
      <c r="AA4" s="3691" t="s">
        <v>1668</v>
      </c>
      <c r="AB4" s="3691" t="s">
        <v>1669</v>
      </c>
      <c r="AC4" s="3691" t="s">
        <v>1670</v>
      </c>
    </row>
    <row r="5" spans="1:29" ht="15">
      <c r="A5" s="358"/>
      <c r="B5" s="359"/>
      <c r="C5" s="3713" t="s">
        <v>1673</v>
      </c>
      <c r="D5" s="3714"/>
      <c r="E5" s="3720" t="s">
        <v>1674</v>
      </c>
      <c r="F5" s="3721"/>
      <c r="G5" s="3713" t="s">
        <v>1675</v>
      </c>
      <c r="H5" s="3714"/>
      <c r="I5" s="3713" t="s">
        <v>1676</v>
      </c>
      <c r="J5" s="3714"/>
      <c r="K5" s="1890"/>
      <c r="L5" s="2715"/>
      <c r="M5" s="2716"/>
      <c r="N5" s="2716"/>
      <c r="O5" s="2716"/>
      <c r="P5" s="3700"/>
      <c r="Q5" s="3701"/>
      <c r="R5" s="3706"/>
      <c r="S5" s="3707"/>
      <c r="T5" s="3706"/>
      <c r="U5" s="3707"/>
      <c r="V5" s="3710"/>
      <c r="W5" s="3710"/>
      <c r="X5" s="1355"/>
      <c r="Y5" s="3706"/>
      <c r="Z5" s="3707"/>
      <c r="AA5" s="3692"/>
      <c r="AB5" s="3692"/>
      <c r="AC5" s="3692"/>
    </row>
    <row r="6" spans="1:29" ht="15.75" thickBot="1">
      <c r="A6" s="360"/>
      <c r="B6" s="361"/>
      <c r="C6" s="3711" t="s">
        <v>1677</v>
      </c>
      <c r="D6" s="3712"/>
      <c r="E6" s="3718" t="s">
        <v>1677</v>
      </c>
      <c r="F6" s="3719"/>
      <c r="G6" s="3711" t="s">
        <v>1677</v>
      </c>
      <c r="H6" s="3712"/>
      <c r="I6" s="3711" t="s">
        <v>1677</v>
      </c>
      <c r="J6" s="3712"/>
      <c r="K6" s="1890" t="s">
        <v>1678</v>
      </c>
      <c r="L6" s="2715"/>
      <c r="M6" s="2716"/>
      <c r="N6" s="2716"/>
      <c r="O6" s="2716"/>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45162</v>
      </c>
      <c r="D7" s="365">
        <v>100</v>
      </c>
      <c r="E7" s="366">
        <v>45108</v>
      </c>
      <c r="F7" s="367">
        <f>SUMIF(58:58,YEAR(E7)&amp;"-"&amp;MONTH(E7),59:59)</f>
        <v>100</v>
      </c>
      <c r="G7" s="366">
        <v>45108</v>
      </c>
      <c r="H7" s="365">
        <f>SUMIF(58:58,YEAR(G7)&amp;"-"&amp;MONTH(G7),59:59)</f>
        <v>100</v>
      </c>
      <c r="I7" s="366">
        <v>44927</v>
      </c>
      <c r="J7" s="365">
        <f>SUMIF(58:58,YEAR(I7)&amp;"-"&amp;MONTH(I7),59:59)</f>
        <v>100</v>
      </c>
      <c r="K7" s="1891"/>
      <c r="L7" s="2717"/>
      <c r="M7" s="2718"/>
      <c r="N7" s="2718"/>
      <c r="O7" s="2718"/>
      <c r="P7" s="3715" t="s">
        <v>1680</v>
      </c>
      <c r="Q7" s="3717"/>
      <c r="R7" s="701" t="s">
        <v>20</v>
      </c>
      <c r="S7" s="702">
        <f t="shared" ref="S7:S15" si="0">F7</f>
        <v>100</v>
      </c>
      <c r="T7" s="701" t="s">
        <v>20</v>
      </c>
      <c r="U7" s="702">
        <f t="shared" ref="U7:U15" si="1">H7</f>
        <v>100</v>
      </c>
      <c r="V7" s="701" t="s">
        <v>20</v>
      </c>
      <c r="W7" s="702">
        <f t="shared" ref="W7:W15" si="2">J7</f>
        <v>100</v>
      </c>
      <c r="X7" s="703"/>
      <c r="Y7" s="3715" t="s">
        <v>1680</v>
      </c>
      <c r="Z7" s="3716"/>
      <c r="AA7" s="704">
        <f>D7/F7</f>
        <v>1</v>
      </c>
      <c r="AB7" s="704">
        <f>D7/H7</f>
        <v>1</v>
      </c>
      <c r="AC7" s="704">
        <f>D7/J7</f>
        <v>1</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5" t="s">
        <v>1683</v>
      </c>
      <c r="Q8" s="3716"/>
      <c r="R8" s="701" t="s">
        <v>20</v>
      </c>
      <c r="S8" s="702">
        <f t="shared" si="0"/>
        <v>100</v>
      </c>
      <c r="T8" s="701" t="s">
        <v>20</v>
      </c>
      <c r="U8" s="702">
        <f t="shared" si="1"/>
        <v>100</v>
      </c>
      <c r="V8" s="701" t="s">
        <v>20</v>
      </c>
      <c r="W8" s="702">
        <f t="shared" si="2"/>
        <v>100</v>
      </c>
      <c r="X8" s="703"/>
      <c r="Y8" s="3715" t="s">
        <v>1683</v>
      </c>
      <c r="Z8" s="371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0"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21"/>
      <c r="M11" s="2716"/>
      <c r="N11" s="2716"/>
      <c r="O11" s="2716"/>
      <c r="P11" s="3690"/>
      <c r="Q11" s="1343" t="str">
        <f t="shared" si="6"/>
        <v>容积率</v>
      </c>
      <c r="R11" s="701" t="s">
        <v>18</v>
      </c>
      <c r="S11" s="702">
        <f t="shared" si="0"/>
        <v>100</v>
      </c>
      <c r="T11" s="701" t="s">
        <v>18</v>
      </c>
      <c r="U11" s="702">
        <f t="shared" si="1"/>
        <v>100</v>
      </c>
      <c r="V11" s="701" t="s">
        <v>18</v>
      </c>
      <c r="W11" s="702">
        <f t="shared" si="2"/>
        <v>100</v>
      </c>
      <c r="X11" s="703"/>
      <c r="Y11" s="3575"/>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0"/>
      <c r="Q12" s="1343">
        <f t="shared" si="6"/>
        <v>111</v>
      </c>
      <c r="R12" s="701" t="s">
        <v>18</v>
      </c>
      <c r="S12" s="702">
        <f t="shared" si="0"/>
        <v>100</v>
      </c>
      <c r="T12" s="701" t="s">
        <v>18</v>
      </c>
      <c r="U12" s="702">
        <f t="shared" si="1"/>
        <v>100</v>
      </c>
      <c r="V12" s="701" t="s">
        <v>18</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0"/>
      <c r="Q13" s="1343">
        <f t="shared" si="6"/>
        <v>111</v>
      </c>
      <c r="R13" s="701" t="s">
        <v>18</v>
      </c>
      <c r="S13" s="702">
        <f t="shared" si="0"/>
        <v>100</v>
      </c>
      <c r="T13" s="701" t="s">
        <v>18</v>
      </c>
      <c r="U13" s="702">
        <f t="shared" si="1"/>
        <v>100</v>
      </c>
      <c r="V13" s="701" t="s">
        <v>18</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0"/>
      <c r="Q14" s="1343">
        <f t="shared" si="6"/>
        <v>111</v>
      </c>
      <c r="R14" s="701" t="s">
        <v>18</v>
      </c>
      <c r="S14" s="702">
        <f t="shared" si="0"/>
        <v>100</v>
      </c>
      <c r="T14" s="701" t="s">
        <v>18</v>
      </c>
      <c r="U14" s="702">
        <f t="shared" si="1"/>
        <v>100</v>
      </c>
      <c r="V14" s="701" t="s">
        <v>18</v>
      </c>
      <c r="W14" s="702">
        <f t="shared" si="2"/>
        <v>100</v>
      </c>
      <c r="X14" s="703"/>
      <c r="Y14" s="357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8" t="s">
        <v>1691</v>
      </c>
      <c r="Q15" s="1352" t="str">
        <f t="shared" si="6"/>
        <v>居住社区成熟度</v>
      </c>
      <c r="R15" s="705" t="s">
        <v>18</v>
      </c>
      <c r="S15" s="706">
        <f t="shared" si="0"/>
        <v>100</v>
      </c>
      <c r="T15" s="705" t="s">
        <v>18</v>
      </c>
      <c r="U15" s="706">
        <f t="shared" si="1"/>
        <v>100</v>
      </c>
      <c r="V15" s="705" t="s">
        <v>18</v>
      </c>
      <c r="W15" s="706">
        <f t="shared" si="2"/>
        <v>100</v>
      </c>
      <c r="X15" s="1355"/>
      <c r="Y15" s="368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9"/>
      <c r="Q16" s="1352"/>
      <c r="R16" s="705"/>
      <c r="S16" s="706"/>
      <c r="T16" s="705"/>
      <c r="U16" s="706"/>
      <c r="V16" s="705"/>
      <c r="W16" s="706"/>
      <c r="X16" s="1355"/>
      <c r="Y16" s="368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9"/>
      <c r="Q17" s="1352" t="str">
        <f>B17</f>
        <v>交通便捷度</v>
      </c>
      <c r="R17" s="705" t="s">
        <v>18</v>
      </c>
      <c r="S17" s="706">
        <f>F17</f>
        <v>100</v>
      </c>
      <c r="T17" s="705" t="s">
        <v>18</v>
      </c>
      <c r="U17" s="706">
        <f>H17</f>
        <v>100</v>
      </c>
      <c r="V17" s="705" t="s">
        <v>18</v>
      </c>
      <c r="W17" s="706">
        <f>J17</f>
        <v>100</v>
      </c>
      <c r="X17" s="1355"/>
      <c r="Y17" s="368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9"/>
      <c r="Q18" s="1352"/>
      <c r="R18" s="705"/>
      <c r="S18" s="706"/>
      <c r="T18" s="705"/>
      <c r="U18" s="706"/>
      <c r="V18" s="705"/>
      <c r="W18" s="706"/>
      <c r="X18" s="1355"/>
      <c r="Y18" s="368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9"/>
      <c r="Q19" s="1352" t="str">
        <f>B19</f>
        <v>公共配套设施</v>
      </c>
      <c r="R19" s="705" t="s">
        <v>18</v>
      </c>
      <c r="S19" s="706">
        <f>F19</f>
        <v>100</v>
      </c>
      <c r="T19" s="705" t="s">
        <v>18</v>
      </c>
      <c r="U19" s="706">
        <f>H19</f>
        <v>100</v>
      </c>
      <c r="V19" s="705" t="s">
        <v>18</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9"/>
      <c r="Q20" s="1352"/>
      <c r="R20" s="705"/>
      <c r="S20" s="706"/>
      <c r="T20" s="705"/>
      <c r="U20" s="706"/>
      <c r="V20" s="705"/>
      <c r="W20" s="706"/>
      <c r="X20" s="1355"/>
      <c r="Y20" s="368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9"/>
      <c r="Q22" s="1352"/>
      <c r="R22" s="705"/>
      <c r="S22" s="706"/>
      <c r="T22" s="705"/>
      <c r="U22" s="706"/>
      <c r="V22" s="705"/>
      <c r="W22" s="706"/>
      <c r="X22" s="1355"/>
      <c r="Y22" s="368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9"/>
      <c r="Q23" s="1352" t="str">
        <f>B23</f>
        <v>自然及人文环境</v>
      </c>
      <c r="R23" s="705" t="s">
        <v>18</v>
      </c>
      <c r="S23" s="706">
        <f>F23</f>
        <v>100</v>
      </c>
      <c r="T23" s="705" t="s">
        <v>18</v>
      </c>
      <c r="U23" s="706">
        <f>H23</f>
        <v>100</v>
      </c>
      <c r="V23" s="705" t="s">
        <v>18</v>
      </c>
      <c r="W23" s="706">
        <f>J23</f>
        <v>100</v>
      </c>
      <c r="X23" s="1355"/>
      <c r="Y23" s="368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9"/>
      <c r="Q24" s="1352"/>
      <c r="R24" s="705"/>
      <c r="S24" s="706"/>
      <c r="T24" s="705"/>
      <c r="U24" s="706"/>
      <c r="V24" s="705"/>
      <c r="W24" s="706"/>
      <c r="X24" s="1355"/>
      <c r="Y24" s="368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9"/>
      <c r="Q26" s="1352" t="str">
        <f t="shared" si="11"/>
        <v>朝向</v>
      </c>
      <c r="R26" s="705" t="s">
        <v>18</v>
      </c>
      <c r="S26" s="706">
        <f t="shared" si="12"/>
        <v>100</v>
      </c>
      <c r="T26" s="705" t="s">
        <v>18</v>
      </c>
      <c r="U26" s="706">
        <f t="shared" si="13"/>
        <v>100</v>
      </c>
      <c r="V26" s="705" t="s">
        <v>18</v>
      </c>
      <c r="W26" s="706">
        <f t="shared" si="14"/>
        <v>100</v>
      </c>
      <c r="X26" s="1355"/>
      <c r="Y26" s="368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9"/>
      <c r="Q27" s="1343">
        <f t="shared" si="11"/>
        <v>111</v>
      </c>
      <c r="R27" s="701" t="s">
        <v>18</v>
      </c>
      <c r="S27" s="702">
        <f t="shared" si="12"/>
        <v>100</v>
      </c>
      <c r="T27" s="701" t="s">
        <v>18</v>
      </c>
      <c r="U27" s="702">
        <f t="shared" si="13"/>
        <v>100</v>
      </c>
      <c r="V27" s="701" t="s">
        <v>18</v>
      </c>
      <c r="W27" s="702">
        <f t="shared" si="14"/>
        <v>100</v>
      </c>
      <c r="X27" s="703"/>
      <c r="Y27" s="368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9"/>
      <c r="Q28" s="1352">
        <f t="shared" si="11"/>
        <v>111</v>
      </c>
      <c r="R28" s="705" t="s">
        <v>18</v>
      </c>
      <c r="S28" s="706">
        <f t="shared" si="12"/>
        <v>100</v>
      </c>
      <c r="T28" s="705" t="s">
        <v>18</v>
      </c>
      <c r="U28" s="706">
        <f t="shared" si="13"/>
        <v>100</v>
      </c>
      <c r="V28" s="705" t="s">
        <v>18</v>
      </c>
      <c r="W28" s="706">
        <f t="shared" si="14"/>
        <v>100</v>
      </c>
      <c r="X28" s="1355"/>
      <c r="Y28" s="368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9"/>
      <c r="Q29" s="1352">
        <f t="shared" si="11"/>
        <v>111</v>
      </c>
      <c r="R29" s="705" t="s">
        <v>18</v>
      </c>
      <c r="S29" s="706">
        <f t="shared" si="12"/>
        <v>100</v>
      </c>
      <c r="T29" s="705" t="s">
        <v>18</v>
      </c>
      <c r="U29" s="706">
        <f t="shared" si="13"/>
        <v>100</v>
      </c>
      <c r="V29" s="705" t="s">
        <v>18</v>
      </c>
      <c r="W29" s="706">
        <f t="shared" si="14"/>
        <v>100</v>
      </c>
      <c r="X29" s="1355"/>
      <c r="Y29" s="368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9"/>
      <c r="Q30" s="1352">
        <f t="shared" si="11"/>
        <v>111</v>
      </c>
      <c r="R30" s="705" t="s">
        <v>18</v>
      </c>
      <c r="S30" s="706">
        <f t="shared" si="12"/>
        <v>100</v>
      </c>
      <c r="T30" s="705" t="s">
        <v>18</v>
      </c>
      <c r="U30" s="706">
        <f t="shared" si="13"/>
        <v>100</v>
      </c>
      <c r="V30" s="705" t="s">
        <v>18</v>
      </c>
      <c r="W30" s="706">
        <f t="shared" si="14"/>
        <v>100</v>
      </c>
      <c r="X30" s="1355"/>
      <c r="Y30" s="368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9"/>
      <c r="Q31" s="1352">
        <f t="shared" si="11"/>
        <v>111</v>
      </c>
      <c r="R31" s="705" t="s">
        <v>18</v>
      </c>
      <c r="S31" s="706">
        <f t="shared" si="12"/>
        <v>100</v>
      </c>
      <c r="T31" s="705" t="s">
        <v>18</v>
      </c>
      <c r="U31" s="706">
        <f t="shared" si="13"/>
        <v>100</v>
      </c>
      <c r="V31" s="705" t="s">
        <v>18</v>
      </c>
      <c r="W31" s="706">
        <f t="shared" si="14"/>
        <v>100</v>
      </c>
      <c r="X31" s="1355"/>
      <c r="Y31" s="368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3" t="s">
        <v>1696</v>
      </c>
      <c r="Q32" s="1352" t="str">
        <f t="shared" si="11"/>
        <v>建筑类型</v>
      </c>
      <c r="R32" s="705" t="s">
        <v>18</v>
      </c>
      <c r="S32" s="706">
        <f t="shared" si="12"/>
        <v>100</v>
      </c>
      <c r="T32" s="705" t="s">
        <v>18</v>
      </c>
      <c r="U32" s="706">
        <f t="shared" si="13"/>
        <v>100</v>
      </c>
      <c r="V32" s="705" t="s">
        <v>18</v>
      </c>
      <c r="W32" s="706">
        <f t="shared" si="14"/>
        <v>100</v>
      </c>
      <c r="X32" s="1355"/>
      <c r="Y32" s="3686"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87.89</v>
      </c>
      <c r="D33" s="127">
        <v>100</v>
      </c>
      <c r="E33" s="381">
        <f>Sheet1!T48</f>
        <v>88</v>
      </c>
      <c r="F33" s="376">
        <f>LOOKUP(E33,103:103,104:104)-LOOKUP(C33,103:103,104:104)+100</f>
        <v>100</v>
      </c>
      <c r="G33" s="380">
        <f>Sheet1!T49</f>
        <v>89</v>
      </c>
      <c r="H33" s="127">
        <f>LOOKUP(G33,103:103,104:104)-LOOKUP(C33,103:103,104:104)+100</f>
        <v>100</v>
      </c>
      <c r="I33" s="381">
        <f>Sheet1!T50</f>
        <v>88</v>
      </c>
      <c r="J33" s="127">
        <f>LOOKUP(I33,103:103,104:104)-LOOKUP(C33,103:103,104:104)+100</f>
        <v>100</v>
      </c>
      <c r="K33" s="1894"/>
      <c r="L33" s="2721"/>
      <c r="M33" s="2723"/>
      <c r="N33" s="2723"/>
      <c r="O33" s="2723"/>
      <c r="P33" s="3684"/>
      <c r="Q33" s="707" t="str">
        <f t="shared" si="11"/>
        <v>项目建筑规模</v>
      </c>
      <c r="R33" s="708" t="s">
        <v>18</v>
      </c>
      <c r="S33" s="709">
        <f t="shared" si="12"/>
        <v>100</v>
      </c>
      <c r="T33" s="708" t="s">
        <v>18</v>
      </c>
      <c r="U33" s="709">
        <f t="shared" si="13"/>
        <v>100</v>
      </c>
      <c r="V33" s="708" t="s">
        <v>18</v>
      </c>
      <c r="W33" s="709">
        <f t="shared" si="14"/>
        <v>100</v>
      </c>
      <c r="X33" s="710"/>
      <c r="Y33" s="3686"/>
      <c r="Z33" s="711" t="str">
        <f t="shared" si="18"/>
        <v>项目建筑规模</v>
      </c>
      <c r="AA33" s="1353">
        <f t="shared" si="15"/>
        <v>1</v>
      </c>
      <c r="AB33" s="1353">
        <f t="shared" si="16"/>
        <v>1</v>
      </c>
      <c r="AC33" s="1353">
        <f t="shared" si="17"/>
        <v>1</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4"/>
      <c r="Q34" s="1352" t="str">
        <f t="shared" si="11"/>
        <v>建筑结构</v>
      </c>
      <c r="R34" s="705" t="s">
        <v>18</v>
      </c>
      <c r="S34" s="706">
        <f t="shared" si="12"/>
        <v>100</v>
      </c>
      <c r="T34" s="705" t="s">
        <v>18</v>
      </c>
      <c r="U34" s="706">
        <f t="shared" si="13"/>
        <v>100</v>
      </c>
      <c r="V34" s="705" t="s">
        <v>18</v>
      </c>
      <c r="W34" s="706">
        <f t="shared" si="14"/>
        <v>100</v>
      </c>
      <c r="X34" s="1355"/>
      <c r="Y34" s="368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4"/>
      <c r="Q35" s="1352" t="str">
        <f t="shared" si="11"/>
        <v>建筑品质</v>
      </c>
      <c r="R35" s="705" t="s">
        <v>18</v>
      </c>
      <c r="S35" s="706">
        <f t="shared" si="12"/>
        <v>100</v>
      </c>
      <c r="T35" s="705" t="s">
        <v>18</v>
      </c>
      <c r="U35" s="706">
        <f t="shared" si="13"/>
        <v>100</v>
      </c>
      <c r="V35" s="705" t="s">
        <v>18</v>
      </c>
      <c r="W35" s="706">
        <f t="shared" si="14"/>
        <v>100</v>
      </c>
      <c r="X35" s="1355"/>
      <c r="Y35" s="368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4"/>
      <c r="Q36" s="1352" t="str">
        <f t="shared" si="11"/>
        <v>公共部分装修</v>
      </c>
      <c r="R36" s="705" t="s">
        <v>18</v>
      </c>
      <c r="S36" s="706">
        <f t="shared" si="12"/>
        <v>100</v>
      </c>
      <c r="T36" s="705" t="s">
        <v>18</v>
      </c>
      <c r="U36" s="706">
        <f t="shared" si="13"/>
        <v>100</v>
      </c>
      <c r="V36" s="705" t="s">
        <v>18</v>
      </c>
      <c r="W36" s="706">
        <f t="shared" si="14"/>
        <v>100</v>
      </c>
      <c r="X36" s="1355"/>
      <c r="Y36" s="3686"/>
      <c r="Z36" s="1356" t="str">
        <f t="shared" si="18"/>
        <v>公共部分装修</v>
      </c>
      <c r="AA36" s="1353">
        <f t="shared" si="15"/>
        <v>1</v>
      </c>
      <c r="AB36" s="1353">
        <f t="shared" si="16"/>
        <v>1</v>
      </c>
      <c r="AC36" s="1353">
        <f t="shared" si="17"/>
        <v>1</v>
      </c>
    </row>
    <row r="37" spans="1:29" s="108" customFormat="1" ht="15">
      <c r="A37" s="424"/>
      <c r="B37" s="375" t="s">
        <v>1701</v>
      </c>
      <c r="C37" s="425">
        <f>'数据-取费表'!N6</f>
        <v>0.96699999999999997</v>
      </c>
      <c r="D37" s="127">
        <v>100</v>
      </c>
      <c r="E37" s="425">
        <f>C37</f>
        <v>0.96699999999999997</v>
      </c>
      <c r="F37" s="376">
        <f>LOOKUP(E37,112:112,113:113)-LOOKUP(C37,112:112,113:113)+100</f>
        <v>100</v>
      </c>
      <c r="G37" s="427">
        <f>C37</f>
        <v>0.96699999999999997</v>
      </c>
      <c r="H37" s="127">
        <f>LOOKUP(G37,112:112,113:113)-LOOKUP(C37,112:112,113:113)+100</f>
        <v>100</v>
      </c>
      <c r="I37" s="426">
        <f>C37</f>
        <v>0.96699999999999997</v>
      </c>
      <c r="J37" s="127">
        <f>LOOKUP(I37,112:112,113:113)-LOOKUP(C37,112:112,113:113)+100</f>
        <v>100</v>
      </c>
      <c r="K37" s="377"/>
      <c r="L37" s="2717"/>
      <c r="M37" s="2718"/>
      <c r="N37" s="2718"/>
      <c r="O37" s="2718"/>
      <c r="P37" s="3684"/>
      <c r="Q37" s="1343" t="str">
        <f t="shared" si="11"/>
        <v>成新度</v>
      </c>
      <c r="R37" s="701" t="s">
        <v>18</v>
      </c>
      <c r="S37" s="702">
        <f t="shared" si="12"/>
        <v>100</v>
      </c>
      <c r="T37" s="701" t="s">
        <v>18</v>
      </c>
      <c r="U37" s="702">
        <f t="shared" si="13"/>
        <v>100</v>
      </c>
      <c r="V37" s="701" t="s">
        <v>18</v>
      </c>
      <c r="W37" s="702">
        <f t="shared" si="14"/>
        <v>100</v>
      </c>
      <c r="X37" s="703"/>
      <c r="Y37" s="3686"/>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4" t="s">
        <v>1696</v>
      </c>
      <c r="Q38" s="1352" t="str">
        <f t="shared" si="11"/>
        <v>物业管理</v>
      </c>
      <c r="R38" s="705" t="s">
        <v>18</v>
      </c>
      <c r="S38" s="706">
        <f t="shared" si="12"/>
        <v>100</v>
      </c>
      <c r="T38" s="705" t="s">
        <v>18</v>
      </c>
      <c r="U38" s="706">
        <f t="shared" si="13"/>
        <v>100</v>
      </c>
      <c r="V38" s="705" t="s">
        <v>18</v>
      </c>
      <c r="W38" s="706">
        <f t="shared" si="14"/>
        <v>100</v>
      </c>
      <c r="X38" s="1355"/>
      <c r="Y38" s="368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4"/>
      <c r="Q39" s="1352" t="str">
        <f t="shared" si="11"/>
        <v>市政基础设施</v>
      </c>
      <c r="R39" s="705" t="s">
        <v>18</v>
      </c>
      <c r="S39" s="706">
        <f t="shared" si="12"/>
        <v>100</v>
      </c>
      <c r="T39" s="705" t="s">
        <v>18</v>
      </c>
      <c r="U39" s="706">
        <f t="shared" si="13"/>
        <v>100</v>
      </c>
      <c r="V39" s="705" t="s">
        <v>18</v>
      </c>
      <c r="W39" s="706">
        <f t="shared" si="14"/>
        <v>100</v>
      </c>
      <c r="X39" s="1355"/>
      <c r="Y39" s="368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4"/>
      <c r="Q40" s="1352" t="str">
        <f t="shared" si="11"/>
        <v>房型</v>
      </c>
      <c r="R40" s="705" t="s">
        <v>18</v>
      </c>
      <c r="S40" s="706">
        <f t="shared" si="12"/>
        <v>100</v>
      </c>
      <c r="T40" s="705" t="s">
        <v>18</v>
      </c>
      <c r="U40" s="706">
        <f t="shared" si="13"/>
        <v>100</v>
      </c>
      <c r="V40" s="705" t="s">
        <v>18</v>
      </c>
      <c r="W40" s="706">
        <f t="shared" si="14"/>
        <v>100</v>
      </c>
      <c r="X40" s="1355"/>
      <c r="Y40" s="368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4"/>
      <c r="Q41" s="707" t="str">
        <f t="shared" si="11"/>
        <v>单套/主力户型建筑面积</v>
      </c>
      <c r="R41" s="708" t="s">
        <v>18</v>
      </c>
      <c r="S41" s="709">
        <f t="shared" si="12"/>
        <v>100</v>
      </c>
      <c r="T41" s="708" t="s">
        <v>18</v>
      </c>
      <c r="U41" s="709">
        <f t="shared" si="13"/>
        <v>100</v>
      </c>
      <c r="V41" s="708" t="s">
        <v>18</v>
      </c>
      <c r="W41" s="709">
        <f t="shared" si="14"/>
        <v>100</v>
      </c>
      <c r="X41" s="710"/>
      <c r="Y41" s="368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4"/>
      <c r="Q42" s="1352" t="str">
        <f t="shared" si="11"/>
        <v>内部装修</v>
      </c>
      <c r="R42" s="705" t="s">
        <v>18</v>
      </c>
      <c r="S42" s="706">
        <f t="shared" si="12"/>
        <v>100</v>
      </c>
      <c r="T42" s="705" t="s">
        <v>18</v>
      </c>
      <c r="U42" s="706">
        <f t="shared" si="13"/>
        <v>100</v>
      </c>
      <c r="V42" s="705" t="s">
        <v>18</v>
      </c>
      <c r="W42" s="706">
        <f t="shared" si="14"/>
        <v>100</v>
      </c>
      <c r="X42" s="1355"/>
      <c r="Y42" s="368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4"/>
      <c r="Q43" s="1352" t="str">
        <f t="shared" si="11"/>
        <v>内部装修维护情况</v>
      </c>
      <c r="R43" s="705" t="s">
        <v>18</v>
      </c>
      <c r="S43" s="706">
        <f t="shared" si="12"/>
        <v>100</v>
      </c>
      <c r="T43" s="705" t="s">
        <v>18</v>
      </c>
      <c r="U43" s="706">
        <f t="shared" si="13"/>
        <v>100</v>
      </c>
      <c r="V43" s="705" t="s">
        <v>18</v>
      </c>
      <c r="W43" s="706">
        <f t="shared" si="14"/>
        <v>100</v>
      </c>
      <c r="X43" s="1355"/>
      <c r="Y43" s="368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4"/>
      <c r="Q44" s="1343">
        <f t="shared" si="11"/>
        <v>111</v>
      </c>
      <c r="R44" s="701" t="s">
        <v>18</v>
      </c>
      <c r="S44" s="702">
        <f t="shared" si="12"/>
        <v>100</v>
      </c>
      <c r="T44" s="701" t="s">
        <v>18</v>
      </c>
      <c r="U44" s="702">
        <f t="shared" si="13"/>
        <v>100</v>
      </c>
      <c r="V44" s="701" t="s">
        <v>18</v>
      </c>
      <c r="W44" s="702">
        <f t="shared" si="14"/>
        <v>100</v>
      </c>
      <c r="X44" s="703"/>
      <c r="Y44" s="368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4"/>
      <c r="Q45" s="1352">
        <f t="shared" si="11"/>
        <v>111</v>
      </c>
      <c r="R45" s="705" t="s">
        <v>18</v>
      </c>
      <c r="S45" s="706">
        <f t="shared" si="12"/>
        <v>100</v>
      </c>
      <c r="T45" s="705" t="s">
        <v>18</v>
      </c>
      <c r="U45" s="706">
        <f t="shared" si="13"/>
        <v>100</v>
      </c>
      <c r="V45" s="705" t="s">
        <v>18</v>
      </c>
      <c r="W45" s="706">
        <f t="shared" si="14"/>
        <v>100</v>
      </c>
      <c r="X45" s="1355"/>
      <c r="Y45" s="368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5"/>
      <c r="Q46" s="1352">
        <f t="shared" si="11"/>
        <v>111</v>
      </c>
      <c r="R46" s="705" t="s">
        <v>17</v>
      </c>
      <c r="S46" s="706">
        <f t="shared" si="12"/>
        <v>100</v>
      </c>
      <c r="T46" s="705" t="s">
        <v>17</v>
      </c>
      <c r="U46" s="706">
        <f t="shared" si="13"/>
        <v>100</v>
      </c>
      <c r="V46" s="705" t="s">
        <v>17</v>
      </c>
      <c r="W46" s="706">
        <f t="shared" si="14"/>
        <v>100</v>
      </c>
      <c r="X46" s="1355"/>
      <c r="Y46" s="3687"/>
      <c r="Z46" s="1356">
        <f t="shared" si="18"/>
        <v>111</v>
      </c>
      <c r="AA46" s="1353">
        <f t="shared" si="15"/>
        <v>1</v>
      </c>
      <c r="AB46" s="1353">
        <f t="shared" si="16"/>
        <v>1</v>
      </c>
      <c r="AC46" s="1353">
        <f t="shared" si="17"/>
        <v>1</v>
      </c>
    </row>
    <row r="47" spans="1:29" ht="15">
      <c r="A47" s="430" t="s">
        <v>1708</v>
      </c>
      <c r="B47" s="431"/>
      <c r="C47" s="1154" t="s">
        <v>16</v>
      </c>
      <c r="D47" s="1155"/>
      <c r="E47" s="1156">
        <f>Sheet1!U48</f>
        <v>54625</v>
      </c>
      <c r="F47" s="1157"/>
      <c r="G47" s="1158">
        <f>Sheet1!U49</f>
        <v>54625</v>
      </c>
      <c r="H47" s="1159"/>
      <c r="I47" s="1156">
        <f>Sheet1!U50</f>
        <v>51943</v>
      </c>
      <c r="J47" s="1159"/>
      <c r="K47" s="1914"/>
      <c r="L47" s="2724"/>
      <c r="M47" s="2725"/>
      <c r="N47" s="2716"/>
      <c r="O47" s="2725"/>
      <c r="P47" s="3679" t="str">
        <f>A47</f>
        <v>成交单价（元/平方米）</v>
      </c>
      <c r="Q47" s="3679"/>
      <c r="R47" s="3680">
        <f>E47</f>
        <v>54625</v>
      </c>
      <c r="S47" s="3680"/>
      <c r="T47" s="3680">
        <f>G47</f>
        <v>54625</v>
      </c>
      <c r="U47" s="3680"/>
      <c r="V47" s="3680">
        <f>I47</f>
        <v>51943</v>
      </c>
      <c r="W47" s="3680"/>
      <c r="X47" s="690"/>
      <c r="Y47" s="712"/>
      <c r="Z47" s="690"/>
      <c r="AA47" s="690"/>
      <c r="AB47" s="690"/>
      <c r="AC47" s="690"/>
    </row>
    <row r="48" spans="1:29" ht="15.75" thickBot="1">
      <c r="A48" s="437" t="s">
        <v>1709</v>
      </c>
      <c r="B48" s="438"/>
      <c r="C48" s="1160">
        <f>R49</f>
        <v>53731</v>
      </c>
      <c r="D48" s="2317" t="s">
        <v>2138</v>
      </c>
      <c r="E48" s="1161">
        <f>R48</f>
        <v>54625</v>
      </c>
      <c r="F48" s="2318"/>
      <c r="G48" s="1160">
        <f>T48</f>
        <v>54625</v>
      </c>
      <c r="H48" s="2318"/>
      <c r="I48" s="1161">
        <f>V48</f>
        <v>51943</v>
      </c>
      <c r="J48" s="2318"/>
      <c r="K48" s="2319">
        <f>F48+H48+J48</f>
        <v>0</v>
      </c>
      <c r="L48" s="2724"/>
      <c r="M48" s="2725"/>
      <c r="N48" s="2725"/>
      <c r="O48" s="2725"/>
      <c r="P48" s="3679" t="str">
        <f>A48</f>
        <v>比较价值（元/平方米）</v>
      </c>
      <c r="Q48" s="3679"/>
      <c r="R48" s="3680">
        <f>IF(F1="售价",ROUND(PRODUCT(R47,AA7:AA46),0),ROUND(PRODUCT(R47,AA7:AA46),1))</f>
        <v>54625</v>
      </c>
      <c r="S48" s="3680"/>
      <c r="T48" s="3680">
        <f>IF(F1="售价",ROUND(PRODUCT(T47,AB7:AB46),0),ROUND(PRODUCT(T47,AB7:AB46),1))</f>
        <v>54625</v>
      </c>
      <c r="U48" s="3680"/>
      <c r="V48" s="3680">
        <f>IF(F1="售价",ROUND(PRODUCT(V47,AC7:AC46),0),ROUND(PRODUCT(V47,AC7:AC46),1))</f>
        <v>51943</v>
      </c>
      <c r="W48" s="3680"/>
      <c r="X48" s="690"/>
      <c r="Y48" s="690"/>
      <c r="Z48" s="690"/>
      <c r="AA48" s="690"/>
      <c r="AB48" s="690"/>
      <c r="AC48" s="690"/>
    </row>
    <row r="49" spans="1:29" ht="15.75" thickBot="1">
      <c r="A49" s="441" t="s">
        <v>1710</v>
      </c>
      <c r="B49" s="442"/>
      <c r="C49" s="1162">
        <f>R49</f>
        <v>53731</v>
      </c>
      <c r="D49" s="1163"/>
      <c r="E49" s="1163"/>
      <c r="F49" s="1163"/>
      <c r="G49" s="1163"/>
      <c r="H49" s="1163"/>
      <c r="I49" s="1163"/>
      <c r="J49" s="1163"/>
      <c r="K49" s="1915"/>
      <c r="L49" s="2724"/>
      <c r="M49" s="2725"/>
      <c r="N49" s="2725"/>
      <c r="O49" s="2725"/>
      <c r="P49" s="3676" t="str">
        <f>A49</f>
        <v>估价对象XX用房的比较价值（楼面单价，元/平方米）</v>
      </c>
      <c r="Q49" s="3677"/>
      <c r="R49" s="3678">
        <f>IF(F1="售价",ROUND(IF(D48="简单平均",AVERAGE(R48:V48),R48*F48+T48*H48+V48*J48),0),ROUND(IF(D48="简单平均",AVERAGE(R48:V48),R48*F48+T48*H48+V48*J48),1))</f>
        <v>53731</v>
      </c>
      <c r="S49" s="3678"/>
      <c r="T49" s="3678"/>
      <c r="U49" s="3678"/>
      <c r="V49" s="3678"/>
      <c r="W49" s="367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row>
    <row r="53" spans="1:29" ht="13.5" customHeight="1">
      <c r="A53" s="2725"/>
      <c r="B53" s="2725"/>
      <c r="C53" s="446" t="s">
        <v>1712</v>
      </c>
      <c r="D53" s="450"/>
      <c r="E53" s="448">
        <f>IF(E48&lt;G48,G48/E48-1,E48/G48-1)</f>
        <v>0</v>
      </c>
      <c r="F53" s="449" t="str">
        <f>IF(OR(E53&gt;=0.2,E53&lt;=-0.2),"超过20%","")</f>
        <v/>
      </c>
      <c r="G53" s="448">
        <f>IF(G48&lt;I48,I48/G48-1,G48/I48-1)</f>
        <v>5.1633521359952361E-2</v>
      </c>
      <c r="H53" s="449" t="str">
        <f>IF(OR(G53&gt;=0.2,G53&lt;=-0.2),"超过20%","")</f>
        <v/>
      </c>
      <c r="I53" s="448">
        <f>IF(I48&lt;E48,E48/I48-1,I48/E48-1)</f>
        <v>5.1633521359952361E-2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v>
      </c>
      <c r="F54" s="449" t="str">
        <f>IF(OR(E54&gt;=0.3,E54&lt;=-0.3),"超过30%","")</f>
        <v/>
      </c>
      <c r="G54" s="448">
        <f>IF(G47&lt;I47,I47/G47-1,G47/I47-1)</f>
        <v>5.1633521359952361E-2</v>
      </c>
      <c r="H54" s="449" t="str">
        <f>IF(OR(G54&gt;=0.3,G54&lt;=-0.3),"超过30%","")</f>
        <v/>
      </c>
      <c r="I54" s="448">
        <f>IF(I47&lt;E47,E47/I47-1,I47/E47-1)</f>
        <v>5.1633521359952361E-2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v>100</v>
      </c>
      <c r="E59" s="461">
        <v>100</v>
      </c>
      <c r="F59" s="461">
        <v>100</v>
      </c>
      <c r="G59" s="461">
        <v>100</v>
      </c>
      <c r="H59" s="461">
        <v>100</v>
      </c>
      <c r="I59" s="461">
        <v>100</v>
      </c>
      <c r="J59" s="461">
        <v>100</v>
      </c>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0</v>
      </c>
      <c r="D68" s="498">
        <v>1</v>
      </c>
      <c r="E68" s="498">
        <v>2</v>
      </c>
      <c r="F68" s="498">
        <v>3</v>
      </c>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0(含)-50</v>
      </c>
      <c r="D102" s="527" t="str">
        <f t="shared" ref="D102:L102" si="26">D103&amp;"(含)"&amp;"-"&amp;E103</f>
        <v>50(含)-100</v>
      </c>
      <c r="E102" s="527" t="str">
        <f t="shared" si="26"/>
        <v>100(含)-150</v>
      </c>
      <c r="F102" s="527" t="str">
        <f t="shared" si="26"/>
        <v>150(含)-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50</v>
      </c>
      <c r="E103" s="544">
        <v>100</v>
      </c>
      <c r="F103" s="544">
        <v>150</v>
      </c>
      <c r="G103" s="544"/>
      <c r="H103" s="544"/>
      <c r="I103" s="544"/>
      <c r="J103" s="545"/>
      <c r="K103" s="545"/>
      <c r="L103" s="546"/>
      <c r="M103" s="547"/>
      <c r="N103" s="935"/>
      <c r="O103" s="935"/>
      <c r="P103" s="1923"/>
      <c r="Q103" s="508"/>
    </row>
    <row r="104" spans="1:17" s="422" customFormat="1" ht="15.75" thickBot="1">
      <c r="A104" s="502"/>
      <c r="B104" s="492"/>
      <c r="C104" s="509">
        <v>100</v>
      </c>
      <c r="D104" s="485">
        <v>99</v>
      </c>
      <c r="E104" s="485">
        <v>98</v>
      </c>
      <c r="F104" s="485">
        <v>97</v>
      </c>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1" priority="19" stopIfTrue="1" operator="containsText" text="超过">
      <formula>NOT(ISERROR(SEARCH("超过",F52)))</formula>
    </cfRule>
  </conditionalFormatting>
  <conditionalFormatting sqref="J54">
    <cfRule type="containsText" dxfId="170" priority="18" stopIfTrue="1" operator="containsText" text="超过">
      <formula>NOT(ISERROR(SEARCH("超过",J54)))</formula>
    </cfRule>
  </conditionalFormatting>
  <conditionalFormatting sqref="H54">
    <cfRule type="containsText" dxfId="169" priority="17" stopIfTrue="1" operator="containsText" text="超过">
      <formula>NOT(ISERROR(SEARCH("超过",H54)))</formula>
    </cfRule>
  </conditionalFormatting>
  <conditionalFormatting sqref="F54">
    <cfRule type="containsText" dxfId="168" priority="16" stopIfTrue="1" operator="containsText" text="超过">
      <formula>NOT(ISERROR(SEARCH("超过",F54)))</formula>
    </cfRule>
  </conditionalFormatting>
  <conditionalFormatting sqref="F53 H53 J53">
    <cfRule type="containsText" dxfId="167" priority="15" stopIfTrue="1" operator="containsText" text="超过">
      <formula>NOT(ISERROR(SEARCH("超过",F53)))</formula>
    </cfRule>
  </conditionalFormatting>
  <conditionalFormatting sqref="E52">
    <cfRule type="expression" dxfId="166" priority="14" stopIfTrue="1">
      <formula>$F$52="超过30%"</formula>
    </cfRule>
  </conditionalFormatting>
  <conditionalFormatting sqref="G54">
    <cfRule type="expression" dxfId="165" priority="12" stopIfTrue="1">
      <formula>$H$54="超过30%"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2">
    <cfRule type="expression" dxfId="162" priority="9" stopIfTrue="1">
      <formula>$H$52="超过30%"</formula>
    </cfRule>
  </conditionalFormatting>
  <conditionalFormatting sqref="G53">
    <cfRule type="expression" dxfId="161" priority="8" stopIfTrue="1">
      <formula>$H$53="超过20%"</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K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9" width="9" style="251" customWidth="1"/>
    <col min="10" max="10" width="11.875" style="251" customWidth="1"/>
    <col min="11" max="254" width="9" style="251" customWidth="1"/>
    <col min="255" max="16384" width="8.375" style="251"/>
  </cols>
  <sheetData>
    <row r="1" spans="1:11" s="200" customFormat="1" ht="20.25">
      <c r="A1" s="196" t="s">
        <v>1461</v>
      </c>
      <c r="B1" s="1470" t="s">
        <v>3379</v>
      </c>
      <c r="C1" s="1859" t="s">
        <v>1563</v>
      </c>
      <c r="D1" s="198"/>
      <c r="E1" s="198"/>
      <c r="F1" s="198"/>
      <c r="G1" s="1126">
        <f>MATCH(B1,'数据-取费表'!A6:A16,0)+5</f>
        <v>6</v>
      </c>
      <c r="H1" s="1061" t="str">
        <f>IF(ISERROR(FIND("住宅",B1)),"非住宅","住宅")</f>
        <v>住宅</v>
      </c>
    </row>
    <row r="2" spans="1:11" s="200" customFormat="1" ht="18" customHeight="1">
      <c r="A2" s="201" t="s">
        <v>1462</v>
      </c>
      <c r="B2" s="3424">
        <f ca="1">ROUND(IF(D2="——",C52/10000,C52/10000-E2),4)</f>
        <v>250.1917</v>
      </c>
      <c r="C2" s="199" t="s">
        <v>1463</v>
      </c>
      <c r="D2" s="1853" t="s">
        <v>43</v>
      </c>
      <c r="E2" s="1169" t="e">
        <f ca="1">SUMIF(INDIRECT("'"&amp;G2&amp;"'"&amp;"!A:A"),"承租人权益价值",INDIRECT("'"&amp;G2&amp;"'"&amp;"!c:c"))</f>
        <v>#REF!</v>
      </c>
      <c r="F2" s="1854" t="s">
        <v>1463</v>
      </c>
      <c r="G2" s="1855"/>
    </row>
    <row r="3" spans="1:11" s="200" customFormat="1" ht="18" customHeight="1" thickBot="1">
      <c r="A3" s="203" t="s">
        <v>1464</v>
      </c>
      <c r="B3" s="204">
        <f ca="1">ROUND(B2*10000/(IF(B1="",'数据-汇总表'!E3,INDIRECT("'数据-取费表'!k"&amp;$G$1))),0)</f>
        <v>28466</v>
      </c>
      <c r="C3" s="199" t="s">
        <v>1465</v>
      </c>
      <c r="D3" s="199"/>
      <c r="E3" s="199"/>
      <c r="F3" s="199"/>
      <c r="G3" s="199"/>
    </row>
    <row r="4" spans="1:11" s="208" customFormat="1" ht="15.75">
      <c r="A4" s="205" t="s">
        <v>1466</v>
      </c>
      <c r="B4" s="206"/>
      <c r="C4" s="206"/>
      <c r="D4" s="206"/>
      <c r="E4" s="206"/>
      <c r="F4" s="206"/>
      <c r="G4" s="207"/>
    </row>
    <row r="5" spans="1:11" s="214" customFormat="1" ht="13.5" customHeight="1">
      <c r="A5" s="255" t="s">
        <v>1467</v>
      </c>
      <c r="B5" s="210" t="s">
        <v>1468</v>
      </c>
      <c r="C5" s="211">
        <f ca="1">C6+C7+C8</f>
        <v>1342824</v>
      </c>
      <c r="D5" s="211" t="s">
        <v>1469</v>
      </c>
      <c r="E5" s="212" t="s">
        <v>1470</v>
      </c>
      <c r="F5" s="212" t="s">
        <v>1471</v>
      </c>
      <c r="G5" s="213"/>
    </row>
    <row r="6" spans="1:11" s="214" customFormat="1" ht="13.5" customHeight="1">
      <c r="A6" s="778" t="s">
        <v>1472</v>
      </c>
      <c r="B6" s="215" t="s">
        <v>1473</v>
      </c>
      <c r="C6" s="216">
        <f>ROUND(基准地价修正!C33*基准地价修正!D33,0)</f>
        <v>1289434</v>
      </c>
      <c r="D6" s="217"/>
      <c r="E6" s="218"/>
      <c r="F6" s="218"/>
      <c r="G6" s="219"/>
    </row>
    <row r="7" spans="1:11" s="214" customFormat="1" ht="13.5" customHeight="1">
      <c r="A7" s="778" t="s">
        <v>1474</v>
      </c>
      <c r="B7" s="215" t="s">
        <v>1475</v>
      </c>
      <c r="C7" s="220">
        <f>ROUND(C6*F7,0)</f>
        <v>39328</v>
      </c>
      <c r="D7" s="220"/>
      <c r="E7" s="218"/>
      <c r="F7" s="221">
        <f>IF(项目基本情况!B8="出让",0,'数据-取费表'!B48+'数据-取费表'!B49)</f>
        <v>3.0499999999999999E-2</v>
      </c>
      <c r="G7" s="219"/>
      <c r="I7" s="214">
        <v>24720</v>
      </c>
      <c r="J7" s="3479">
        <v>43046</v>
      </c>
    </row>
    <row r="8" spans="1:11" s="223" customFormat="1">
      <c r="A8" s="778" t="s">
        <v>1476</v>
      </c>
      <c r="B8" s="215" t="s">
        <v>1477</v>
      </c>
      <c r="C8" s="220">
        <f ca="1">IF(G8="已包含在土地购买价格中",0,C9+C10)</f>
        <v>14062</v>
      </c>
      <c r="D8" s="222"/>
      <c r="E8" s="220"/>
      <c r="F8" s="221"/>
      <c r="G8" s="1856" t="s">
        <v>3399</v>
      </c>
      <c r="I8" s="223">
        <v>1</v>
      </c>
      <c r="J8" s="3480">
        <v>45162</v>
      </c>
      <c r="K8" s="223">
        <f>J8-J7</f>
        <v>2116</v>
      </c>
    </row>
    <row r="9" spans="1:11" s="214" customFormat="1" ht="13.5" customHeight="1">
      <c r="A9" s="779" t="s">
        <v>355</v>
      </c>
      <c r="B9" s="224" t="s">
        <v>1478</v>
      </c>
      <c r="C9" s="225">
        <f ca="1">ROUND(D9*E9,0)</f>
        <v>14062</v>
      </c>
      <c r="D9" s="845">
        <f ca="1">IF(B1="",'数据-汇总表'!E5,IF(INDIRECT("'数据-取费表'!c"&amp;$G$1)="住宅",INDIRECT("'数据-取费表'!k"&amp;$G$1),0))</f>
        <v>87.89</v>
      </c>
      <c r="E9" s="225">
        <f>'数据-取费表'!B27</f>
        <v>160</v>
      </c>
      <c r="F9" s="221"/>
      <c r="G9" s="226"/>
      <c r="K9" s="214">
        <v>5</v>
      </c>
    </row>
    <row r="10" spans="1:11"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c r="I10" s="3481" t="s">
        <v>3833</v>
      </c>
      <c r="J10" s="1128">
        <f ca="1">ROUND(I7*(POWER((1+F22),K9)-1),0)</f>
        <v>6456</v>
      </c>
    </row>
    <row r="11" spans="1:11" s="214" customFormat="1" ht="13.5" hidden="1" customHeight="1">
      <c r="A11" s="227" t="s">
        <v>4</v>
      </c>
      <c r="B11" s="215" t="s">
        <v>1481</v>
      </c>
      <c r="C11" s="211"/>
      <c r="D11" s="847"/>
      <c r="E11" s="218"/>
      <c r="F11" s="218"/>
      <c r="G11" s="219"/>
      <c r="J11" s="3483"/>
    </row>
    <row r="12" spans="1:11" s="214" customFormat="1" ht="13.5" hidden="1" customHeight="1">
      <c r="A12" s="227" t="s">
        <v>5</v>
      </c>
      <c r="B12" s="215" t="s">
        <v>1564</v>
      </c>
      <c r="C12" s="211">
        <v>0</v>
      </c>
      <c r="D12" s="847"/>
      <c r="E12" s="228"/>
      <c r="F12" s="221">
        <v>3.0499999999999999E-2</v>
      </c>
      <c r="G12" s="219"/>
      <c r="J12" s="3483"/>
    </row>
    <row r="13" spans="1:11" s="214" customFormat="1" ht="13.5" hidden="1" customHeight="1">
      <c r="A13" s="227" t="s">
        <v>6</v>
      </c>
      <c r="B13" s="215" t="s">
        <v>1565</v>
      </c>
      <c r="C13" s="211"/>
      <c r="D13" s="847"/>
      <c r="E13" s="218"/>
      <c r="F13" s="218"/>
      <c r="G13" s="219"/>
      <c r="J13" s="3483"/>
    </row>
    <row r="14" spans="1:11" s="214" customFormat="1" ht="13.5" hidden="1" customHeight="1">
      <c r="A14" s="227" t="s">
        <v>7</v>
      </c>
      <c r="B14" s="215" t="s">
        <v>1477</v>
      </c>
      <c r="C14" s="211"/>
      <c r="D14" s="847"/>
      <c r="E14" s="218"/>
      <c r="F14" s="218"/>
      <c r="G14" s="219" t="s">
        <v>1566</v>
      </c>
      <c r="J14" s="3483"/>
    </row>
    <row r="15" spans="1:11" s="214" customFormat="1" ht="13.5" hidden="1" customHeight="1">
      <c r="A15" s="227" t="s">
        <v>8</v>
      </c>
      <c r="B15" s="215" t="s">
        <v>1567</v>
      </c>
      <c r="C15" s="220"/>
      <c r="D15" s="847"/>
      <c r="E15" s="218"/>
      <c r="F15" s="218"/>
      <c r="G15" s="219" t="s">
        <v>1568</v>
      </c>
      <c r="J15" s="3483"/>
    </row>
    <row r="16" spans="1:11" s="214" customFormat="1" ht="13.5" hidden="1" customHeight="1">
      <c r="A16" s="227" t="s">
        <v>9</v>
      </c>
      <c r="B16" s="215" t="s">
        <v>1477</v>
      </c>
      <c r="C16" s="220"/>
      <c r="D16" s="847"/>
      <c r="E16" s="218"/>
      <c r="F16" s="218"/>
      <c r="G16" s="219"/>
      <c r="J16" s="3483"/>
    </row>
    <row r="17" spans="1:10" s="214" customFormat="1" ht="13.5" hidden="1" customHeight="1">
      <c r="A17" s="227" t="s">
        <v>10</v>
      </c>
      <c r="B17" s="215" t="s">
        <v>1569</v>
      </c>
      <c r="C17" s="229"/>
      <c r="D17" s="848"/>
      <c r="E17" s="229"/>
      <c r="F17" s="229"/>
      <c r="G17" s="219" t="s">
        <v>1568</v>
      </c>
      <c r="J17" s="3483"/>
    </row>
    <row r="18" spans="1:10" s="214" customFormat="1" ht="13.5" hidden="1" customHeight="1">
      <c r="A18" s="227" t="s">
        <v>11</v>
      </c>
      <c r="B18" s="215" t="s">
        <v>1570</v>
      </c>
      <c r="C18" s="220">
        <v>0</v>
      </c>
      <c r="D18" s="847"/>
      <c r="E18" s="218"/>
      <c r="F18" s="221">
        <v>3.0499999999999999E-2</v>
      </c>
      <c r="G18" s="219" t="s">
        <v>1571</v>
      </c>
      <c r="J18" s="3483"/>
    </row>
    <row r="19" spans="1:10" s="223" customFormat="1" ht="13.5" customHeight="1">
      <c r="A19" s="255" t="s">
        <v>1572</v>
      </c>
      <c r="B19" s="210" t="s">
        <v>1573</v>
      </c>
      <c r="C19" s="211" t="str">
        <f>IF(G19="已包含在土地取得成本中","0",ROUND(D19*E19,0))</f>
        <v>0</v>
      </c>
      <c r="D19" s="849">
        <f ca="1">D9+D10</f>
        <v>87.89</v>
      </c>
      <c r="E19" s="211">
        <f>'数据-取费表'!B31</f>
        <v>200</v>
      </c>
      <c r="F19" s="231"/>
      <c r="G19" s="1856" t="s">
        <v>3400</v>
      </c>
      <c r="I19" s="3482"/>
      <c r="J19" s="3484"/>
    </row>
    <row r="20" spans="1:10" s="214" customFormat="1" ht="13.5" customHeight="1">
      <c r="A20" s="255" t="s">
        <v>1574</v>
      </c>
      <c r="B20" s="210" t="s">
        <v>1575</v>
      </c>
      <c r="C20" s="232">
        <f ca="1">ROUND((C5+C19)*F20,0)</f>
        <v>40285</v>
      </c>
      <c r="D20" s="232"/>
      <c r="E20" s="232"/>
      <c r="F20" s="233">
        <f>'数据-取费表'!B37</f>
        <v>0.03</v>
      </c>
      <c r="G20" s="234" t="s">
        <v>1576</v>
      </c>
      <c r="I20" s="214">
        <f ca="1">I7+J10</f>
        <v>31176</v>
      </c>
    </row>
    <row r="21" spans="1:10" s="214" customFormat="1" ht="13.5" customHeight="1">
      <c r="A21" s="255" t="s">
        <v>1577</v>
      </c>
      <c r="B21" s="210" t="s">
        <v>1578</v>
      </c>
      <c r="C21" s="235">
        <f>F21</f>
        <v>0.02</v>
      </c>
      <c r="D21" s="236" t="s">
        <v>1579</v>
      </c>
      <c r="E21" s="232"/>
      <c r="F21" s="233">
        <f>'数据-取费表'!B38</f>
        <v>0.02</v>
      </c>
      <c r="G21" s="234" t="s">
        <v>1580</v>
      </c>
    </row>
    <row r="22" spans="1:10" s="214" customFormat="1" ht="13.5" customHeight="1">
      <c r="A22" s="255" t="s">
        <v>1581</v>
      </c>
      <c r="B22" s="210" t="s">
        <v>1582</v>
      </c>
      <c r="C22" s="1127">
        <f ca="1">ROUND(SUM(C23:C25),0)</f>
        <v>132512</v>
      </c>
      <c r="D22" s="235">
        <f ca="1">C26</f>
        <v>1E-3</v>
      </c>
      <c r="E22" s="236" t="s">
        <v>1579</v>
      </c>
      <c r="F22" s="237">
        <f ca="1">'数据-取费表'!B40</f>
        <v>4.7500000000000001E-2</v>
      </c>
      <c r="G22" s="234" t="str">
        <f>IF('数据-取费表'!B22&lt;=1,"单利计息","复利计息")</f>
        <v>复利计息</v>
      </c>
    </row>
    <row r="23" spans="1:10" s="214" customFormat="1" ht="13.5" customHeight="1">
      <c r="A23" s="780" t="s">
        <v>1472</v>
      </c>
      <c r="B23" s="215" t="s">
        <v>1583</v>
      </c>
      <c r="C23" s="1128">
        <f ca="1">ROUND(IF('数据-取费表'!B22&lt;=1,C5*F22*'数据-取费表'!B22,C5*(POWER((1+F22),'数据-取费表'!B22)-1)),0)</f>
        <v>130598</v>
      </c>
      <c r="D23" s="238"/>
      <c r="E23" s="238"/>
      <c r="F23" s="239"/>
      <c r="G23" s="240" t="s">
        <v>1584</v>
      </c>
    </row>
    <row r="24" spans="1:10"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10" s="214" customFormat="1" ht="24">
      <c r="A25" s="780" t="s">
        <v>1476</v>
      </c>
      <c r="B25" s="215" t="s">
        <v>1587</v>
      </c>
      <c r="C25" s="1128">
        <f ca="1">ROUND(IF('数据-取费表'!B22&lt;=1,C20*F22*'数据-取费表'!B22/2,C20*(POWER((1+F22),'数据-取费表'!B22/2)-1)),0)</f>
        <v>1914</v>
      </c>
      <c r="D25" s="238"/>
      <c r="E25" s="241"/>
      <c r="F25" s="239"/>
      <c r="G25" s="242" t="s">
        <v>1588</v>
      </c>
    </row>
    <row r="26" spans="1:10" s="214" customFormat="1">
      <c r="A26" s="780" t="s">
        <v>350</v>
      </c>
      <c r="B26" s="215" t="s">
        <v>1511</v>
      </c>
      <c r="C26" s="238">
        <f ca="1">ROUND(IF('数据-取费表'!B22&lt;=1,F21*F22*'数据-取费表'!B22/2,F21*(POWER((1+F22),'数据-取费表'!B22/2)-1)),4)</f>
        <v>1E-3</v>
      </c>
      <c r="D26" s="238"/>
      <c r="E26" s="241"/>
      <c r="F26" s="239"/>
      <c r="G26" s="243"/>
    </row>
    <row r="27" spans="1:10" s="214" customFormat="1" ht="24.75">
      <c r="A27" s="255" t="s">
        <v>1512</v>
      </c>
      <c r="B27" s="244" t="s">
        <v>1513</v>
      </c>
      <c r="C27" s="245">
        <f ca="1">C28</f>
        <v>345777</v>
      </c>
      <c r="D27" s="235">
        <f ca="1">C29</f>
        <v>5.0000000000000001E-3</v>
      </c>
      <c r="E27" s="236" t="s">
        <v>1514</v>
      </c>
      <c r="F27" s="246">
        <f ca="1">IF(B1="",'数据-取费表'!Q16,INDIRECT("'数据-取费表'!q"&amp;$G$1))</f>
        <v>0.25</v>
      </c>
      <c r="G27" s="247" t="s">
        <v>1515</v>
      </c>
    </row>
    <row r="28" spans="1:10" s="214" customFormat="1" ht="13.5" customHeight="1">
      <c r="A28" s="780" t="s">
        <v>346</v>
      </c>
      <c r="B28" s="248" t="s">
        <v>1516</v>
      </c>
      <c r="C28" s="249">
        <f ca="1">ROUND((C5+C19+C20)*F27,0)</f>
        <v>345777</v>
      </c>
      <c r="D28" s="235"/>
      <c r="E28" s="236"/>
      <c r="F28" s="246"/>
      <c r="G28" s="247"/>
    </row>
    <row r="29" spans="1:10" s="214" customFormat="1" ht="13.5" customHeight="1">
      <c r="A29" s="780" t="s">
        <v>347</v>
      </c>
      <c r="B29" s="248" t="s">
        <v>1517</v>
      </c>
      <c r="C29" s="238">
        <f ca="1">ROUND(C21*F27,4)</f>
        <v>5.0000000000000001E-3</v>
      </c>
      <c r="D29" s="235"/>
      <c r="E29" s="236"/>
      <c r="F29" s="246"/>
      <c r="G29" s="247"/>
    </row>
    <row r="30" spans="1:10" s="214" customFormat="1" ht="13.5" customHeight="1">
      <c r="A30" s="255" t="s">
        <v>1518</v>
      </c>
      <c r="B30" s="210" t="s">
        <v>1519</v>
      </c>
      <c r="C30" s="235">
        <f>ROUND(F30/(1+'数据-取费表'!C42),4)</f>
        <v>5.33E-2</v>
      </c>
      <c r="D30" s="236" t="s">
        <v>1514</v>
      </c>
      <c r="E30" s="241"/>
      <c r="F30" s="237">
        <f>'数据-取费表'!B41</f>
        <v>5.6000000000000001E-2</v>
      </c>
      <c r="G30" s="234" t="s">
        <v>1520</v>
      </c>
    </row>
    <row r="31" spans="1:10" ht="16.5" customHeight="1">
      <c r="A31" s="209">
        <v>1</v>
      </c>
      <c r="B31" s="210" t="s">
        <v>1521</v>
      </c>
      <c r="C31" s="211">
        <f ca="1">ROUND((C5+C19+C20+C22+C27)/(1-C21-D22-D27-C30),0)</f>
        <v>2021720</v>
      </c>
      <c r="D31" s="230"/>
      <c r="E31" s="211"/>
      <c r="F31" s="250"/>
      <c r="G31" s="234" t="s">
        <v>1522</v>
      </c>
    </row>
    <row r="32" spans="1:10" s="208" customFormat="1" ht="15.75">
      <c r="A32" s="252" t="s">
        <v>1589</v>
      </c>
      <c r="B32" s="253"/>
      <c r="C32" s="253"/>
      <c r="D32" s="253"/>
      <c r="E32" s="253"/>
      <c r="F32" s="253"/>
      <c r="G32" s="254"/>
    </row>
    <row r="33" spans="1:7" s="214" customFormat="1" ht="13.5" customHeight="1">
      <c r="A33" s="255" t="s">
        <v>337</v>
      </c>
      <c r="B33" s="210" t="s">
        <v>1590</v>
      </c>
      <c r="C33" s="256">
        <f ca="1">SUM(C34:C38)</f>
        <v>342111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307615</v>
      </c>
      <c r="D34" s="217"/>
      <c r="E34" s="220"/>
      <c r="F34" s="257"/>
      <c r="G34" s="219"/>
    </row>
    <row r="35" spans="1:7" ht="13.5" customHeight="1">
      <c r="A35" s="780" t="s">
        <v>351</v>
      </c>
      <c r="B35" s="215" t="s">
        <v>1527</v>
      </c>
      <c r="C35" s="220">
        <f ca="1">ROUND(C34*F35,0)</f>
        <v>6152</v>
      </c>
      <c r="D35" s="220"/>
      <c r="E35" s="220"/>
      <c r="F35" s="259">
        <f>'数据-取费表'!B33</f>
        <v>0.02</v>
      </c>
      <c r="G35" s="219" t="s">
        <v>1528</v>
      </c>
    </row>
    <row r="36" spans="1:7" ht="24">
      <c r="A36" s="780" t="s">
        <v>352</v>
      </c>
      <c r="B36" s="215" t="s">
        <v>1529</v>
      </c>
      <c r="C36" s="220">
        <f ca="1">ROUND(IF(B1="",SUM('数据-取费表'!AP6:AP13)*F36,IF(INDIRECT("'数据-取费表'!c"&amp;$G$1)="住宅",INDIRECT("'数据-取费表'!k"&amp;$G$1)*INDIRECT("'数据-取费表'!l"&amp;$G$1)*F36,0)),0)</f>
        <v>6152</v>
      </c>
      <c r="D36" s="220"/>
      <c r="E36" s="220"/>
      <c r="F36" s="259">
        <f>'数据-取费表'!B34</f>
        <v>0.02</v>
      </c>
      <c r="G36" s="260" t="s">
        <v>1530</v>
      </c>
    </row>
    <row r="37" spans="1:7" s="258" customFormat="1" ht="13.5" customHeight="1">
      <c r="A37" s="780" t="s">
        <v>353</v>
      </c>
      <c r="B37" s="215" t="s">
        <v>1531</v>
      </c>
      <c r="C37" s="249">
        <f ca="1">ROUND(E37*D37,0)</f>
        <v>17578</v>
      </c>
      <c r="D37" s="217">
        <f ca="1">D19</f>
        <v>87.89</v>
      </c>
      <c r="E37" s="249">
        <f>'数据-取费表'!B35</f>
        <v>200</v>
      </c>
      <c r="F37" s="259"/>
      <c r="G37" s="261"/>
    </row>
    <row r="38" spans="1:7" ht="13.5" customHeight="1">
      <c r="A38" s="780" t="s">
        <v>354</v>
      </c>
      <c r="B38" s="215" t="s">
        <v>1533</v>
      </c>
      <c r="C38" s="220">
        <f ca="1">ROUND(C34*F38,0)</f>
        <v>4614</v>
      </c>
      <c r="D38" s="220"/>
      <c r="E38" s="220"/>
      <c r="F38" s="259">
        <f>'数据-取费表'!B36</f>
        <v>1.4999999999999999E-2</v>
      </c>
      <c r="G38" s="219" t="s">
        <v>1528</v>
      </c>
    </row>
    <row r="39" spans="1:7" s="214" customFormat="1" ht="13.5" customHeight="1">
      <c r="A39" s="255" t="s">
        <v>1534</v>
      </c>
      <c r="B39" s="210" t="s">
        <v>1535</v>
      </c>
      <c r="C39" s="232">
        <f ca="1">ROUND(C33*F20,0)</f>
        <v>10263</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16737</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16250</v>
      </c>
      <c r="D42" s="238"/>
      <c r="E42" s="238"/>
      <c r="F42" s="239"/>
      <c r="G42" s="3668" t="s">
        <v>1591</v>
      </c>
    </row>
    <row r="43" spans="1:7" ht="13.5" customHeight="1">
      <c r="A43" s="780" t="s">
        <v>347</v>
      </c>
      <c r="B43" s="215" t="s">
        <v>1545</v>
      </c>
      <c r="C43" s="238">
        <f ca="1">ROUND(IF('数据-取费表'!B22&lt;=1,C39*F22*'数据-取费表'!B20/2,C39*(POWER((1+F22),'数据-取费表'!B20/2)-1)),0)</f>
        <v>487</v>
      </c>
      <c r="D43" s="238"/>
      <c r="E43" s="238"/>
      <c r="F43" s="239"/>
      <c r="G43" s="3669"/>
    </row>
    <row r="44" spans="1:7" ht="13.5" customHeight="1">
      <c r="A44" s="780" t="s">
        <v>348</v>
      </c>
      <c r="B44" s="215" t="s">
        <v>1546</v>
      </c>
      <c r="C44" s="238">
        <f ca="1">ROUND(IF('数据-取费表'!B22&lt;=1,C40*F22*'数据-取费表'!B20/2,C40*(POWER((1+F22),'数据-取费表'!B20/2)-1)),4)</f>
        <v>1E-3</v>
      </c>
      <c r="D44" s="238"/>
      <c r="E44" s="238"/>
      <c r="F44" s="239"/>
      <c r="G44" s="3670"/>
    </row>
    <row r="45" spans="1:7" s="214" customFormat="1" ht="13.5" customHeight="1">
      <c r="A45" s="255" t="s">
        <v>1547</v>
      </c>
      <c r="B45" s="244" t="s">
        <v>1513</v>
      </c>
      <c r="C45" s="245">
        <f ca="1">C46</f>
        <v>88094</v>
      </c>
      <c r="D45" s="235">
        <f ca="1">C47</f>
        <v>5.0000000000000001E-3</v>
      </c>
      <c r="E45" s="236" t="s">
        <v>1539</v>
      </c>
      <c r="F45" s="246">
        <f ca="1">F27</f>
        <v>0.25</v>
      </c>
      <c r="G45" s="247" t="s">
        <v>1548</v>
      </c>
    </row>
    <row r="46" spans="1:7" s="214" customFormat="1" ht="13.5" customHeight="1">
      <c r="A46" s="780" t="s">
        <v>346</v>
      </c>
      <c r="B46" s="248" t="s">
        <v>1549</v>
      </c>
      <c r="C46" s="249">
        <f ca="1">ROUND((C33+C39)*F27,0)</f>
        <v>88094</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496584</v>
      </c>
      <c r="D49" s="232"/>
      <c r="E49" s="232"/>
      <c r="F49" s="264"/>
      <c r="G49" s="234" t="s">
        <v>1554</v>
      </c>
    </row>
    <row r="50" spans="1:7" s="258" customFormat="1">
      <c r="A50" s="255" t="s">
        <v>1555</v>
      </c>
      <c r="B50" s="210" t="s">
        <v>1556</v>
      </c>
      <c r="C50" s="232"/>
      <c r="D50" s="232"/>
      <c r="E50" s="232"/>
      <c r="F50" s="264">
        <f>IF('数据-取费表'!B24=0,'数据-取费表'!N16,1)</f>
        <v>0.96699999999999997</v>
      </c>
      <c r="G50" s="247"/>
    </row>
    <row r="51" spans="1:7" ht="16.5" customHeight="1">
      <c r="A51" s="255" t="s">
        <v>1558</v>
      </c>
      <c r="B51" s="210" t="s">
        <v>1593</v>
      </c>
      <c r="C51" s="232">
        <f ca="1">ROUND(C49*F50,0)</f>
        <v>480197</v>
      </c>
      <c r="D51" s="232"/>
      <c r="E51" s="232"/>
      <c r="F51" s="264"/>
      <c r="G51" s="234" t="s">
        <v>1560</v>
      </c>
    </row>
    <row r="52" spans="1:7" s="208" customFormat="1" ht="16.5" thickBot="1">
      <c r="A52" s="265" t="s">
        <v>1561</v>
      </c>
      <c r="B52" s="266"/>
      <c r="C52" s="267">
        <f ca="1">C31+C51</f>
        <v>2501917</v>
      </c>
      <c r="D52" s="266"/>
      <c r="E52" s="266"/>
      <c r="F52" s="266"/>
      <c r="G52" s="268"/>
    </row>
    <row r="55" spans="1:7" ht="15">
      <c r="B55" s="270" t="s">
        <v>1562</v>
      </c>
      <c r="C55" s="271"/>
    </row>
    <row r="56" spans="1:7">
      <c r="B56" s="273" t="s">
        <v>802</v>
      </c>
      <c r="C56" s="275">
        <f ca="1">1-C57</f>
        <v>0.80800000000000005</v>
      </c>
    </row>
    <row r="57" spans="1:7">
      <c r="B57" s="273" t="s">
        <v>803</v>
      </c>
      <c r="C57" s="274">
        <f ca="1">ROUND(C51/C52,3)</f>
        <v>0.192</v>
      </c>
    </row>
  </sheetData>
  <sheetProtection formatCells="0"/>
  <mergeCells count="1">
    <mergeCell ref="G42:G44"/>
  </mergeCells>
  <phoneticPr fontId="134" type="noConversion"/>
  <dataValidations disablePrompts="1"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topLeftCell="A26" zoomScale="90" zoomScaleNormal="60" zoomScaleSheetLayoutView="90" workbookViewId="0">
      <selection activeCell="G46" sqref="G4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228</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18058</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30" ht="15">
      <c r="A5" s="358"/>
      <c r="B5" s="359"/>
      <c r="C5" s="3713" t="s">
        <v>1673</v>
      </c>
      <c r="D5" s="3714"/>
      <c r="E5" s="3720" t="s">
        <v>1674</v>
      </c>
      <c r="F5" s="3721"/>
      <c r="G5" s="3713" t="s">
        <v>1675</v>
      </c>
      <c r="H5" s="3714"/>
      <c r="I5" s="3713" t="s">
        <v>1676</v>
      </c>
      <c r="J5" s="3714"/>
      <c r="K5" s="559"/>
      <c r="L5" s="2715"/>
      <c r="M5" s="2716"/>
      <c r="N5" s="2716"/>
      <c r="O5" s="2716"/>
      <c r="P5" s="3700"/>
      <c r="Q5" s="3701"/>
      <c r="R5" s="3706"/>
      <c r="S5" s="3707"/>
      <c r="T5" s="3706"/>
      <c r="U5" s="3707"/>
      <c r="V5" s="3710"/>
      <c r="W5" s="3710"/>
      <c r="X5" s="1355"/>
      <c r="Y5" s="3706"/>
      <c r="Z5" s="3707"/>
      <c r="AA5" s="3692"/>
      <c r="AB5" s="3692"/>
      <c r="AC5" s="3692"/>
    </row>
    <row r="6" spans="1:30" ht="15.75" thickBot="1">
      <c r="A6" s="360"/>
      <c r="B6" s="361"/>
      <c r="C6" s="3711" t="s">
        <v>1677</v>
      </c>
      <c r="D6" s="3712"/>
      <c r="E6" s="3718" t="s">
        <v>1677</v>
      </c>
      <c r="F6" s="3719"/>
      <c r="G6" s="3711" t="s">
        <v>1677</v>
      </c>
      <c r="H6" s="3712"/>
      <c r="I6" s="3711" t="s">
        <v>1677</v>
      </c>
      <c r="J6" s="3712"/>
      <c r="K6" s="559" t="s">
        <v>1678</v>
      </c>
      <c r="L6" s="2715"/>
      <c r="M6" s="2716"/>
      <c r="N6" s="2716"/>
      <c r="O6" s="2716"/>
      <c r="P6" s="3702"/>
      <c r="Q6" s="3703"/>
      <c r="R6" s="3706"/>
      <c r="S6" s="3707"/>
      <c r="T6" s="3708"/>
      <c r="U6" s="3709"/>
      <c r="V6" s="3710"/>
      <c r="W6" s="3710"/>
      <c r="X6" s="1355"/>
      <c r="Y6" s="3708"/>
      <c r="Z6" s="3709"/>
      <c r="AA6" s="3693"/>
      <c r="AB6" s="3693"/>
      <c r="AC6" s="3693"/>
    </row>
    <row r="7" spans="1:30" s="108" customFormat="1" ht="15.75" thickBot="1">
      <c r="A7" s="362" t="s">
        <v>1679</v>
      </c>
      <c r="B7" s="363"/>
      <c r="C7" s="364">
        <f>'数据-取费表'!B2</f>
        <v>45162</v>
      </c>
      <c r="D7" s="365">
        <v>100</v>
      </c>
      <c r="E7" s="366">
        <v>45139</v>
      </c>
      <c r="F7" s="367">
        <f>SUMIF(69:69,YEAR(E7)&amp;"-"&amp;INT((MONTH(E7)+2)/3),70:70)</f>
        <v>100</v>
      </c>
      <c r="G7" s="1974">
        <v>45139</v>
      </c>
      <c r="H7" s="365">
        <f>SUMIF(69:69,YEAR(G7)&amp;"-"&amp;INT((MONTH(G7)+2)/3),70:70)</f>
        <v>100</v>
      </c>
      <c r="I7" s="1974">
        <v>45139</v>
      </c>
      <c r="J7" s="365">
        <f>SUMIF(69:69,YEAR(I7)&amp;"-"&amp;INT((MONTH(I7)+2)/3),70:70)</f>
        <v>100</v>
      </c>
      <c r="K7" s="560"/>
      <c r="L7" s="2717"/>
      <c r="M7" s="2718"/>
      <c r="N7" s="2718"/>
      <c r="O7" s="2718"/>
      <c r="P7" s="3715" t="s">
        <v>1680</v>
      </c>
      <c r="Q7" s="3717"/>
      <c r="R7" s="701" t="s">
        <v>14</v>
      </c>
      <c r="S7" s="702">
        <f t="shared" ref="S7:S15" si="0">F7</f>
        <v>100</v>
      </c>
      <c r="T7" s="701" t="s">
        <v>14</v>
      </c>
      <c r="U7" s="702">
        <f t="shared" ref="U7:U15" si="1">H7</f>
        <v>100</v>
      </c>
      <c r="V7" s="701" t="s">
        <v>14</v>
      </c>
      <c r="W7" s="702">
        <f t="shared" ref="W7:W15" si="2">J7</f>
        <v>100</v>
      </c>
      <c r="X7" s="703"/>
      <c r="Y7" s="3715" t="s">
        <v>1680</v>
      </c>
      <c r="Z7" s="3716"/>
      <c r="AA7" s="704">
        <f>D7/F7</f>
        <v>1</v>
      </c>
      <c r="AB7" s="704">
        <f>D7/H7</f>
        <v>1</v>
      </c>
      <c r="AC7" s="704">
        <f>D7/J7</f>
        <v>1</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7"/>
      <c r="M8" s="2718"/>
      <c r="N8" s="2718"/>
      <c r="O8" s="2718"/>
      <c r="P8" s="3715" t="s">
        <v>1683</v>
      </c>
      <c r="Q8" s="3716"/>
      <c r="R8" s="701" t="s">
        <v>14</v>
      </c>
      <c r="S8" s="702">
        <f t="shared" si="0"/>
        <v>100</v>
      </c>
      <c r="T8" s="701" t="s">
        <v>14</v>
      </c>
      <c r="U8" s="702">
        <f t="shared" si="1"/>
        <v>100</v>
      </c>
      <c r="V8" s="701" t="s">
        <v>14</v>
      </c>
      <c r="W8" s="702">
        <f t="shared" si="2"/>
        <v>100</v>
      </c>
      <c r="X8" s="703"/>
      <c r="Y8" s="3715" t="s">
        <v>1683</v>
      </c>
      <c r="Z8" s="3716"/>
      <c r="AA8" s="704">
        <f t="shared" ref="AA8:AA45" si="3">D8/F8</f>
        <v>1</v>
      </c>
      <c r="AB8" s="704">
        <f t="shared" ref="AB8:AB45" si="4">D8/H8</f>
        <v>1</v>
      </c>
      <c r="AC8" s="704">
        <f t="shared" ref="AC8:AC45" si="5">D8/J8</f>
        <v>1</v>
      </c>
    </row>
    <row r="9" spans="1:30" s="108" customFormat="1" ht="15">
      <c r="A9" s="369" t="s">
        <v>1684</v>
      </c>
      <c r="B9" s="63" t="s">
        <v>1685</v>
      </c>
      <c r="C9" s="1977" t="s">
        <v>3831</v>
      </c>
      <c r="D9" s="126">
        <v>100</v>
      </c>
      <c r="E9" s="1977" t="s">
        <v>3379</v>
      </c>
      <c r="F9" s="126">
        <f>SUMIF(74:74,E9,75:75)-SUMIF(74:74,C9,75:75)+100</f>
        <v>105</v>
      </c>
      <c r="G9" s="1977" t="s">
        <v>3379</v>
      </c>
      <c r="H9" s="126">
        <f>SUMIF(74:74,G9,75:75)-SUMIF(74:74,C9,75:75)+100</f>
        <v>105</v>
      </c>
      <c r="I9" s="1977" t="s">
        <v>3379</v>
      </c>
      <c r="J9" s="126">
        <f>SUMIF(74:74,I9,75:75)-SUMIF(74:74,C9,75:75)+100</f>
        <v>105</v>
      </c>
      <c r="K9" s="560"/>
      <c r="L9" s="2717"/>
      <c r="M9" s="2718"/>
      <c r="N9" s="2718"/>
      <c r="O9" s="2772"/>
      <c r="P9" s="3679" t="s">
        <v>1686</v>
      </c>
      <c r="Q9" s="1343" t="str">
        <f t="shared" ref="Q9:Q15" si="6">B9</f>
        <v>用途</v>
      </c>
      <c r="R9" s="701" t="s">
        <v>14</v>
      </c>
      <c r="S9" s="702">
        <f t="shared" si="0"/>
        <v>105</v>
      </c>
      <c r="T9" s="701" t="s">
        <v>14</v>
      </c>
      <c r="U9" s="702">
        <f t="shared" si="1"/>
        <v>105</v>
      </c>
      <c r="V9" s="701" t="s">
        <v>14</v>
      </c>
      <c r="W9" s="702">
        <f t="shared" si="2"/>
        <v>105</v>
      </c>
      <c r="X9" s="703"/>
      <c r="Y9" s="3575" t="s">
        <v>1687</v>
      </c>
      <c r="Z9" s="52" t="str">
        <f t="shared" ref="Z9:Z15" si="7">Q9</f>
        <v>用途</v>
      </c>
      <c r="AA9" s="704">
        <f t="shared" si="3"/>
        <v>0.95238095238095233</v>
      </c>
      <c r="AB9" s="704">
        <f t="shared" si="4"/>
        <v>0.95238095238095233</v>
      </c>
      <c r="AC9" s="704">
        <f t="shared" si="5"/>
        <v>0.95238095238095233</v>
      </c>
    </row>
    <row r="10" spans="1:30" s="378" customFormat="1" ht="27">
      <c r="A10" s="374"/>
      <c r="B10" s="375" t="s">
        <v>1688</v>
      </c>
      <c r="C10" s="383">
        <f>项目基本情况!C15</f>
        <v>64.349999999999994</v>
      </c>
      <c r="D10" s="127">
        <v>100</v>
      </c>
      <c r="E10" s="416" t="s">
        <v>3829</v>
      </c>
      <c r="F10" s="127">
        <f>ROUND(100/'数据-取费表'!G16,0)</f>
        <v>102</v>
      </c>
      <c r="G10" s="414" t="s">
        <v>3829</v>
      </c>
      <c r="H10" s="127">
        <f>ROUND(100/'数据-取费表'!G16,0)</f>
        <v>102</v>
      </c>
      <c r="I10" s="414" t="s">
        <v>3829</v>
      </c>
      <c r="J10" s="127">
        <f>ROUND(100/'数据-取费表'!G16,0)</f>
        <v>102</v>
      </c>
      <c r="K10" s="620"/>
      <c r="L10" s="2719"/>
      <c r="M10" s="2720"/>
      <c r="N10" s="2720"/>
      <c r="O10" s="2773"/>
      <c r="P10" s="3679"/>
      <c r="Q10" s="1343" t="str">
        <f t="shared" si="6"/>
        <v>土地使用年限（年）</v>
      </c>
      <c r="R10" s="701" t="s">
        <v>14</v>
      </c>
      <c r="S10" s="702">
        <f t="shared" si="0"/>
        <v>102</v>
      </c>
      <c r="T10" s="701" t="s">
        <v>14</v>
      </c>
      <c r="U10" s="702">
        <f t="shared" si="1"/>
        <v>102</v>
      </c>
      <c r="V10" s="701" t="s">
        <v>14</v>
      </c>
      <c r="W10" s="702">
        <f t="shared" si="2"/>
        <v>102</v>
      </c>
      <c r="X10" s="703"/>
      <c r="Y10" s="3575"/>
      <c r="Z10" s="52" t="str">
        <f t="shared" si="7"/>
        <v>土地使用年限（年）</v>
      </c>
      <c r="AA10" s="704">
        <f t="shared" si="3"/>
        <v>0.98039215686274506</v>
      </c>
      <c r="AB10" s="704">
        <f t="shared" si="4"/>
        <v>0.98039215686274506</v>
      </c>
      <c r="AC10" s="704">
        <f t="shared" si="5"/>
        <v>0.98039215686274506</v>
      </c>
    </row>
    <row r="11" spans="1:30" ht="15">
      <c r="A11" s="379"/>
      <c r="B11" s="375" t="s">
        <v>1689</v>
      </c>
      <c r="C11" s="380"/>
      <c r="D11" s="127">
        <v>100</v>
      </c>
      <c r="E11" s="380"/>
      <c r="F11" s="127">
        <f>LOOKUP(E11,79:79,80:80)-LOOKUP(C11,79:79,80:80)+100</f>
        <v>100</v>
      </c>
      <c r="G11" s="381"/>
      <c r="H11" s="127">
        <f>LOOKUP(G11,79:79,80:80)-LOOKUP(C11,79:79,80:80)+100</f>
        <v>100</v>
      </c>
      <c r="I11" s="380"/>
      <c r="J11" s="127">
        <f>LOOKUP(I11,79:79,80:80)-LOOKUP(C11,79:79,80:80)+100</f>
        <v>100</v>
      </c>
      <c r="K11" s="621"/>
      <c r="L11" s="2721"/>
      <c r="M11" s="2716"/>
      <c r="N11" s="2716"/>
      <c r="O11" s="2774"/>
      <c r="P11" s="3679"/>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704">
        <f t="shared" si="5"/>
        <v>1</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9"/>
      <c r="Q12" s="1343" t="str">
        <f t="shared" si="6"/>
        <v>配建</v>
      </c>
      <c r="R12" s="701" t="s">
        <v>14</v>
      </c>
      <c r="S12" s="702">
        <f t="shared" si="0"/>
        <v>100</v>
      </c>
      <c r="T12" s="701" t="s">
        <v>14</v>
      </c>
      <c r="U12" s="702">
        <f t="shared" si="1"/>
        <v>100</v>
      </c>
      <c r="V12" s="701" t="s">
        <v>14</v>
      </c>
      <c r="W12" s="702">
        <f t="shared" si="2"/>
        <v>100</v>
      </c>
      <c r="X12" s="703"/>
      <c r="Y12" s="357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9"/>
      <c r="Q13" s="1343">
        <f t="shared" si="6"/>
        <v>111</v>
      </c>
      <c r="R13" s="701" t="s">
        <v>14</v>
      </c>
      <c r="S13" s="702">
        <f t="shared" si="0"/>
        <v>100</v>
      </c>
      <c r="T13" s="701" t="s">
        <v>14</v>
      </c>
      <c r="U13" s="702">
        <f t="shared" si="1"/>
        <v>100</v>
      </c>
      <c r="V13" s="701" t="s">
        <v>14</v>
      </c>
      <c r="W13" s="702">
        <f t="shared" si="2"/>
        <v>100</v>
      </c>
      <c r="X13" s="703"/>
      <c r="Y13" s="357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9"/>
      <c r="Q14" s="1343">
        <f t="shared" si="6"/>
        <v>111</v>
      </c>
      <c r="R14" s="701" t="s">
        <v>14</v>
      </c>
      <c r="S14" s="702">
        <f t="shared" si="0"/>
        <v>100</v>
      </c>
      <c r="T14" s="701" t="s">
        <v>14</v>
      </c>
      <c r="U14" s="702">
        <f t="shared" si="1"/>
        <v>100</v>
      </c>
      <c r="V14" s="701" t="s">
        <v>14</v>
      </c>
      <c r="W14" s="702">
        <f t="shared" si="2"/>
        <v>100</v>
      </c>
      <c r="X14" s="703"/>
      <c r="Y14" s="357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1" t="s">
        <v>1691</v>
      </c>
      <c r="Q15" s="1352" t="str">
        <f t="shared" si="6"/>
        <v>居住社区成熟度</v>
      </c>
      <c r="R15" s="705" t="s">
        <v>14</v>
      </c>
      <c r="S15" s="706">
        <f t="shared" si="0"/>
        <v>100</v>
      </c>
      <c r="T15" s="705" t="s">
        <v>14</v>
      </c>
      <c r="U15" s="706">
        <f t="shared" si="1"/>
        <v>100</v>
      </c>
      <c r="V15" s="705" t="s">
        <v>14</v>
      </c>
      <c r="W15" s="706">
        <f t="shared" si="2"/>
        <v>100</v>
      </c>
      <c r="X15" s="1355"/>
      <c r="Y15" s="368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2"/>
      <c r="Q16" s="1352"/>
      <c r="R16" s="705"/>
      <c r="S16" s="706"/>
      <c r="T16" s="705"/>
      <c r="U16" s="706"/>
      <c r="V16" s="705"/>
      <c r="W16" s="706"/>
      <c r="X16" s="1355"/>
      <c r="Y16" s="368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2"/>
      <c r="Q17" s="1352" t="str">
        <f>B17</f>
        <v>商业繁华度</v>
      </c>
      <c r="R17" s="705" t="s">
        <v>14</v>
      </c>
      <c r="S17" s="706">
        <f>F17</f>
        <v>100</v>
      </c>
      <c r="T17" s="705" t="s">
        <v>14</v>
      </c>
      <c r="U17" s="706">
        <f>H17</f>
        <v>100</v>
      </c>
      <c r="V17" s="705" t="s">
        <v>14</v>
      </c>
      <c r="W17" s="706">
        <f>J17</f>
        <v>100</v>
      </c>
      <c r="X17" s="1355"/>
      <c r="Y17" s="368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2"/>
      <c r="Q18" s="1352"/>
      <c r="R18" s="705"/>
      <c r="S18" s="706"/>
      <c r="T18" s="705"/>
      <c r="U18" s="706"/>
      <c r="V18" s="705"/>
      <c r="W18" s="706"/>
      <c r="X18" s="1355"/>
      <c r="Y18" s="368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2"/>
      <c r="Q19" s="1352" t="str">
        <f>B19</f>
        <v>办公集聚程度</v>
      </c>
      <c r="R19" s="705" t="s">
        <v>14</v>
      </c>
      <c r="S19" s="706">
        <f>F19</f>
        <v>100</v>
      </c>
      <c r="T19" s="705" t="s">
        <v>14</v>
      </c>
      <c r="U19" s="706">
        <f>H19</f>
        <v>100</v>
      </c>
      <c r="V19" s="705" t="s">
        <v>14</v>
      </c>
      <c r="W19" s="706">
        <f>J19</f>
        <v>100</v>
      </c>
      <c r="X19" s="1355"/>
      <c r="Y19" s="368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2"/>
      <c r="Q20" s="1352"/>
      <c r="R20" s="705"/>
      <c r="S20" s="706"/>
      <c r="T20" s="705"/>
      <c r="U20" s="706"/>
      <c r="V20" s="705"/>
      <c r="W20" s="706"/>
      <c r="X20" s="1355"/>
      <c r="Y20" s="368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2"/>
      <c r="Q21" s="1352" t="str">
        <f>B21</f>
        <v>交通便捷度</v>
      </c>
      <c r="R21" s="705" t="s">
        <v>14</v>
      </c>
      <c r="S21" s="706">
        <f>F21</f>
        <v>100</v>
      </c>
      <c r="T21" s="705" t="s">
        <v>14</v>
      </c>
      <c r="U21" s="706">
        <f>H21</f>
        <v>100</v>
      </c>
      <c r="V21" s="705" t="s">
        <v>14</v>
      </c>
      <c r="W21" s="706">
        <f>J21</f>
        <v>100</v>
      </c>
      <c r="X21" s="1355"/>
      <c r="Y21" s="368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2"/>
      <c r="Q22" s="1352"/>
      <c r="R22" s="705"/>
      <c r="S22" s="706"/>
      <c r="T22" s="705"/>
      <c r="U22" s="706"/>
      <c r="V22" s="705"/>
      <c r="W22" s="706"/>
      <c r="X22" s="1355"/>
      <c r="Y22" s="368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2"/>
      <c r="Q23" s="1352" t="str">
        <f t="shared" ref="Q23:Q37" si="8">B23</f>
        <v>区域土地利用方向</v>
      </c>
      <c r="R23" s="705" t="s">
        <v>14</v>
      </c>
      <c r="S23" s="706">
        <f>F23</f>
        <v>100</v>
      </c>
      <c r="T23" s="705" t="s">
        <v>14</v>
      </c>
      <c r="U23" s="706">
        <f>H23</f>
        <v>100</v>
      </c>
      <c r="V23" s="705" t="s">
        <v>14</v>
      </c>
      <c r="W23" s="706">
        <f>J23</f>
        <v>100</v>
      </c>
      <c r="X23" s="1355"/>
      <c r="Y23" s="368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2"/>
      <c r="Q24" s="1352"/>
      <c r="R24" s="705"/>
      <c r="S24" s="706"/>
      <c r="T24" s="705"/>
      <c r="U24" s="706"/>
      <c r="V24" s="705"/>
      <c r="W24" s="706"/>
      <c r="X24" s="1355"/>
      <c r="Y24" s="368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2"/>
      <c r="Q25" s="1352" t="str">
        <f t="shared" si="8"/>
        <v>自然及人文环境状况</v>
      </c>
      <c r="R25" s="705" t="s">
        <v>14</v>
      </c>
      <c r="S25" s="706">
        <f>F25</f>
        <v>100</v>
      </c>
      <c r="T25" s="705" t="s">
        <v>14</v>
      </c>
      <c r="U25" s="706">
        <f>H25</f>
        <v>100</v>
      </c>
      <c r="V25" s="705" t="s">
        <v>14</v>
      </c>
      <c r="W25" s="706">
        <f>J25</f>
        <v>100</v>
      </c>
      <c r="X25" s="1355"/>
      <c r="Y25" s="368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2"/>
      <c r="Q26" s="1352"/>
      <c r="R26" s="705"/>
      <c r="S26" s="706"/>
      <c r="T26" s="705"/>
      <c r="U26" s="706"/>
      <c r="V26" s="705"/>
      <c r="W26" s="706"/>
      <c r="X26" s="1355"/>
      <c r="Y26" s="368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2"/>
      <c r="Q27" s="1343" t="str">
        <f t="shared" si="8"/>
        <v>公共配套设施</v>
      </c>
      <c r="R27" s="701" t="s">
        <v>14</v>
      </c>
      <c r="S27" s="702">
        <f>F27</f>
        <v>100</v>
      </c>
      <c r="T27" s="701" t="s">
        <v>14</v>
      </c>
      <c r="U27" s="702">
        <f>H27</f>
        <v>100</v>
      </c>
      <c r="V27" s="701" t="s">
        <v>14</v>
      </c>
      <c r="W27" s="702">
        <f>J27</f>
        <v>100</v>
      </c>
      <c r="X27" s="703"/>
      <c r="Y27" s="368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2"/>
      <c r="Q28" s="1343"/>
      <c r="R28" s="701"/>
      <c r="S28" s="702"/>
      <c r="T28" s="701"/>
      <c r="U28" s="702"/>
      <c r="V28" s="701"/>
      <c r="W28" s="702"/>
      <c r="X28" s="703"/>
      <c r="Y28" s="368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2"/>
      <c r="Q29" s="1343" t="str">
        <f t="shared" ref="Q29" si="9">B29</f>
        <v>基础设施水平</v>
      </c>
      <c r="R29" s="701" t="s">
        <v>14</v>
      </c>
      <c r="S29" s="702">
        <f>F29</f>
        <v>100</v>
      </c>
      <c r="T29" s="701" t="s">
        <v>14</v>
      </c>
      <c r="U29" s="702">
        <f>H29</f>
        <v>100</v>
      </c>
      <c r="V29" s="701" t="s">
        <v>14</v>
      </c>
      <c r="W29" s="702">
        <f>J29</f>
        <v>100</v>
      </c>
      <c r="X29" s="703"/>
      <c r="Y29" s="368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2"/>
      <c r="Q30" s="1343"/>
      <c r="R30" s="701"/>
      <c r="S30" s="702"/>
      <c r="T30" s="701"/>
      <c r="U30" s="702"/>
      <c r="V30" s="701"/>
      <c r="W30" s="702"/>
      <c r="X30" s="703"/>
      <c r="Y30" s="368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2"/>
      <c r="Q32" s="1352" t="str">
        <f t="shared" si="8"/>
        <v>毗邻道路的类型与等级</v>
      </c>
      <c r="R32" s="705" t="s">
        <v>14</v>
      </c>
      <c r="S32" s="706">
        <f t="shared" si="10"/>
        <v>100</v>
      </c>
      <c r="T32" s="705" t="s">
        <v>14</v>
      </c>
      <c r="U32" s="706">
        <f t="shared" si="11"/>
        <v>100</v>
      </c>
      <c r="V32" s="705" t="s">
        <v>14</v>
      </c>
      <c r="W32" s="706">
        <f t="shared" si="12"/>
        <v>100</v>
      </c>
      <c r="X32" s="1355"/>
      <c r="Y32" s="368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2"/>
      <c r="Q33" s="1352"/>
      <c r="R33" s="705"/>
      <c r="S33" s="706"/>
      <c r="T33" s="705"/>
      <c r="U33" s="706"/>
      <c r="V33" s="705"/>
      <c r="W33" s="706"/>
      <c r="X33" s="1355"/>
      <c r="Y33" s="368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2"/>
      <c r="Q34" s="1352" t="str">
        <f t="shared" si="8"/>
        <v>土地级别</v>
      </c>
      <c r="R34" s="705" t="s">
        <v>14</v>
      </c>
      <c r="S34" s="706">
        <f t="shared" si="10"/>
        <v>100</v>
      </c>
      <c r="T34" s="705" t="s">
        <v>14</v>
      </c>
      <c r="U34" s="706">
        <f t="shared" si="11"/>
        <v>100</v>
      </c>
      <c r="V34" s="705" t="s">
        <v>14</v>
      </c>
      <c r="W34" s="706">
        <f t="shared" si="12"/>
        <v>100</v>
      </c>
      <c r="X34" s="1355"/>
      <c r="Y34" s="368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2"/>
      <c r="Q35" s="1352">
        <f t="shared" si="8"/>
        <v>111</v>
      </c>
      <c r="R35" s="705" t="s">
        <v>14</v>
      </c>
      <c r="S35" s="706">
        <f t="shared" si="10"/>
        <v>100</v>
      </c>
      <c r="T35" s="705" t="s">
        <v>14</v>
      </c>
      <c r="U35" s="706">
        <f t="shared" si="11"/>
        <v>100</v>
      </c>
      <c r="V35" s="705" t="s">
        <v>14</v>
      </c>
      <c r="W35" s="706">
        <f t="shared" si="12"/>
        <v>100</v>
      </c>
      <c r="X35" s="1355"/>
      <c r="Y35" s="368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5" t="s">
        <v>1696</v>
      </c>
      <c r="Q36" s="1352">
        <f t="shared" si="8"/>
        <v>111</v>
      </c>
      <c r="R36" s="705" t="s">
        <v>14</v>
      </c>
      <c r="S36" s="706">
        <f t="shared" si="10"/>
        <v>100</v>
      </c>
      <c r="T36" s="705" t="s">
        <v>14</v>
      </c>
      <c r="U36" s="706">
        <f t="shared" si="11"/>
        <v>100</v>
      </c>
      <c r="V36" s="705" t="s">
        <v>14</v>
      </c>
      <c r="W36" s="706">
        <f t="shared" si="12"/>
        <v>100</v>
      </c>
      <c r="X36" s="1355"/>
      <c r="Y36" s="368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6"/>
      <c r="Q37" s="1352">
        <f t="shared" si="8"/>
        <v>111</v>
      </c>
      <c r="R37" s="708" t="s">
        <v>14</v>
      </c>
      <c r="S37" s="709">
        <f t="shared" si="10"/>
        <v>100</v>
      </c>
      <c r="T37" s="708" t="s">
        <v>14</v>
      </c>
      <c r="U37" s="709">
        <f t="shared" si="11"/>
        <v>100</v>
      </c>
      <c r="V37" s="708" t="s">
        <v>14</v>
      </c>
      <c r="W37" s="709">
        <f t="shared" si="12"/>
        <v>100</v>
      </c>
      <c r="X37" s="710"/>
      <c r="Y37" s="3686"/>
      <c r="Z37" s="711">
        <f t="shared" si="13"/>
        <v>111</v>
      </c>
      <c r="AA37" s="1353">
        <f t="shared" si="3"/>
        <v>1</v>
      </c>
      <c r="AB37" s="1353">
        <f t="shared" si="4"/>
        <v>1</v>
      </c>
      <c r="AC37" s="1353">
        <f t="shared" si="5"/>
        <v>1</v>
      </c>
    </row>
    <row r="38" spans="1:29" ht="15">
      <c r="A38" s="423" t="s">
        <v>1694</v>
      </c>
      <c r="B38" s="407" t="s">
        <v>1874</v>
      </c>
      <c r="C38" s="627"/>
      <c r="D38" s="418">
        <v>100</v>
      </c>
      <c r="E38" s="627"/>
      <c r="F38" s="418">
        <f>LOOKUP(E38,116:116,117:117)-LOOKUP(C38,116:116,117:117)+100</f>
        <v>100</v>
      </c>
      <c r="G38" s="627"/>
      <c r="H38" s="418">
        <f>LOOKUP(G38,116:116,117:117)-LOOKUP(C38,116:116,117:117)+100</f>
        <v>100</v>
      </c>
      <c r="I38" s="479"/>
      <c r="J38" s="418">
        <f>LOOKUP(I38,116:116,117:117)-LOOKUP(C38,116:116,117:117)+100</f>
        <v>100</v>
      </c>
      <c r="K38" s="562"/>
      <c r="L38" s="2722"/>
      <c r="M38" s="2716"/>
      <c r="N38" s="2716"/>
      <c r="O38" s="2774"/>
      <c r="P38" s="3686"/>
      <c r="Q38" s="1352" t="str">
        <f>B38</f>
        <v>宗地面积</v>
      </c>
      <c r="R38" s="705" t="s">
        <v>14</v>
      </c>
      <c r="S38" s="706">
        <f t="shared" si="10"/>
        <v>100</v>
      </c>
      <c r="T38" s="705" t="s">
        <v>14</v>
      </c>
      <c r="U38" s="706">
        <f t="shared" si="11"/>
        <v>100</v>
      </c>
      <c r="V38" s="705" t="s">
        <v>14</v>
      </c>
      <c r="W38" s="706">
        <f t="shared" si="12"/>
        <v>100</v>
      </c>
      <c r="X38" s="1355"/>
      <c r="Y38" s="3686"/>
      <c r="Z38" s="1356" t="str">
        <f t="shared" si="13"/>
        <v>宗地面积</v>
      </c>
      <c r="AA38" s="1353">
        <f t="shared" si="3"/>
        <v>1</v>
      </c>
      <c r="AB38" s="1353">
        <f t="shared" si="4"/>
        <v>1</v>
      </c>
      <c r="AC38" s="1353">
        <f t="shared" si="5"/>
        <v>1</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6"/>
      <c r="Q39" s="1352" t="str">
        <f t="shared" ref="Q39:Q45" si="14">B39</f>
        <v>宗地形状</v>
      </c>
      <c r="R39" s="705" t="s">
        <v>14</v>
      </c>
      <c r="S39" s="706">
        <f t="shared" si="10"/>
        <v>100</v>
      </c>
      <c r="T39" s="705" t="s">
        <v>14</v>
      </c>
      <c r="U39" s="706">
        <f t="shared" si="11"/>
        <v>100</v>
      </c>
      <c r="V39" s="705" t="s">
        <v>14</v>
      </c>
      <c r="W39" s="706">
        <f t="shared" si="12"/>
        <v>100</v>
      </c>
      <c r="X39" s="1355"/>
      <c r="Y39" s="368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6"/>
      <c r="Q40" s="1352" t="str">
        <f t="shared" si="14"/>
        <v>临街宽度及深度</v>
      </c>
      <c r="R40" s="705" t="s">
        <v>14</v>
      </c>
      <c r="S40" s="706">
        <f t="shared" si="10"/>
        <v>100</v>
      </c>
      <c r="T40" s="705" t="s">
        <v>14</v>
      </c>
      <c r="U40" s="706">
        <f t="shared" si="11"/>
        <v>100</v>
      </c>
      <c r="V40" s="705" t="s">
        <v>14</v>
      </c>
      <c r="W40" s="706">
        <f t="shared" si="12"/>
        <v>100</v>
      </c>
      <c r="X40" s="1355"/>
      <c r="Y40" s="368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6"/>
      <c r="Q41" s="1352" t="str">
        <f t="shared" si="14"/>
        <v>宗地开发程度</v>
      </c>
      <c r="R41" s="701" t="s">
        <v>14</v>
      </c>
      <c r="S41" s="702">
        <f t="shared" si="10"/>
        <v>100</v>
      </c>
      <c r="T41" s="701" t="s">
        <v>14</v>
      </c>
      <c r="U41" s="702">
        <f t="shared" si="11"/>
        <v>100</v>
      </c>
      <c r="V41" s="701" t="s">
        <v>14</v>
      </c>
      <c r="W41" s="702">
        <f t="shared" si="12"/>
        <v>100</v>
      </c>
      <c r="X41" s="703"/>
      <c r="Y41" s="368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6" t="s">
        <v>1696</v>
      </c>
      <c r="Q42" s="1352" t="str">
        <f t="shared" si="14"/>
        <v>工程地质条件</v>
      </c>
      <c r="R42" s="705" t="s">
        <v>14</v>
      </c>
      <c r="S42" s="706">
        <f t="shared" si="10"/>
        <v>100</v>
      </c>
      <c r="T42" s="705" t="s">
        <v>14</v>
      </c>
      <c r="U42" s="706">
        <f t="shared" si="11"/>
        <v>100</v>
      </c>
      <c r="V42" s="705" t="s">
        <v>14</v>
      </c>
      <c r="W42" s="706">
        <f t="shared" si="12"/>
        <v>100</v>
      </c>
      <c r="X42" s="1355"/>
      <c r="Y42" s="368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6"/>
      <c r="Q43" s="1352">
        <f t="shared" si="14"/>
        <v>111</v>
      </c>
      <c r="R43" s="705" t="s">
        <v>14</v>
      </c>
      <c r="S43" s="706">
        <f t="shared" si="10"/>
        <v>100</v>
      </c>
      <c r="T43" s="705" t="s">
        <v>14</v>
      </c>
      <c r="U43" s="706">
        <f t="shared" si="11"/>
        <v>100</v>
      </c>
      <c r="V43" s="705" t="s">
        <v>14</v>
      </c>
      <c r="W43" s="706">
        <f t="shared" si="12"/>
        <v>100</v>
      </c>
      <c r="X43" s="1355"/>
      <c r="Y43" s="368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6"/>
      <c r="Q44" s="1352">
        <f t="shared" si="14"/>
        <v>111</v>
      </c>
      <c r="R44" s="705" t="s">
        <v>14</v>
      </c>
      <c r="S44" s="706">
        <f t="shared" si="10"/>
        <v>100</v>
      </c>
      <c r="T44" s="705" t="s">
        <v>14</v>
      </c>
      <c r="U44" s="706">
        <f t="shared" si="11"/>
        <v>100</v>
      </c>
      <c r="V44" s="705" t="s">
        <v>14</v>
      </c>
      <c r="W44" s="706">
        <f t="shared" si="12"/>
        <v>100</v>
      </c>
      <c r="X44" s="1355"/>
      <c r="Y44" s="368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6"/>
      <c r="Q45" s="1352">
        <f t="shared" si="14"/>
        <v>111</v>
      </c>
      <c r="R45" s="708" t="s">
        <v>14</v>
      </c>
      <c r="S45" s="709">
        <f t="shared" si="10"/>
        <v>100</v>
      </c>
      <c r="T45" s="708" t="s">
        <v>14</v>
      </c>
      <c r="U45" s="709">
        <f t="shared" si="11"/>
        <v>100</v>
      </c>
      <c r="V45" s="708" t="s">
        <v>14</v>
      </c>
      <c r="W45" s="709">
        <f t="shared" si="12"/>
        <v>100</v>
      </c>
      <c r="X45" s="710"/>
      <c r="Y45" s="3686"/>
      <c r="Z45" s="711">
        <f t="shared" si="13"/>
        <v>111</v>
      </c>
      <c r="AA45" s="1353">
        <f t="shared" si="3"/>
        <v>1</v>
      </c>
      <c r="AB45" s="1353">
        <f t="shared" si="4"/>
        <v>1</v>
      </c>
      <c r="AC45" s="1353">
        <f t="shared" si="5"/>
        <v>1</v>
      </c>
    </row>
    <row r="46" spans="1:29" ht="15">
      <c r="A46" s="430" t="s">
        <v>1844</v>
      </c>
      <c r="B46" s="1982" t="s">
        <v>1879</v>
      </c>
      <c r="C46" s="630" t="s">
        <v>0</v>
      </c>
      <c r="D46" s="432"/>
      <c r="E46" s="433">
        <f>'sheet1 (2)'!O2</f>
        <v>27429</v>
      </c>
      <c r="F46" s="434"/>
      <c r="G46" s="435">
        <f>'sheet1 (2)'!O3</f>
        <v>31822</v>
      </c>
      <c r="H46" s="436"/>
      <c r="I46" s="433">
        <f>'sheet1 (2)'!O8</f>
        <v>22803</v>
      </c>
      <c r="J46" s="436"/>
      <c r="K46" s="714"/>
      <c r="L46" s="2724"/>
      <c r="M46" s="2725"/>
      <c r="N46" s="2716"/>
      <c r="O46" s="2725"/>
      <c r="P46" s="3679" t="str">
        <f>A46</f>
        <v>成交单价</v>
      </c>
      <c r="Q46" s="3679"/>
      <c r="R46" s="3710">
        <f>E46</f>
        <v>27429</v>
      </c>
      <c r="S46" s="3710"/>
      <c r="T46" s="3710">
        <f>G46</f>
        <v>31822</v>
      </c>
      <c r="U46" s="3710"/>
      <c r="V46" s="3710">
        <f>I46</f>
        <v>22803</v>
      </c>
      <c r="W46" s="3710"/>
      <c r="X46" s="690"/>
      <c r="Y46" s="712"/>
      <c r="Z46" s="690"/>
      <c r="AA46" s="690"/>
      <c r="AB46" s="690"/>
      <c r="AC46" s="690"/>
    </row>
    <row r="47" spans="1:29" ht="15.75" thickBot="1">
      <c r="A47" s="437" t="s">
        <v>1793</v>
      </c>
      <c r="B47" s="631"/>
      <c r="C47" s="440">
        <f>R48</f>
        <v>25538</v>
      </c>
      <c r="D47" s="2317" t="s">
        <v>2138</v>
      </c>
      <c r="E47" s="440">
        <f>R47</f>
        <v>25611</v>
      </c>
      <c r="F47" s="2318"/>
      <c r="G47" s="439">
        <f>T47</f>
        <v>29712</v>
      </c>
      <c r="H47" s="2318"/>
      <c r="I47" s="440">
        <f>V47</f>
        <v>21291</v>
      </c>
      <c r="J47" s="2318"/>
      <c r="K47" s="2320">
        <f>F47+H47+J47</f>
        <v>0</v>
      </c>
      <c r="L47" s="2724"/>
      <c r="M47" s="2725"/>
      <c r="N47" s="2725"/>
      <c r="O47" s="2725"/>
      <c r="P47" s="3679" t="str">
        <f>A47</f>
        <v>比较价值（元/平方米）</v>
      </c>
      <c r="Q47" s="3679"/>
      <c r="R47" s="3722">
        <f>ROUND(PRODUCT(R46,AA7:AA45),0)</f>
        <v>25611</v>
      </c>
      <c r="S47" s="3722"/>
      <c r="T47" s="3722">
        <f>ROUND(PRODUCT(T46,AB7:AB45),0)</f>
        <v>29712</v>
      </c>
      <c r="U47" s="3722"/>
      <c r="V47" s="3722">
        <f>ROUND(PRODUCT(V46,AC7:AC45),0)</f>
        <v>21291</v>
      </c>
      <c r="W47" s="3722"/>
      <c r="X47" s="690"/>
      <c r="Y47" s="690"/>
      <c r="Z47" s="690"/>
      <c r="AA47" s="690"/>
      <c r="AB47" s="690"/>
      <c r="AC47" s="690"/>
    </row>
    <row r="48" spans="1:29" ht="15.75" thickBot="1">
      <c r="A48" s="441" t="s">
        <v>1880</v>
      </c>
      <c r="B48" s="442"/>
      <c r="C48" s="443">
        <f>R48</f>
        <v>25538</v>
      </c>
      <c r="D48" s="443"/>
      <c r="E48" s="443"/>
      <c r="F48" s="443"/>
      <c r="G48" s="443"/>
      <c r="H48" s="443"/>
      <c r="I48" s="443"/>
      <c r="J48" s="443"/>
      <c r="K48" s="715"/>
      <c r="L48" s="2724"/>
      <c r="M48" s="2725"/>
      <c r="N48" s="2725"/>
      <c r="O48" s="2725"/>
      <c r="P48" s="3676" t="str">
        <f>A48</f>
        <v>估价对象XX用房的比较价值（楼面单价，元/平方米）</v>
      </c>
      <c r="Q48" s="3677"/>
      <c r="R48" s="3723">
        <f>ROUND(IF(D47="简单平均",AVERAGE(R47:W47),R47*F47+T47*H47+V47*J47),0)</f>
        <v>25538</v>
      </c>
      <c r="S48" s="3723"/>
      <c r="T48" s="3723"/>
      <c r="U48" s="3723"/>
      <c r="V48" s="3723"/>
      <c r="W48" s="372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f>IF(E46&lt;E47,E47/E46-1,E46/E47-1)</f>
        <v>7.0985123579711873E-2</v>
      </c>
      <c r="F51" s="449" t="str">
        <f>IF(OR(E51&gt;=0.3,E51&lt;=-0.3),"超过30%","")</f>
        <v/>
      </c>
      <c r="G51" s="448">
        <f>IF(G46&lt;G47,G47/G46-1,G46/G47-1)</f>
        <v>7.1015078082929506E-2</v>
      </c>
      <c r="H51" s="449" t="str">
        <f>IF(OR(G51&gt;=0.3,G51&lt;=-0.3),"超过30%","")</f>
        <v/>
      </c>
      <c r="I51" s="448">
        <f>IF(I46&lt;I47,I47/I46-1,I46/I47-1)</f>
        <v>7.1015922220656558E-2</v>
      </c>
      <c r="J51" s="449" t="str">
        <f>IF(OR(I51&gt;=0.3,I51&lt;=-0.3),"超过30%","")</f>
        <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f>IF(E47&lt;G47,G47/E47-1,E47/G47-1)</f>
        <v>0.16012650814103324</v>
      </c>
      <c r="F52" s="449" t="str">
        <f>IF(OR(E52&gt;=0.2,E52&lt;=-0.2),"超过20%","")</f>
        <v/>
      </c>
      <c r="G52" s="448">
        <f>IF(G47&lt;I47,I47/G47-1,G47/I47-1)</f>
        <v>0.39551923347893481</v>
      </c>
      <c r="H52" s="449" t="str">
        <f>IF(OR(G52&gt;=0.2,G52&lt;=-0.2),"超过20%","")</f>
        <v>超过20%</v>
      </c>
      <c r="I52" s="448">
        <f>IF(I47&lt;E47,E47/I47-1,I47/E47-1)</f>
        <v>0.20290263491616178</v>
      </c>
      <c r="J52" s="449" t="str">
        <f>IF(OR(I52&gt;=0.2,I52&lt;=-0.2),"超过20%","")</f>
        <v>超过20%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f>IF(E46&lt;G46,G46/E46-1,E46/G46-1)</f>
        <v>0.16015895584964812</v>
      </c>
      <c r="F53" s="449" t="str">
        <f>IF(OR(E53&gt;=0.3,E53&lt;=-0.3),"超过30%","")</f>
        <v/>
      </c>
      <c r="G53" s="448">
        <f>IF(G46&lt;I46,I46/G46-1,G46/I46-1)</f>
        <v>0.39551813357891508</v>
      </c>
      <c r="H53" s="449" t="str">
        <f>IF(OR(G53&gt;=0.3,G53&lt;=-0.3),"超过30%","")</f>
        <v>超过30%</v>
      </c>
      <c r="I53" s="448">
        <f>IF(I46&lt;E46,E46/I46-1,I46/E46-1)</f>
        <v>0.20286804367846334</v>
      </c>
      <c r="J53" s="449" t="str">
        <f>IF(OR(I53&gt;=0.3,I53&lt;=-0.3),"超过30%","")</f>
        <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4" t="s">
        <v>1887</v>
      </c>
      <c r="H55" s="372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f>C48</f>
        <v>25538</v>
      </c>
      <c r="C56" s="638">
        <v>1</v>
      </c>
      <c r="D56" s="944">
        <v>1</v>
      </c>
      <c r="E56" s="638">
        <f>'数据-汇总表'!E8+'数据-汇总表'!E9</f>
        <v>87.89</v>
      </c>
      <c r="F56" s="886">
        <f t="shared" ref="F56:F64" si="15">ROUND(B56*E56/10000,0)</f>
        <v>224</v>
      </c>
      <c r="G56" s="3690"/>
      <c r="H56" s="367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f>ROUND($C$48*C57*D57,0)</f>
        <v>0</v>
      </c>
      <c r="C57" s="171">
        <f t="shared" ref="C57:C64" si="16">IF($C$55="北京市系数",I57,J57)</f>
        <v>0</v>
      </c>
      <c r="D57" s="945">
        <v>0.25</v>
      </c>
      <c r="E57" s="642"/>
      <c r="F57" s="886">
        <f t="shared" si="15"/>
        <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f t="shared" ref="B58:B64" si="17">ROUND($C$48*C58*D58,0)</f>
        <v>0</v>
      </c>
      <c r="C58" s="171">
        <f t="shared" si="16"/>
        <v>0</v>
      </c>
      <c r="D58" s="945">
        <v>0.25</v>
      </c>
      <c r="E58" s="642"/>
      <c r="F58" s="886">
        <f t="shared" si="15"/>
        <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f t="shared" si="17"/>
        <v>0</v>
      </c>
      <c r="C59" s="171">
        <f t="shared" si="16"/>
        <v>0</v>
      </c>
      <c r="D59" s="945">
        <v>0.25</v>
      </c>
      <c r="E59" s="642"/>
      <c r="F59" s="886">
        <f t="shared" si="15"/>
        <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f t="shared" si="17"/>
        <v>0</v>
      </c>
      <c r="C60" s="171">
        <f t="shared" si="16"/>
        <v>0</v>
      </c>
      <c r="D60" s="945">
        <v>0.25</v>
      </c>
      <c r="E60" s="217">
        <f>'数据-汇总表'!E11</f>
        <v>0</v>
      </c>
      <c r="F60" s="886">
        <f t="shared" si="15"/>
        <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f t="shared" si="17"/>
        <v>958</v>
      </c>
      <c r="C62" s="171">
        <f t="shared" si="16"/>
        <v>0.15</v>
      </c>
      <c r="D62" s="945">
        <v>0.25</v>
      </c>
      <c r="E62" s="217">
        <f>'数据-汇总表'!E13</f>
        <v>38.369999999999997</v>
      </c>
      <c r="F62" s="886">
        <f t="shared" si="15"/>
        <v>4</v>
      </c>
      <c r="G62" s="892" t="s">
        <v>1900</v>
      </c>
      <c r="H62" s="887" t="str">
        <f>IF(G62="商业",项目基本情况!B37,IF(G62="办公",项目基本情况!C37,IF(G62="住宅",项目基本情况!D37,项目基本情况!E37)))</f>
        <v>七级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f t="shared" si="17"/>
        <v>0</v>
      </c>
      <c r="C63" s="171">
        <f t="shared" si="16"/>
        <v>0</v>
      </c>
      <c r="D63" s="945">
        <v>0.25</v>
      </c>
      <c r="E63" s="217">
        <f>'数据-汇总表'!E14</f>
        <v>0</v>
      </c>
      <c r="F63" s="886">
        <f t="shared" si="15"/>
        <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f t="shared" si="17"/>
        <v>0</v>
      </c>
      <c r="C64" s="171">
        <f t="shared" si="16"/>
        <v>0</v>
      </c>
      <c r="D64" s="945">
        <v>0.25</v>
      </c>
      <c r="E64" s="217">
        <f>'数据-汇总表'!E15</f>
        <v>0</v>
      </c>
      <c r="F64" s="886">
        <f t="shared" si="15"/>
        <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126.25999999999999</v>
      </c>
      <c r="F65" s="645">
        <f>IF(B46="楼面地价",SUM(F56:F64),ROUND(C48*E65/10000,0))</f>
        <v>228</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3475" t="s">
        <v>3830</v>
      </c>
      <c r="D74" s="3475" t="s">
        <v>3832</v>
      </c>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v>100</v>
      </c>
      <c r="D75" s="485">
        <v>95</v>
      </c>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0（含）-1</v>
      </c>
      <c r="D78" s="496" t="str">
        <f t="shared" ref="D78:L78" si="20">D79&amp;"（含）"&amp;"-"&amp;E79</f>
        <v>1（含）-2</v>
      </c>
      <c r="E78" s="496" t="str">
        <f t="shared" si="20"/>
        <v>2（含）-3</v>
      </c>
      <c r="F78" s="496" t="str">
        <f t="shared" si="20"/>
        <v>3（含）-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v>0</v>
      </c>
      <c r="D79" s="498">
        <v>1</v>
      </c>
      <c r="E79" s="498">
        <v>2</v>
      </c>
      <c r="F79" s="498">
        <v>3</v>
      </c>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28.5">
      <c r="A115" s="476" t="s">
        <v>1694</v>
      </c>
      <c r="B115" s="477" t="s">
        <v>1913</v>
      </c>
      <c r="C115" s="478" t="str">
        <f>C116&amp;"(含)"&amp;"-"&amp;D116</f>
        <v>0(含)-10000</v>
      </c>
      <c r="D115" s="478" t="str">
        <f t="shared" ref="D115:M115" si="25">D116&amp;"(含)"&amp;"-"&amp;E116</f>
        <v>10000(含)-20000</v>
      </c>
      <c r="E115" s="478" t="str">
        <f t="shared" si="25"/>
        <v>20000(含)-10000</v>
      </c>
      <c r="F115" s="478" t="str">
        <f t="shared" si="25"/>
        <v>10000(含)-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v>0</v>
      </c>
      <c r="D116" s="544">
        <v>10000</v>
      </c>
      <c r="E116" s="544">
        <v>20000</v>
      </c>
      <c r="F116" s="544">
        <v>10000</v>
      </c>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v>100</v>
      </c>
      <c r="D117" s="540">
        <v>100</v>
      </c>
      <c r="E117" s="540">
        <v>100</v>
      </c>
      <c r="F117" s="540">
        <v>100</v>
      </c>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53" priority="18" stopIfTrue="1" operator="containsText" text="超过">
      <formula>NOT(ISERROR(SEARCH("超过",F51)))</formula>
    </cfRule>
  </conditionalFormatting>
  <conditionalFormatting sqref="J53">
    <cfRule type="containsText" dxfId="152" priority="17" stopIfTrue="1" operator="containsText" text="超过">
      <formula>NOT(ISERROR(SEARCH("超过",J53)))</formula>
    </cfRule>
  </conditionalFormatting>
  <conditionalFormatting sqref="H53">
    <cfRule type="containsText" dxfId="151" priority="16" stopIfTrue="1" operator="containsText" text="超过">
      <formula>NOT(ISERROR(SEARCH("超过",H53)))</formula>
    </cfRule>
  </conditionalFormatting>
  <conditionalFormatting sqref="F53">
    <cfRule type="containsText" dxfId="150" priority="15" stopIfTrue="1" operator="containsText" text="超过">
      <formula>NOT(ISERROR(SEARCH("超过",F53)))</formula>
    </cfRule>
  </conditionalFormatting>
  <conditionalFormatting sqref="F52 H52 J52">
    <cfRule type="containsText" dxfId="149" priority="14" stopIfTrue="1" operator="containsText" text="超过">
      <formula>NOT(ISERROR(SEARCH("超过",F52)))</formula>
    </cfRule>
  </conditionalFormatting>
  <conditionalFormatting sqref="E51">
    <cfRule type="expression" dxfId="148" priority="13" stopIfTrue="1">
      <formula>$F$51="超过30%"</formula>
    </cfRule>
  </conditionalFormatting>
  <conditionalFormatting sqref="G53">
    <cfRule type="expression" dxfId="147" priority="12" stopIfTrue="1">
      <formula>$H$53="超过30%"</formula>
    </cfRule>
  </conditionalFormatting>
  <conditionalFormatting sqref="E52">
    <cfRule type="expression" dxfId="146" priority="11" stopIfTrue="1">
      <formula>$F$52="超过20%"</formula>
    </cfRule>
  </conditionalFormatting>
  <conditionalFormatting sqref="E53">
    <cfRule type="expression" dxfId="145" priority="10" stopIfTrue="1">
      <formula>$F$53="超过30%"</formula>
    </cfRule>
  </conditionalFormatting>
  <conditionalFormatting sqref="G51">
    <cfRule type="expression" dxfId="144" priority="9" stopIfTrue="1">
      <formula>$H$53+$H$51="超过30%"</formula>
    </cfRule>
  </conditionalFormatting>
  <conditionalFormatting sqref="G52">
    <cfRule type="expression" dxfId="143" priority="8" stopIfTrue="1">
      <formula>$H$52="超过20%"</formula>
    </cfRule>
  </conditionalFormatting>
  <conditionalFormatting sqref="I51">
    <cfRule type="expression" dxfId="142" priority="7" stopIfTrue="1">
      <formula>$J$51="超过30%"</formula>
    </cfRule>
  </conditionalFormatting>
  <conditionalFormatting sqref="I52">
    <cfRule type="expression" dxfId="141" priority="6" stopIfTrue="1">
      <formula>$J$52="超过20%"</formula>
    </cfRule>
  </conditionalFormatting>
  <conditionalFormatting sqref="I53">
    <cfRule type="expression" dxfId="140" priority="5" stopIfTrue="1">
      <formula>$J$53="超过30%"</formula>
    </cfRule>
  </conditionalFormatting>
  <conditionalFormatting sqref="F47">
    <cfRule type="expression" dxfId="139" priority="4">
      <formula>$D$47="简单平均"</formula>
    </cfRule>
  </conditionalFormatting>
  <conditionalFormatting sqref="H47">
    <cfRule type="expression" dxfId="138" priority="3">
      <formula>$D$47="简单平均"</formula>
    </cfRule>
  </conditionalFormatting>
  <conditionalFormatting sqref="J47">
    <cfRule type="expression" dxfId="137" priority="2">
      <formula>$D$47="简单平均"</formula>
    </cfRule>
  </conditionalFormatting>
  <conditionalFormatting sqref="F7:F45 H7:H45 J7:J45">
    <cfRule type="cellIs" dxfId="13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EF027-A3B6-4AFD-B7FD-329C631C4798}">
  <dimension ref="A1:R82"/>
  <sheetViews>
    <sheetView topLeftCell="B1" workbookViewId="0">
      <selection activeCell="O8" sqref="O8"/>
    </sheetView>
  </sheetViews>
  <sheetFormatPr defaultRowHeight="14.25"/>
  <cols>
    <col min="1" max="1" width="20" style="3473" hidden="1" customWidth="1"/>
    <col min="2" max="2" width="24.5" style="3473" customWidth="1"/>
    <col min="3" max="3" width="29.375" style="3473" bestFit="1" customWidth="1"/>
    <col min="4" max="4" width="20" style="3473" hidden="1" customWidth="1"/>
    <col min="5" max="5" width="14.125" style="3473" customWidth="1"/>
    <col min="6" max="6" width="9.625" style="3473" hidden="1" customWidth="1"/>
    <col min="7" max="7" width="7" style="3473" customWidth="1"/>
    <col min="8" max="8" width="8" style="3473" customWidth="1"/>
    <col min="9" max="9" width="9.875" style="3473" customWidth="1"/>
    <col min="10" max="10" width="11.625" style="3473" customWidth="1"/>
    <col min="11" max="12" width="20" style="3473" hidden="1" customWidth="1"/>
    <col min="13" max="13" width="11.875" style="3473" customWidth="1"/>
    <col min="14" max="14" width="20" style="3473" hidden="1" customWidth="1"/>
    <col min="15" max="15" width="9.75" style="3473" customWidth="1"/>
    <col min="16" max="16" width="12.125" style="3473" customWidth="1"/>
    <col min="17" max="17" width="20" style="3473" customWidth="1"/>
    <col min="18" max="18" width="20" style="3473" hidden="1" customWidth="1"/>
    <col min="19" max="19" width="20" style="3473" customWidth="1"/>
    <col min="20" max="16384" width="9" style="3473"/>
  </cols>
  <sheetData>
    <row r="1" spans="1:18">
      <c r="A1" s="3726"/>
      <c r="B1" s="3726" t="s">
        <v>3827</v>
      </c>
      <c r="C1" s="3726" t="s">
        <v>3826</v>
      </c>
      <c r="D1" s="3726" t="s">
        <v>3825</v>
      </c>
      <c r="E1" s="3726" t="s">
        <v>3824</v>
      </c>
      <c r="F1" s="3726" t="s">
        <v>3823</v>
      </c>
      <c r="G1" s="3726" t="s">
        <v>3822</v>
      </c>
      <c r="H1" s="3726" t="s">
        <v>3821</v>
      </c>
      <c r="I1" s="3726" t="s">
        <v>3820</v>
      </c>
      <c r="J1" s="3726" t="s">
        <v>3819</v>
      </c>
      <c r="K1" s="3726" t="s">
        <v>3818</v>
      </c>
      <c r="L1" s="3726" t="s">
        <v>3817</v>
      </c>
      <c r="M1" s="3726" t="s">
        <v>3816</v>
      </c>
      <c r="N1" s="3726" t="s">
        <v>3815</v>
      </c>
      <c r="O1" s="3726" t="s">
        <v>3814</v>
      </c>
      <c r="P1" s="3726" t="s">
        <v>3813</v>
      </c>
      <c r="Q1" s="3726" t="s">
        <v>3812</v>
      </c>
      <c r="R1" s="3726" t="s">
        <v>3811</v>
      </c>
    </row>
    <row r="2" spans="1:18" s="3478" customFormat="1">
      <c r="A2" s="3734"/>
      <c r="B2" s="3734" t="s">
        <v>3810</v>
      </c>
      <c r="C2" s="3734" t="s">
        <v>3809</v>
      </c>
      <c r="D2" s="3734" t="s">
        <v>3426</v>
      </c>
      <c r="E2" s="3734" t="s">
        <v>3425</v>
      </c>
      <c r="F2" s="3734" t="s">
        <v>3424</v>
      </c>
      <c r="G2" s="3734">
        <v>2.8</v>
      </c>
      <c r="H2" s="3734" t="s">
        <v>3808</v>
      </c>
      <c r="I2" s="3734">
        <v>191401</v>
      </c>
      <c r="J2" s="3734">
        <v>68397.55</v>
      </c>
      <c r="K2" s="3734" t="s">
        <v>3807</v>
      </c>
      <c r="L2" s="3734">
        <v>525000</v>
      </c>
      <c r="M2" s="3735">
        <v>45195.000497685185</v>
      </c>
      <c r="N2" s="3734">
        <v>525000</v>
      </c>
      <c r="O2" s="3734">
        <v>27429</v>
      </c>
      <c r="P2" s="3734">
        <v>0</v>
      </c>
      <c r="Q2" s="3734" t="s">
        <v>3806</v>
      </c>
      <c r="R2" s="3734">
        <v>105000</v>
      </c>
    </row>
    <row r="3" spans="1:18" s="3478" customFormat="1">
      <c r="A3" s="3734"/>
      <c r="B3" s="3734" t="s">
        <v>3805</v>
      </c>
      <c r="C3" s="3734" t="s">
        <v>3804</v>
      </c>
      <c r="D3" s="3734" t="s">
        <v>3426</v>
      </c>
      <c r="E3" s="3734" t="s">
        <v>3425</v>
      </c>
      <c r="F3" s="3734" t="s">
        <v>3424</v>
      </c>
      <c r="G3" s="3734">
        <v>1.88</v>
      </c>
      <c r="H3" s="3734" t="s">
        <v>3803</v>
      </c>
      <c r="I3" s="3734">
        <v>113759</v>
      </c>
      <c r="J3" s="3734">
        <v>60453.39</v>
      </c>
      <c r="K3" s="3734" t="s">
        <v>3802</v>
      </c>
      <c r="L3" s="3734">
        <v>323000</v>
      </c>
      <c r="M3" s="3735">
        <v>45093.000497685185</v>
      </c>
      <c r="N3" s="3734">
        <v>362000</v>
      </c>
      <c r="O3" s="3734">
        <v>31822</v>
      </c>
      <c r="P3" s="3734">
        <v>0.1207</v>
      </c>
      <c r="Q3" s="3734" t="s">
        <v>3801</v>
      </c>
      <c r="R3" s="3734">
        <v>65000</v>
      </c>
    </row>
    <row r="4" spans="1:18" s="3476" customFormat="1">
      <c r="A4" s="3732"/>
      <c r="B4" s="3732" t="s">
        <v>3800</v>
      </c>
      <c r="C4" s="3732" t="s">
        <v>3799</v>
      </c>
      <c r="D4" s="3732" t="s">
        <v>3426</v>
      </c>
      <c r="E4" s="3732" t="s">
        <v>3425</v>
      </c>
      <c r="F4" s="3732" t="s">
        <v>3424</v>
      </c>
      <c r="G4" s="3732">
        <v>3</v>
      </c>
      <c r="H4" s="3732" t="s">
        <v>3798</v>
      </c>
      <c r="I4" s="3732">
        <v>78747</v>
      </c>
      <c r="J4" s="3732">
        <v>26249.06</v>
      </c>
      <c r="K4" s="3732" t="s">
        <v>3797</v>
      </c>
      <c r="L4" s="3732">
        <v>283000</v>
      </c>
      <c r="M4" s="3733">
        <v>45078.000497685185</v>
      </c>
      <c r="N4" s="3732">
        <v>283000</v>
      </c>
      <c r="O4" s="3732">
        <v>35938</v>
      </c>
      <c r="P4" s="3732">
        <v>0</v>
      </c>
      <c r="Q4" s="3732" t="s">
        <v>3788</v>
      </c>
      <c r="R4" s="3732">
        <v>57000</v>
      </c>
    </row>
    <row r="5" spans="1:18" s="3477" customFormat="1">
      <c r="A5" s="3730"/>
      <c r="B5" s="3730" t="s">
        <v>3796</v>
      </c>
      <c r="C5" s="3730" t="s">
        <v>3795</v>
      </c>
      <c r="D5" s="3730" t="s">
        <v>3426</v>
      </c>
      <c r="E5" s="3730" t="s">
        <v>3425</v>
      </c>
      <c r="F5" s="3730" t="s">
        <v>3424</v>
      </c>
      <c r="G5" s="3730" t="s">
        <v>3794</v>
      </c>
      <c r="H5" s="3730" t="s">
        <v>3793</v>
      </c>
      <c r="I5" s="3730">
        <v>60278</v>
      </c>
      <c r="J5" s="3730">
        <v>26060.080000000002</v>
      </c>
      <c r="K5" s="3730" t="s">
        <v>3792</v>
      </c>
      <c r="L5" s="3730">
        <v>226000</v>
      </c>
      <c r="M5" s="3731">
        <v>44965.000497685185</v>
      </c>
      <c r="N5" s="3730">
        <v>259900</v>
      </c>
      <c r="O5" s="3730">
        <v>43117</v>
      </c>
      <c r="P5" s="3730">
        <v>0.15</v>
      </c>
      <c r="Q5" s="3730" t="s">
        <v>3791</v>
      </c>
      <c r="R5" s="3730">
        <v>46000</v>
      </c>
    </row>
    <row r="6" spans="1:18" s="3477" customFormat="1">
      <c r="A6" s="3730"/>
      <c r="B6" s="3730" t="s">
        <v>3790</v>
      </c>
      <c r="C6" s="3730" t="s">
        <v>3789</v>
      </c>
      <c r="D6" s="3730" t="s">
        <v>3426</v>
      </c>
      <c r="E6" s="3730" t="s">
        <v>3432</v>
      </c>
      <c r="F6" s="3730" t="s">
        <v>3424</v>
      </c>
      <c r="G6" s="3730">
        <v>2.3199999999999998</v>
      </c>
      <c r="H6" s="3730" t="s">
        <v>3604</v>
      </c>
      <c r="I6" s="3730">
        <v>70795</v>
      </c>
      <c r="J6" s="3730">
        <v>30556.98</v>
      </c>
      <c r="K6" s="3730" t="s">
        <v>3785</v>
      </c>
      <c r="L6" s="3730">
        <v>269000</v>
      </c>
      <c r="M6" s="3731">
        <v>44894.000497685185</v>
      </c>
      <c r="N6" s="3730">
        <v>284000</v>
      </c>
      <c r="O6" s="3730">
        <v>40116</v>
      </c>
      <c r="P6" s="3730">
        <v>5.5800000000000002E-2</v>
      </c>
      <c r="Q6" s="3730" t="s">
        <v>3788</v>
      </c>
      <c r="R6" s="3730">
        <v>54000</v>
      </c>
    </row>
    <row r="7" spans="1:18" s="3476" customFormat="1">
      <c r="A7" s="3732"/>
      <c r="B7" s="3732" t="s">
        <v>3787</v>
      </c>
      <c r="C7" s="3732" t="s">
        <v>3786</v>
      </c>
      <c r="D7" s="3732" t="s">
        <v>3433</v>
      </c>
      <c r="E7" s="3732" t="s">
        <v>3432</v>
      </c>
      <c r="F7" s="3732" t="s">
        <v>3424</v>
      </c>
      <c r="G7" s="3732">
        <v>1.4</v>
      </c>
      <c r="H7" s="3732" t="s">
        <v>3604</v>
      </c>
      <c r="I7" s="3732">
        <v>32205.81</v>
      </c>
      <c r="J7" s="3732">
        <v>23004.15</v>
      </c>
      <c r="K7" s="3732" t="s">
        <v>3785</v>
      </c>
      <c r="L7" s="3732">
        <v>79000</v>
      </c>
      <c r="M7" s="3733">
        <v>44893.000497685185</v>
      </c>
      <c r="N7" s="3732">
        <v>79000</v>
      </c>
      <c r="O7" s="3732">
        <v>24530</v>
      </c>
      <c r="P7" s="3732">
        <v>0</v>
      </c>
      <c r="Q7" s="3732" t="s">
        <v>3784</v>
      </c>
      <c r="R7" s="3732">
        <v>16000</v>
      </c>
    </row>
    <row r="8" spans="1:18" s="3477" customFormat="1">
      <c r="A8" s="3730"/>
      <c r="B8" s="3730" t="s">
        <v>3783</v>
      </c>
      <c r="C8" s="3730" t="s">
        <v>3782</v>
      </c>
      <c r="D8" s="3730" t="s">
        <v>3426</v>
      </c>
      <c r="E8" s="3730" t="s">
        <v>3425</v>
      </c>
      <c r="F8" s="3730" t="s">
        <v>3424</v>
      </c>
      <c r="G8" s="3730">
        <v>1.2</v>
      </c>
      <c r="H8" s="3730" t="s">
        <v>3755</v>
      </c>
      <c r="I8" s="3730">
        <v>99550</v>
      </c>
      <c r="J8" s="3730">
        <v>82958.13</v>
      </c>
      <c r="K8" s="3730" t="s">
        <v>3781</v>
      </c>
      <c r="L8" s="3730">
        <v>227000</v>
      </c>
      <c r="M8" s="3731">
        <v>44826.000497685185</v>
      </c>
      <c r="N8" s="3730">
        <v>227000</v>
      </c>
      <c r="O8" s="3730">
        <v>22803</v>
      </c>
      <c r="P8" s="3730">
        <v>0</v>
      </c>
      <c r="Q8" s="3730" t="s">
        <v>3780</v>
      </c>
      <c r="R8" s="3730">
        <v>46000</v>
      </c>
    </row>
    <row r="9" spans="1:18" s="3476" customFormat="1">
      <c r="A9" s="3732"/>
      <c r="B9" s="3732" t="s">
        <v>3779</v>
      </c>
      <c r="C9" s="3732" t="s">
        <v>3778</v>
      </c>
      <c r="D9" s="3732" t="s">
        <v>3426</v>
      </c>
      <c r="E9" s="3732" t="s">
        <v>3425</v>
      </c>
      <c r="F9" s="3732" t="s">
        <v>3424</v>
      </c>
      <c r="G9" s="3732" t="s">
        <v>3777</v>
      </c>
      <c r="H9" s="3732" t="s">
        <v>3515</v>
      </c>
      <c r="I9" s="3732">
        <v>72588</v>
      </c>
      <c r="J9" s="3732">
        <v>29035</v>
      </c>
      <c r="K9" s="3732" t="s">
        <v>3776</v>
      </c>
      <c r="L9" s="3732">
        <v>266000</v>
      </c>
      <c r="M9" s="3733">
        <v>44712.000497685185</v>
      </c>
      <c r="N9" s="3732">
        <v>266000</v>
      </c>
      <c r="O9" s="3732">
        <v>36645</v>
      </c>
      <c r="P9" s="3732">
        <v>0</v>
      </c>
      <c r="Q9" s="3732" t="s">
        <v>3775</v>
      </c>
      <c r="R9" s="3732">
        <v>54000</v>
      </c>
    </row>
    <row r="10" spans="1:18" s="3476" customFormat="1">
      <c r="A10" s="3732"/>
      <c r="B10" s="3732" t="s">
        <v>3774</v>
      </c>
      <c r="C10" s="3732" t="s">
        <v>3773</v>
      </c>
      <c r="D10" s="3732" t="s">
        <v>3426</v>
      </c>
      <c r="E10" s="3732" t="s">
        <v>3432</v>
      </c>
      <c r="F10" s="3732" t="s">
        <v>3424</v>
      </c>
      <c r="G10" s="3732">
        <v>2.8</v>
      </c>
      <c r="H10" s="3732" t="s">
        <v>3604</v>
      </c>
      <c r="I10" s="3732">
        <v>45896</v>
      </c>
      <c r="J10" s="3732">
        <v>16391.759999999998</v>
      </c>
      <c r="K10" s="3732" t="s">
        <v>3767</v>
      </c>
      <c r="L10" s="3732">
        <v>227000</v>
      </c>
      <c r="M10" s="3733">
        <v>44609.000497685185</v>
      </c>
      <c r="N10" s="3732">
        <v>228200</v>
      </c>
      <c r="O10" s="3732">
        <v>49721</v>
      </c>
      <c r="P10" s="3732">
        <v>5.3E-3</v>
      </c>
      <c r="Q10" s="3732" t="s">
        <v>3772</v>
      </c>
      <c r="R10" s="3732">
        <v>46000</v>
      </c>
    </row>
    <row r="11" spans="1:18" s="3477" customFormat="1">
      <c r="A11" s="3730"/>
      <c r="B11" s="3730" t="s">
        <v>3771</v>
      </c>
      <c r="C11" s="3730" t="s">
        <v>3770</v>
      </c>
      <c r="D11" s="3730" t="s">
        <v>3426</v>
      </c>
      <c r="E11" s="3730" t="s">
        <v>3425</v>
      </c>
      <c r="F11" s="3730" t="s">
        <v>3424</v>
      </c>
      <c r="G11" s="3730" t="s">
        <v>3769</v>
      </c>
      <c r="H11" s="3730" t="s">
        <v>3768</v>
      </c>
      <c r="I11" s="3730">
        <v>93794</v>
      </c>
      <c r="J11" s="3730">
        <v>73667.25</v>
      </c>
      <c r="K11" s="3730" t="s">
        <v>3767</v>
      </c>
      <c r="L11" s="3730">
        <v>377000</v>
      </c>
      <c r="M11" s="3731">
        <v>44609.000497685185</v>
      </c>
      <c r="N11" s="3730">
        <v>401700</v>
      </c>
      <c r="O11" s="3730">
        <v>42828</v>
      </c>
      <c r="P11" s="3730">
        <v>6.5500000000000003E-2</v>
      </c>
      <c r="Q11" s="3730" t="s">
        <v>3766</v>
      </c>
      <c r="R11" s="3730">
        <v>76000</v>
      </c>
    </row>
    <row r="12" spans="1:18">
      <c r="A12" s="3726"/>
      <c r="B12" s="3726" t="s">
        <v>3765</v>
      </c>
      <c r="C12" s="3726" t="s">
        <v>3764</v>
      </c>
      <c r="D12" s="3726" t="s">
        <v>3433</v>
      </c>
      <c r="E12" s="3726" t="s">
        <v>3432</v>
      </c>
      <c r="F12" s="3726" t="s">
        <v>3424</v>
      </c>
      <c r="G12" s="3726">
        <v>2.7</v>
      </c>
      <c r="H12" s="3726" t="s">
        <v>3604</v>
      </c>
      <c r="I12" s="3726">
        <v>67598.39</v>
      </c>
      <c r="J12" s="3726">
        <v>25036.44</v>
      </c>
      <c r="K12" s="3726" t="s">
        <v>3760</v>
      </c>
      <c r="L12" s="3726">
        <v>146000</v>
      </c>
      <c r="M12" s="3727">
        <v>44554.000497685185</v>
      </c>
      <c r="N12" s="3726">
        <v>148400</v>
      </c>
      <c r="O12" s="3726">
        <v>21953</v>
      </c>
      <c r="P12" s="3726">
        <v>1.6399999999999998E-2</v>
      </c>
      <c r="Q12" s="3726" t="s">
        <v>3763</v>
      </c>
      <c r="R12" s="3726">
        <v>30000</v>
      </c>
    </row>
    <row r="13" spans="1:18">
      <c r="A13" s="3726"/>
      <c r="B13" s="3726" t="s">
        <v>3762</v>
      </c>
      <c r="C13" s="3726" t="s">
        <v>3761</v>
      </c>
      <c r="D13" s="3726" t="s">
        <v>3433</v>
      </c>
      <c r="E13" s="3726" t="s">
        <v>3432</v>
      </c>
      <c r="F13" s="3726" t="s">
        <v>3424</v>
      </c>
      <c r="G13" s="3726">
        <v>2</v>
      </c>
      <c r="H13" s="3726" t="s">
        <v>3604</v>
      </c>
      <c r="I13" s="3726">
        <v>53582.42</v>
      </c>
      <c r="J13" s="3726">
        <v>26791.21</v>
      </c>
      <c r="K13" s="3726" t="s">
        <v>3760</v>
      </c>
      <c r="L13" s="3726">
        <v>115000</v>
      </c>
      <c r="M13" s="3727">
        <v>44554.000497685185</v>
      </c>
      <c r="N13" s="3726">
        <v>116800</v>
      </c>
      <c r="O13" s="3726">
        <v>21798</v>
      </c>
      <c r="P13" s="3726">
        <v>1.5700000000000002E-2</v>
      </c>
      <c r="Q13" s="3726" t="s">
        <v>3759</v>
      </c>
      <c r="R13" s="3726">
        <v>23000</v>
      </c>
    </row>
    <row r="14" spans="1:18">
      <c r="A14" s="3726"/>
      <c r="B14" s="3726" t="s">
        <v>3758</v>
      </c>
      <c r="C14" s="3726" t="s">
        <v>3757</v>
      </c>
      <c r="D14" s="3726" t="s">
        <v>3433</v>
      </c>
      <c r="E14" s="3726" t="s">
        <v>3425</v>
      </c>
      <c r="F14" s="3726" t="s">
        <v>3424</v>
      </c>
      <c r="G14" s="3726" t="s">
        <v>3756</v>
      </c>
      <c r="H14" s="3726" t="s">
        <v>3755</v>
      </c>
      <c r="I14" s="3726">
        <v>66171.58</v>
      </c>
      <c r="J14" s="3726">
        <v>26024.34</v>
      </c>
      <c r="K14" s="3726" t="s">
        <v>3754</v>
      </c>
      <c r="L14" s="3726">
        <v>120000</v>
      </c>
      <c r="M14" s="3727">
        <v>44482.000497685185</v>
      </c>
      <c r="N14" s="3726">
        <v>121800</v>
      </c>
      <c r="O14" s="3726">
        <v>18407</v>
      </c>
      <c r="P14" s="3726">
        <v>1.4999999999999999E-2</v>
      </c>
      <c r="Q14" s="3726" t="s">
        <v>3753</v>
      </c>
      <c r="R14" s="3726">
        <v>24000</v>
      </c>
    </row>
    <row r="15" spans="1:18">
      <c r="A15" s="3726"/>
      <c r="B15" s="3726" t="s">
        <v>3752</v>
      </c>
      <c r="C15" s="3726" t="s">
        <v>3751</v>
      </c>
      <c r="D15" s="3726" t="s">
        <v>3426</v>
      </c>
      <c r="E15" s="3726" t="s">
        <v>3432</v>
      </c>
      <c r="F15" s="3726" t="s">
        <v>3424</v>
      </c>
      <c r="G15" s="3726">
        <v>3</v>
      </c>
      <c r="H15" s="3726" t="s">
        <v>3515</v>
      </c>
      <c r="I15" s="3726">
        <v>35466</v>
      </c>
      <c r="J15" s="3726">
        <v>11822.2</v>
      </c>
      <c r="K15" s="3726" t="s">
        <v>3750</v>
      </c>
      <c r="L15" s="3726">
        <v>116000</v>
      </c>
      <c r="M15" s="3727">
        <v>44481.000497685185</v>
      </c>
      <c r="N15" s="3726">
        <v>116000</v>
      </c>
      <c r="O15" s="3726">
        <v>32707</v>
      </c>
      <c r="P15" s="3726">
        <v>0</v>
      </c>
      <c r="Q15" s="3726" t="s">
        <v>3749</v>
      </c>
      <c r="R15" s="3726">
        <v>23500</v>
      </c>
    </row>
    <row r="16" spans="1:18">
      <c r="A16" s="3726"/>
      <c r="B16" s="3726" t="s">
        <v>3748</v>
      </c>
      <c r="C16" s="3726" t="s">
        <v>3747</v>
      </c>
      <c r="D16" s="3726" t="s">
        <v>3433</v>
      </c>
      <c r="E16" s="3726" t="s">
        <v>3425</v>
      </c>
      <c r="F16" s="3726" t="s">
        <v>3424</v>
      </c>
      <c r="G16" s="3726" t="s">
        <v>3746</v>
      </c>
      <c r="H16" s="3726" t="s">
        <v>3745</v>
      </c>
      <c r="I16" s="3726">
        <v>51938.27</v>
      </c>
      <c r="J16" s="3726">
        <v>52916.1</v>
      </c>
      <c r="K16" s="3726" t="s">
        <v>3739</v>
      </c>
      <c r="L16" s="3726">
        <v>153000</v>
      </c>
      <c r="M16" s="3727">
        <v>44324.000497685185</v>
      </c>
      <c r="N16" s="3726">
        <v>153000</v>
      </c>
      <c r="O16" s="3726">
        <v>29458</v>
      </c>
      <c r="P16" s="3726">
        <v>0</v>
      </c>
      <c r="Q16" s="3726" t="s">
        <v>3744</v>
      </c>
      <c r="R16" s="3726">
        <v>31000</v>
      </c>
    </row>
    <row r="17" spans="1:18">
      <c r="A17" s="3726"/>
      <c r="B17" s="3726" t="s">
        <v>3743</v>
      </c>
      <c r="C17" s="3726" t="s">
        <v>3742</v>
      </c>
      <c r="D17" s="3726" t="s">
        <v>3426</v>
      </c>
      <c r="E17" s="3726" t="s">
        <v>3425</v>
      </c>
      <c r="F17" s="3726" t="s">
        <v>3424</v>
      </c>
      <c r="G17" s="3726" t="s">
        <v>3741</v>
      </c>
      <c r="H17" s="3726" t="s">
        <v>3740</v>
      </c>
      <c r="I17" s="3726">
        <v>110813.27</v>
      </c>
      <c r="J17" s="3726">
        <v>41608.92</v>
      </c>
      <c r="K17" s="3726" t="s">
        <v>3739</v>
      </c>
      <c r="L17" s="3726">
        <v>616000</v>
      </c>
      <c r="M17" s="3727">
        <v>44327.000497685185</v>
      </c>
      <c r="N17" s="3726">
        <v>644000</v>
      </c>
      <c r="O17" s="3726">
        <v>58116</v>
      </c>
      <c r="P17" s="3726">
        <v>4.5499999999999999E-2</v>
      </c>
      <c r="Q17" s="3726" t="s">
        <v>3738</v>
      </c>
      <c r="R17" s="3726">
        <v>124000</v>
      </c>
    </row>
    <row r="18" spans="1:18">
      <c r="A18" s="3726"/>
      <c r="B18" s="3726" t="s">
        <v>3737</v>
      </c>
      <c r="C18" s="3726" t="s">
        <v>3736</v>
      </c>
      <c r="D18" s="3726" t="s">
        <v>3426</v>
      </c>
      <c r="E18" s="3726" t="s">
        <v>3432</v>
      </c>
      <c r="F18" s="3726" t="s">
        <v>3424</v>
      </c>
      <c r="G18" s="3726" t="s">
        <v>3694</v>
      </c>
      <c r="H18" s="3726" t="s">
        <v>3735</v>
      </c>
      <c r="I18" s="3726">
        <v>38307.82</v>
      </c>
      <c r="J18" s="3726">
        <v>13681.37</v>
      </c>
      <c r="K18" s="3726" t="s">
        <v>3734</v>
      </c>
      <c r="L18" s="3726">
        <v>173500</v>
      </c>
      <c r="M18" s="3727">
        <v>44210.000497685185</v>
      </c>
      <c r="N18" s="3726">
        <v>179000</v>
      </c>
      <c r="O18" s="3726">
        <v>46727</v>
      </c>
      <c r="P18" s="3726">
        <v>3.1699999999999999E-2</v>
      </c>
      <c r="Q18" s="3726" t="s">
        <v>3722</v>
      </c>
      <c r="R18" s="3726">
        <v>35000</v>
      </c>
    </row>
    <row r="19" spans="1:18">
      <c r="A19" s="3726"/>
      <c r="B19" s="3726" t="s">
        <v>3733</v>
      </c>
      <c r="C19" s="3726" t="s">
        <v>3732</v>
      </c>
      <c r="D19" s="3726" t="s">
        <v>3426</v>
      </c>
      <c r="E19" s="3726" t="s">
        <v>3425</v>
      </c>
      <c r="F19" s="3726" t="s">
        <v>3424</v>
      </c>
      <c r="G19" s="3726" t="s">
        <v>3731</v>
      </c>
      <c r="H19" s="3726" t="s">
        <v>3730</v>
      </c>
      <c r="I19" s="3726">
        <v>155908</v>
      </c>
      <c r="J19" s="3726">
        <v>101127.8</v>
      </c>
      <c r="K19" s="3726" t="s">
        <v>3729</v>
      </c>
      <c r="L19" s="3726">
        <v>555600</v>
      </c>
      <c r="M19" s="3727">
        <v>44195.000497685185</v>
      </c>
      <c r="N19" s="3726">
        <v>555600</v>
      </c>
      <c r="O19" s="3726">
        <v>35636</v>
      </c>
      <c r="P19" s="3726">
        <v>0</v>
      </c>
      <c r="Q19" s="3726" t="s">
        <v>3728</v>
      </c>
      <c r="R19" s="3726">
        <v>111200</v>
      </c>
    </row>
    <row r="20" spans="1:18">
      <c r="A20" s="3726"/>
      <c r="B20" s="3726" t="s">
        <v>3727</v>
      </c>
      <c r="C20" s="3726" t="s">
        <v>3726</v>
      </c>
      <c r="D20" s="3726" t="s">
        <v>3426</v>
      </c>
      <c r="E20" s="3726" t="s">
        <v>3425</v>
      </c>
      <c r="F20" s="3726" t="s">
        <v>3424</v>
      </c>
      <c r="G20" s="3726" t="s">
        <v>3725</v>
      </c>
      <c r="H20" s="3726" t="s">
        <v>3724</v>
      </c>
      <c r="I20" s="3726">
        <v>267169.69</v>
      </c>
      <c r="J20" s="3726">
        <v>73884.72</v>
      </c>
      <c r="K20" s="3726" t="s">
        <v>3723</v>
      </c>
      <c r="L20" s="3726">
        <v>697800</v>
      </c>
      <c r="M20" s="3727">
        <v>44076.000497685185</v>
      </c>
      <c r="N20" s="3726">
        <v>697800</v>
      </c>
      <c r="O20" s="3726">
        <v>26118</v>
      </c>
      <c r="P20" s="3726">
        <v>0</v>
      </c>
      <c r="Q20" s="3726" t="s">
        <v>3722</v>
      </c>
      <c r="R20" s="3726">
        <v>140000</v>
      </c>
    </row>
    <row r="21" spans="1:18">
      <c r="A21" s="3726"/>
      <c r="B21" s="3726" t="s">
        <v>3721</v>
      </c>
      <c r="C21" s="3726" t="s">
        <v>3720</v>
      </c>
      <c r="D21" s="3726" t="s">
        <v>3433</v>
      </c>
      <c r="E21" s="3726" t="s">
        <v>3425</v>
      </c>
      <c r="F21" s="3726" t="s">
        <v>3424</v>
      </c>
      <c r="G21" s="3726" t="s">
        <v>3719</v>
      </c>
      <c r="H21" s="3726" t="s">
        <v>3718</v>
      </c>
      <c r="I21" s="3726">
        <v>209367</v>
      </c>
      <c r="J21" s="3726">
        <v>154004.04</v>
      </c>
      <c r="K21" s="3726" t="s">
        <v>3717</v>
      </c>
      <c r="L21" s="3726" t="s">
        <v>3441</v>
      </c>
      <c r="M21" s="3727">
        <v>44036.000497685185</v>
      </c>
      <c r="N21" s="3726">
        <v>269450</v>
      </c>
      <c r="O21" s="3726">
        <v>12870</v>
      </c>
      <c r="P21" s="3726">
        <v>0</v>
      </c>
      <c r="Q21" s="3726" t="s">
        <v>3716</v>
      </c>
      <c r="R21" s="3726">
        <v>54000</v>
      </c>
    </row>
    <row r="22" spans="1:18">
      <c r="A22" s="3726"/>
      <c r="B22" s="3726" t="s">
        <v>3715</v>
      </c>
      <c r="C22" s="3726" t="s">
        <v>3714</v>
      </c>
      <c r="D22" s="3726" t="s">
        <v>3433</v>
      </c>
      <c r="E22" s="3726" t="s">
        <v>3432</v>
      </c>
      <c r="F22" s="3726" t="s">
        <v>3424</v>
      </c>
      <c r="G22" s="3726" t="s">
        <v>3713</v>
      </c>
      <c r="H22" s="3726" t="s">
        <v>3604</v>
      </c>
      <c r="I22" s="3726">
        <v>40077.56</v>
      </c>
      <c r="J22" s="3726">
        <v>20038.78</v>
      </c>
      <c r="K22" s="3726" t="s">
        <v>3712</v>
      </c>
      <c r="L22" s="3726">
        <v>116500</v>
      </c>
      <c r="M22" s="3727">
        <v>44026.000497685185</v>
      </c>
      <c r="N22" s="3726">
        <v>126000</v>
      </c>
      <c r="O22" s="3726">
        <v>31439</v>
      </c>
      <c r="P22" s="3726">
        <v>8.1500000000000003E-2</v>
      </c>
      <c r="Q22" s="3726" t="s">
        <v>3711</v>
      </c>
      <c r="R22" s="3726">
        <v>24000</v>
      </c>
    </row>
    <row r="23" spans="1:18">
      <c r="A23" s="3726"/>
      <c r="B23" s="3726" t="s">
        <v>3710</v>
      </c>
      <c r="C23" s="3726" t="s">
        <v>3709</v>
      </c>
      <c r="D23" s="3726" t="s">
        <v>3433</v>
      </c>
      <c r="E23" s="3726" t="s">
        <v>3432</v>
      </c>
      <c r="F23" s="3726" t="s">
        <v>3424</v>
      </c>
      <c r="G23" s="3726" t="s">
        <v>3708</v>
      </c>
      <c r="H23" s="3726" t="s">
        <v>3604</v>
      </c>
      <c r="I23" s="3726">
        <v>42688.53</v>
      </c>
      <c r="J23" s="3726">
        <v>29746.01</v>
      </c>
      <c r="K23" s="3726" t="s">
        <v>3707</v>
      </c>
      <c r="L23" s="3726">
        <v>125000</v>
      </c>
      <c r="M23" s="3727">
        <v>43992.000497685185</v>
      </c>
      <c r="N23" s="3726">
        <v>125000</v>
      </c>
      <c r="O23" s="3726">
        <v>29282</v>
      </c>
      <c r="P23" s="3726">
        <v>0</v>
      </c>
      <c r="Q23" s="3726" t="s">
        <v>3706</v>
      </c>
      <c r="R23" s="3726">
        <v>25000</v>
      </c>
    </row>
    <row r="24" spans="1:18">
      <c r="A24" s="3726"/>
      <c r="B24" s="3726" t="s">
        <v>3705</v>
      </c>
      <c r="C24" s="3726" t="s">
        <v>3704</v>
      </c>
      <c r="D24" s="3726" t="s">
        <v>3426</v>
      </c>
      <c r="E24" s="3726" t="s">
        <v>3425</v>
      </c>
      <c r="F24" s="3726" t="s">
        <v>3424</v>
      </c>
      <c r="G24" s="3726" t="s">
        <v>3703</v>
      </c>
      <c r="H24" s="3726" t="s">
        <v>3702</v>
      </c>
      <c r="I24" s="3726">
        <v>117825</v>
      </c>
      <c r="J24" s="3726">
        <v>38379.370000000003</v>
      </c>
      <c r="K24" s="3726" t="s">
        <v>3701</v>
      </c>
      <c r="L24" s="3726">
        <v>297500</v>
      </c>
      <c r="M24" s="3727">
        <v>43872.000497685185</v>
      </c>
      <c r="N24" s="3726">
        <v>297500</v>
      </c>
      <c r="O24" s="3726">
        <v>25249</v>
      </c>
      <c r="P24" s="3726">
        <v>0</v>
      </c>
      <c r="Q24" s="3726" t="s">
        <v>3700</v>
      </c>
      <c r="R24" s="3726">
        <v>59500</v>
      </c>
    </row>
    <row r="25" spans="1:18">
      <c r="A25" s="3726"/>
      <c r="B25" s="3726" t="s">
        <v>3699</v>
      </c>
      <c r="C25" s="3726" t="s">
        <v>3698</v>
      </c>
      <c r="D25" s="3726" t="s">
        <v>3426</v>
      </c>
      <c r="E25" s="3726" t="s">
        <v>3432</v>
      </c>
      <c r="F25" s="3726" t="s">
        <v>3424</v>
      </c>
      <c r="G25" s="3726" t="s">
        <v>3694</v>
      </c>
      <c r="H25" s="3726" t="s">
        <v>3604</v>
      </c>
      <c r="I25" s="3726">
        <v>75025</v>
      </c>
      <c r="J25" s="3726">
        <v>26794.69</v>
      </c>
      <c r="K25" s="3726" t="s">
        <v>3693</v>
      </c>
      <c r="L25" s="3726">
        <v>310000</v>
      </c>
      <c r="M25" s="3727">
        <v>43833.000497685185</v>
      </c>
      <c r="N25" s="3726">
        <v>365000</v>
      </c>
      <c r="O25" s="3726">
        <v>48650</v>
      </c>
      <c r="P25" s="3726">
        <v>0.17739999999999997</v>
      </c>
      <c r="Q25" s="3726" t="s">
        <v>3697</v>
      </c>
      <c r="R25" s="3726">
        <v>62000</v>
      </c>
    </row>
    <row r="26" spans="1:18">
      <c r="A26" s="3726"/>
      <c r="B26" s="3726" t="s">
        <v>3696</v>
      </c>
      <c r="C26" s="3726" t="s">
        <v>3695</v>
      </c>
      <c r="D26" s="3726" t="s">
        <v>3426</v>
      </c>
      <c r="E26" s="3726" t="s">
        <v>3432</v>
      </c>
      <c r="F26" s="3726" t="s">
        <v>3424</v>
      </c>
      <c r="G26" s="3726" t="s">
        <v>3694</v>
      </c>
      <c r="H26" s="3726" t="s">
        <v>3604</v>
      </c>
      <c r="I26" s="3726">
        <v>65248</v>
      </c>
      <c r="J26" s="3726">
        <v>23302.84</v>
      </c>
      <c r="K26" s="3726" t="s">
        <v>3693</v>
      </c>
      <c r="L26" s="3726">
        <v>270000</v>
      </c>
      <c r="M26" s="3727">
        <v>43833.000497685185</v>
      </c>
      <c r="N26" s="3726">
        <v>340000</v>
      </c>
      <c r="O26" s="3726">
        <v>52109</v>
      </c>
      <c r="P26" s="3726">
        <v>0.25929999999999997</v>
      </c>
      <c r="Q26" s="3726" t="s">
        <v>3692</v>
      </c>
      <c r="R26" s="3726">
        <v>54000</v>
      </c>
    </row>
    <row r="27" spans="1:18">
      <c r="A27" s="3726"/>
      <c r="B27" s="3726" t="s">
        <v>3691</v>
      </c>
      <c r="C27" s="3726" t="s">
        <v>3690</v>
      </c>
      <c r="D27" s="3726" t="s">
        <v>3426</v>
      </c>
      <c r="E27" s="3726" t="s">
        <v>3425</v>
      </c>
      <c r="F27" s="3726" t="s">
        <v>3424</v>
      </c>
      <c r="G27" s="3726" t="s">
        <v>3689</v>
      </c>
      <c r="H27" s="3726" t="s">
        <v>3688</v>
      </c>
      <c r="I27" s="3726">
        <v>148649</v>
      </c>
      <c r="J27" s="3726">
        <v>61068.41</v>
      </c>
      <c r="K27" s="3726" t="s">
        <v>3687</v>
      </c>
      <c r="L27" s="3726">
        <v>510000</v>
      </c>
      <c r="M27" s="3727">
        <v>43789.000497685185</v>
      </c>
      <c r="N27" s="3726">
        <v>510000</v>
      </c>
      <c r="O27" s="3726">
        <v>34309</v>
      </c>
      <c r="P27" s="3726">
        <v>0</v>
      </c>
      <c r="Q27" s="3726" t="s">
        <v>3686</v>
      </c>
      <c r="R27" s="3726">
        <v>102000</v>
      </c>
    </row>
    <row r="28" spans="1:18">
      <c r="A28" s="3726"/>
      <c r="B28" s="3726" t="s">
        <v>3685</v>
      </c>
      <c r="C28" s="3726" t="s">
        <v>3684</v>
      </c>
      <c r="D28" s="3726" t="s">
        <v>3426</v>
      </c>
      <c r="E28" s="3726" t="s">
        <v>3425</v>
      </c>
      <c r="F28" s="3726" t="s">
        <v>3424</v>
      </c>
      <c r="G28" s="3726" t="s">
        <v>3683</v>
      </c>
      <c r="H28" s="3726" t="s">
        <v>3590</v>
      </c>
      <c r="I28" s="3726">
        <v>214138</v>
      </c>
      <c r="J28" s="3726">
        <v>64377.39</v>
      </c>
      <c r="K28" s="3726" t="s">
        <v>3682</v>
      </c>
      <c r="L28" s="3726">
        <v>657500</v>
      </c>
      <c r="M28" s="3727">
        <v>43643.000497685185</v>
      </c>
      <c r="N28" s="3726">
        <v>734000</v>
      </c>
      <c r="O28" s="3726">
        <v>34277</v>
      </c>
      <c r="P28" s="3726">
        <v>0.11630000000000001</v>
      </c>
      <c r="Q28" s="3726" t="s">
        <v>3681</v>
      </c>
      <c r="R28" s="3726">
        <v>131500</v>
      </c>
    </row>
    <row r="29" spans="1:18">
      <c r="A29" s="3726"/>
      <c r="B29" s="3726" t="s">
        <v>3680</v>
      </c>
      <c r="C29" s="3726" t="s">
        <v>3679</v>
      </c>
      <c r="D29" s="3726" t="s">
        <v>3433</v>
      </c>
      <c r="E29" s="3726" t="s">
        <v>3425</v>
      </c>
      <c r="F29" s="3726" t="s">
        <v>3424</v>
      </c>
      <c r="G29" s="3726" t="s">
        <v>3678</v>
      </c>
      <c r="H29" s="3726" t="s">
        <v>3677</v>
      </c>
      <c r="I29" s="3726">
        <v>57268</v>
      </c>
      <c r="J29" s="3726">
        <v>26109.25</v>
      </c>
      <c r="K29" s="3726" t="s">
        <v>3676</v>
      </c>
      <c r="L29" s="3726">
        <v>84900</v>
      </c>
      <c r="M29" s="3727">
        <v>43559.000497685185</v>
      </c>
      <c r="N29" s="3726">
        <v>102000</v>
      </c>
      <c r="O29" s="3726">
        <v>17811</v>
      </c>
      <c r="P29" s="3726">
        <v>0.2014</v>
      </c>
      <c r="Q29" s="3726" t="s">
        <v>3675</v>
      </c>
      <c r="R29" s="3726">
        <v>17000</v>
      </c>
    </row>
    <row r="30" spans="1:18">
      <c r="A30" s="3726"/>
      <c r="B30" s="3726" t="s">
        <v>3674</v>
      </c>
      <c r="C30" s="3726" t="s">
        <v>3673</v>
      </c>
      <c r="D30" s="3726" t="s">
        <v>3433</v>
      </c>
      <c r="E30" s="3726" t="s">
        <v>3425</v>
      </c>
      <c r="F30" s="3726" t="s">
        <v>3424</v>
      </c>
      <c r="G30" s="3726" t="s">
        <v>3672</v>
      </c>
      <c r="H30" s="3726" t="s">
        <v>3671</v>
      </c>
      <c r="I30" s="3726">
        <v>133434</v>
      </c>
      <c r="J30" s="3726">
        <v>50699.839999999997</v>
      </c>
      <c r="K30" s="3726" t="s">
        <v>3670</v>
      </c>
      <c r="L30" s="3726">
        <v>160000</v>
      </c>
      <c r="M30" s="3727">
        <v>43497.000497685185</v>
      </c>
      <c r="N30" s="3726">
        <v>160000</v>
      </c>
      <c r="O30" s="3726">
        <v>11991</v>
      </c>
      <c r="P30" s="3726">
        <v>0</v>
      </c>
      <c r="Q30" s="3726" t="s">
        <v>3669</v>
      </c>
      <c r="R30" s="3726">
        <v>32000</v>
      </c>
    </row>
    <row r="31" spans="1:18">
      <c r="A31" s="3726"/>
      <c r="B31" s="3726" t="s">
        <v>3668</v>
      </c>
      <c r="C31" s="3726" t="s">
        <v>3667</v>
      </c>
      <c r="D31" s="3726" t="s">
        <v>3426</v>
      </c>
      <c r="E31" s="3726" t="s">
        <v>3425</v>
      </c>
      <c r="F31" s="3726" t="s">
        <v>3424</v>
      </c>
      <c r="G31" s="3726">
        <v>2.4</v>
      </c>
      <c r="H31" s="3726" t="s">
        <v>3595</v>
      </c>
      <c r="I31" s="3726">
        <v>116359</v>
      </c>
      <c r="J31" s="3726">
        <v>48463.79</v>
      </c>
      <c r="K31" s="3726" t="s">
        <v>3666</v>
      </c>
      <c r="L31" s="3726">
        <v>495300</v>
      </c>
      <c r="M31" s="3727">
        <v>43496.000497685185</v>
      </c>
      <c r="N31" s="3726">
        <v>495300</v>
      </c>
      <c r="O31" s="3726">
        <v>42567</v>
      </c>
      <c r="P31" s="3726">
        <v>0</v>
      </c>
      <c r="Q31" s="3726" t="s">
        <v>3665</v>
      </c>
      <c r="R31" s="3726">
        <v>99100</v>
      </c>
    </row>
    <row r="32" spans="1:18">
      <c r="A32" s="3726"/>
      <c r="B32" s="3726" t="s">
        <v>3664</v>
      </c>
      <c r="C32" s="3726" t="s">
        <v>3663</v>
      </c>
      <c r="D32" s="3726" t="s">
        <v>3426</v>
      </c>
      <c r="E32" s="3726" t="s">
        <v>3432</v>
      </c>
      <c r="F32" s="3726" t="s">
        <v>3424</v>
      </c>
      <c r="G32" s="3726">
        <v>2.58</v>
      </c>
      <c r="H32" s="3726" t="s">
        <v>3604</v>
      </c>
      <c r="I32" s="3726">
        <v>43844.08</v>
      </c>
      <c r="J32" s="3726">
        <v>17006.62</v>
      </c>
      <c r="K32" s="3726" t="s">
        <v>3662</v>
      </c>
      <c r="L32" s="3726" t="s">
        <v>3441</v>
      </c>
      <c r="M32" s="3727">
        <v>43489.000497685185</v>
      </c>
      <c r="N32" s="3726">
        <v>98500</v>
      </c>
      <c r="O32" s="3726">
        <v>22466</v>
      </c>
      <c r="P32" s="3726">
        <v>0</v>
      </c>
      <c r="Q32" s="3726" t="s">
        <v>3451</v>
      </c>
      <c r="R32" s="3726">
        <v>20000</v>
      </c>
    </row>
    <row r="33" spans="1:18">
      <c r="A33" s="3726"/>
      <c r="B33" s="3726" t="s">
        <v>3661</v>
      </c>
      <c r="C33" s="3726" t="s">
        <v>3660</v>
      </c>
      <c r="D33" s="3726" t="s">
        <v>3426</v>
      </c>
      <c r="E33" s="3726" t="s">
        <v>3432</v>
      </c>
      <c r="F33" s="3726" t="s">
        <v>3424</v>
      </c>
      <c r="G33" s="3726">
        <v>2.5</v>
      </c>
      <c r="H33" s="3726" t="s">
        <v>3604</v>
      </c>
      <c r="I33" s="3726">
        <v>152820</v>
      </c>
      <c r="J33" s="3726">
        <v>61127.91</v>
      </c>
      <c r="K33" s="3726" t="s">
        <v>3659</v>
      </c>
      <c r="L33" s="3726">
        <v>483400</v>
      </c>
      <c r="M33" s="3727">
        <v>43404.000497685185</v>
      </c>
      <c r="N33" s="3726">
        <v>483400</v>
      </c>
      <c r="O33" s="3726">
        <v>31632</v>
      </c>
      <c r="P33" s="3726">
        <v>0</v>
      </c>
      <c r="Q33" s="3726" t="s">
        <v>3658</v>
      </c>
      <c r="R33" s="3726">
        <v>97000</v>
      </c>
    </row>
    <row r="34" spans="1:18">
      <c r="A34" s="3726"/>
      <c r="B34" s="3726" t="s">
        <v>3657</v>
      </c>
      <c r="C34" s="3726" t="s">
        <v>3656</v>
      </c>
      <c r="D34" s="3726" t="s">
        <v>3433</v>
      </c>
      <c r="E34" s="3726" t="s">
        <v>3425</v>
      </c>
      <c r="F34" s="3726" t="s">
        <v>3424</v>
      </c>
      <c r="G34" s="3726">
        <v>2.8</v>
      </c>
      <c r="H34" s="3726" t="s">
        <v>3500</v>
      </c>
      <c r="I34" s="3726">
        <v>91833</v>
      </c>
      <c r="J34" s="3726">
        <v>32797.360000000001</v>
      </c>
      <c r="K34" s="3726" t="s">
        <v>3655</v>
      </c>
      <c r="L34" s="3726">
        <v>165000</v>
      </c>
      <c r="M34" s="3727">
        <v>43137.000497685185</v>
      </c>
      <c r="N34" s="3726">
        <v>165000</v>
      </c>
      <c r="O34" s="3726">
        <v>17967</v>
      </c>
      <c r="P34" s="3726">
        <v>0</v>
      </c>
      <c r="Q34" s="3726" t="s">
        <v>3654</v>
      </c>
      <c r="R34" s="3726">
        <v>50000</v>
      </c>
    </row>
    <row r="35" spans="1:18">
      <c r="A35" s="3726"/>
      <c r="B35" s="3726" t="s">
        <v>3653</v>
      </c>
      <c r="C35" s="3726" t="s">
        <v>3652</v>
      </c>
      <c r="D35" s="3726" t="s">
        <v>3433</v>
      </c>
      <c r="E35" s="3726" t="s">
        <v>3432</v>
      </c>
      <c r="F35" s="3726" t="s">
        <v>3424</v>
      </c>
      <c r="G35" s="3726">
        <v>1.2</v>
      </c>
      <c r="H35" s="3726" t="s">
        <v>3604</v>
      </c>
      <c r="I35" s="3726">
        <v>99309</v>
      </c>
      <c r="J35" s="3726">
        <v>82458.61</v>
      </c>
      <c r="K35" s="3726" t="s">
        <v>3647</v>
      </c>
      <c r="L35" s="3726">
        <v>267800</v>
      </c>
      <c r="M35" s="3727">
        <v>43133.000497685185</v>
      </c>
      <c r="N35" s="3726">
        <v>345000</v>
      </c>
      <c r="O35" s="3726">
        <v>34740</v>
      </c>
      <c r="P35" s="3726">
        <v>0.2883</v>
      </c>
      <c r="Q35" s="3726" t="s">
        <v>3651</v>
      </c>
      <c r="R35" s="3726">
        <v>81000</v>
      </c>
    </row>
    <row r="36" spans="1:18">
      <c r="A36" s="3726"/>
      <c r="B36" s="3726" t="s">
        <v>3650</v>
      </c>
      <c r="C36" s="3726" t="s">
        <v>3649</v>
      </c>
      <c r="D36" s="3726" t="s">
        <v>3433</v>
      </c>
      <c r="E36" s="3726" t="s">
        <v>3425</v>
      </c>
      <c r="F36" s="3726" t="s">
        <v>3424</v>
      </c>
      <c r="G36" s="3726">
        <v>0.86</v>
      </c>
      <c r="H36" s="3726" t="s">
        <v>3648</v>
      </c>
      <c r="I36" s="3726">
        <v>272690</v>
      </c>
      <c r="J36" s="3726">
        <v>315990.3</v>
      </c>
      <c r="K36" s="3726" t="s">
        <v>3647</v>
      </c>
      <c r="L36" s="3726">
        <v>465000</v>
      </c>
      <c r="M36" s="3727">
        <v>43133.000497685185</v>
      </c>
      <c r="N36" s="3726">
        <v>465000</v>
      </c>
      <c r="O36" s="3726">
        <v>17052</v>
      </c>
      <c r="P36" s="3726">
        <v>0</v>
      </c>
      <c r="Q36" s="3726" t="s">
        <v>3646</v>
      </c>
      <c r="R36" s="3726">
        <v>140000</v>
      </c>
    </row>
    <row r="37" spans="1:18">
      <c r="A37" s="3726"/>
      <c r="B37" s="3726" t="s">
        <v>3645</v>
      </c>
      <c r="C37" s="3726" t="s">
        <v>3644</v>
      </c>
      <c r="D37" s="3726" t="s">
        <v>3426</v>
      </c>
      <c r="E37" s="3726" t="s">
        <v>3425</v>
      </c>
      <c r="F37" s="3726" t="s">
        <v>3424</v>
      </c>
      <c r="G37" s="3726">
        <v>1.7</v>
      </c>
      <c r="H37" s="3726" t="s">
        <v>3643</v>
      </c>
      <c r="I37" s="3726">
        <v>346496</v>
      </c>
      <c r="J37" s="3726">
        <v>202550.5</v>
      </c>
      <c r="K37" s="3726" t="s">
        <v>3642</v>
      </c>
      <c r="L37" s="3726">
        <v>694000</v>
      </c>
      <c r="M37" s="3727">
        <v>43053.000497685185</v>
      </c>
      <c r="N37" s="3726">
        <v>780000</v>
      </c>
      <c r="O37" s="3726">
        <v>22511</v>
      </c>
      <c r="P37" s="3726">
        <v>0.12390000000000001</v>
      </c>
      <c r="Q37" s="3726" t="s">
        <v>3641</v>
      </c>
      <c r="R37" s="3726">
        <v>209000</v>
      </c>
    </row>
    <row r="38" spans="1:18" s="3474" customFormat="1">
      <c r="A38" s="3728"/>
      <c r="B38" s="3728" t="s">
        <v>3640</v>
      </c>
      <c r="C38" s="3728" t="s">
        <v>3639</v>
      </c>
      <c r="D38" s="3728" t="s">
        <v>3426</v>
      </c>
      <c r="E38" s="3728" t="s">
        <v>3425</v>
      </c>
      <c r="F38" s="3728" t="s">
        <v>3424</v>
      </c>
      <c r="G38" s="3728">
        <v>1.61</v>
      </c>
      <c r="H38" s="3728" t="s">
        <v>3638</v>
      </c>
      <c r="I38" s="3728">
        <v>347895</v>
      </c>
      <c r="J38" s="3728">
        <v>216429.7</v>
      </c>
      <c r="K38" s="3728" t="s">
        <v>3637</v>
      </c>
      <c r="L38" s="3728">
        <v>719000</v>
      </c>
      <c r="M38" s="3729">
        <v>43046.000497685185</v>
      </c>
      <c r="N38" s="3728">
        <v>860000</v>
      </c>
      <c r="O38" s="3728">
        <v>24720</v>
      </c>
      <c r="P38" s="3728">
        <v>0.1961</v>
      </c>
      <c r="Q38" s="3728" t="s">
        <v>3636</v>
      </c>
      <c r="R38" s="3728">
        <v>216000</v>
      </c>
    </row>
    <row r="39" spans="1:18">
      <c r="A39" s="3726"/>
      <c r="B39" s="3726" t="s">
        <v>3635</v>
      </c>
      <c r="C39" s="3726" t="s">
        <v>3634</v>
      </c>
      <c r="D39" s="3726" t="s">
        <v>3426</v>
      </c>
      <c r="E39" s="3726" t="s">
        <v>3432</v>
      </c>
      <c r="F39" s="3726" t="s">
        <v>3424</v>
      </c>
      <c r="G39" s="3726">
        <v>2.8</v>
      </c>
      <c r="H39" s="3726" t="s">
        <v>3604</v>
      </c>
      <c r="I39" s="3726">
        <v>71267</v>
      </c>
      <c r="J39" s="3726">
        <v>25399.58</v>
      </c>
      <c r="K39" s="3726" t="s">
        <v>3633</v>
      </c>
      <c r="L39" s="3726">
        <v>160000</v>
      </c>
      <c r="M39" s="3727">
        <v>42991.000497685185</v>
      </c>
      <c r="N39" s="3726">
        <v>206500</v>
      </c>
      <c r="O39" s="3726">
        <v>28976</v>
      </c>
      <c r="P39" s="3726">
        <v>0.29059999999999997</v>
      </c>
      <c r="Q39" s="3726" t="s">
        <v>3632</v>
      </c>
      <c r="R39" s="3726">
        <v>48000</v>
      </c>
    </row>
    <row r="40" spans="1:18">
      <c r="A40" s="3726"/>
      <c r="B40" s="3726" t="s">
        <v>3631</v>
      </c>
      <c r="C40" s="3726" t="s">
        <v>3630</v>
      </c>
      <c r="D40" s="3726" t="s">
        <v>3433</v>
      </c>
      <c r="E40" s="3726" t="s">
        <v>3425</v>
      </c>
      <c r="F40" s="3726" t="s">
        <v>3424</v>
      </c>
      <c r="G40" s="3726" t="s">
        <v>3629</v>
      </c>
      <c r="H40" s="3726" t="s">
        <v>3628</v>
      </c>
      <c r="I40" s="3726">
        <v>57599</v>
      </c>
      <c r="J40" s="3726">
        <v>32606.69</v>
      </c>
      <c r="K40" s="3726" t="s">
        <v>3627</v>
      </c>
      <c r="L40" s="3726">
        <v>77000</v>
      </c>
      <c r="M40" s="3727">
        <v>42850.000497685185</v>
      </c>
      <c r="N40" s="3726">
        <v>103000</v>
      </c>
      <c r="O40" s="3726">
        <v>17882</v>
      </c>
      <c r="P40" s="3726">
        <v>0.33770000000000006</v>
      </c>
      <c r="Q40" s="3726" t="s">
        <v>3626</v>
      </c>
      <c r="R40" s="3726">
        <v>23000</v>
      </c>
    </row>
    <row r="41" spans="1:18">
      <c r="A41" s="3726"/>
      <c r="B41" s="3726" t="s">
        <v>3625</v>
      </c>
      <c r="C41" s="3726" t="s">
        <v>3624</v>
      </c>
      <c r="D41" s="3726" t="s">
        <v>3426</v>
      </c>
      <c r="E41" s="3726" t="s">
        <v>3432</v>
      </c>
      <c r="F41" s="3726" t="s">
        <v>3424</v>
      </c>
      <c r="G41" s="3726">
        <v>1.6</v>
      </c>
      <c r="H41" s="3726" t="s">
        <v>3604</v>
      </c>
      <c r="I41" s="3726">
        <v>43409</v>
      </c>
      <c r="J41" s="3726">
        <v>27130.69</v>
      </c>
      <c r="K41" s="3726" t="s">
        <v>3623</v>
      </c>
      <c r="L41" s="3726">
        <v>85000</v>
      </c>
      <c r="M41" s="3727">
        <v>42849.000497685185</v>
      </c>
      <c r="N41" s="3726">
        <v>123500</v>
      </c>
      <c r="O41" s="3726">
        <v>28450</v>
      </c>
      <c r="P41" s="3726">
        <v>0.45289999999999997</v>
      </c>
      <c r="Q41" s="3726" t="s">
        <v>3622</v>
      </c>
      <c r="R41" s="3726">
        <v>26000</v>
      </c>
    </row>
    <row r="42" spans="1:18">
      <c r="A42" s="3726"/>
      <c r="B42" s="3726" t="s">
        <v>3621</v>
      </c>
      <c r="C42" s="3726" t="s">
        <v>3620</v>
      </c>
      <c r="D42" s="3726" t="s">
        <v>3433</v>
      </c>
      <c r="E42" s="3726" t="s">
        <v>3425</v>
      </c>
      <c r="F42" s="3726" t="s">
        <v>3424</v>
      </c>
      <c r="G42" s="3726">
        <v>1.32</v>
      </c>
      <c r="H42" s="3726" t="s">
        <v>3619</v>
      </c>
      <c r="I42" s="3726">
        <v>238650</v>
      </c>
      <c r="J42" s="3726">
        <v>180851</v>
      </c>
      <c r="K42" s="3726" t="s">
        <v>3618</v>
      </c>
      <c r="L42" s="3726">
        <v>570000</v>
      </c>
      <c r="M42" s="3727">
        <v>42754.000497685185</v>
      </c>
      <c r="N42" s="3726">
        <v>633000</v>
      </c>
      <c r="O42" s="3726">
        <v>26524</v>
      </c>
      <c r="P42" s="3726">
        <v>0.1105</v>
      </c>
      <c r="Q42" s="3726" t="s">
        <v>3617</v>
      </c>
      <c r="R42" s="3726">
        <v>170000</v>
      </c>
    </row>
    <row r="43" spans="1:18">
      <c r="A43" s="3726"/>
      <c r="B43" s="3726" t="s">
        <v>3616</v>
      </c>
      <c r="C43" s="3726" t="s">
        <v>3615</v>
      </c>
      <c r="D43" s="3726" t="s">
        <v>3433</v>
      </c>
      <c r="E43" s="3726" t="s">
        <v>3425</v>
      </c>
      <c r="F43" s="3726" t="s">
        <v>3424</v>
      </c>
      <c r="G43" s="3726">
        <v>3.19</v>
      </c>
      <c r="H43" s="3726" t="s">
        <v>3614</v>
      </c>
      <c r="I43" s="3726">
        <v>263190</v>
      </c>
      <c r="J43" s="3726">
        <v>82624.91</v>
      </c>
      <c r="K43" s="3726" t="s">
        <v>3613</v>
      </c>
      <c r="L43" s="3726">
        <v>263200</v>
      </c>
      <c r="M43" s="3727">
        <v>42426.000497685185</v>
      </c>
      <c r="N43" s="3726">
        <v>394800</v>
      </c>
      <c r="O43" s="3726">
        <v>15001</v>
      </c>
      <c r="P43" s="3726">
        <v>0.5</v>
      </c>
      <c r="Q43" s="3726" t="s">
        <v>3612</v>
      </c>
      <c r="R43" s="3726">
        <v>79000</v>
      </c>
    </row>
    <row r="44" spans="1:18">
      <c r="A44" s="3726"/>
      <c r="B44" s="3726" t="s">
        <v>3611</v>
      </c>
      <c r="C44" s="3726" t="s">
        <v>3610</v>
      </c>
      <c r="D44" s="3726" t="s">
        <v>3426</v>
      </c>
      <c r="E44" s="3726" t="s">
        <v>3425</v>
      </c>
      <c r="F44" s="3726" t="s">
        <v>3424</v>
      </c>
      <c r="G44" s="3726" t="s">
        <v>3609</v>
      </c>
      <c r="H44" s="3726" t="s">
        <v>3608</v>
      </c>
      <c r="I44" s="3726">
        <v>979900</v>
      </c>
      <c r="J44" s="3726">
        <v>289526.8</v>
      </c>
      <c r="K44" s="3726" t="s">
        <v>3607</v>
      </c>
      <c r="L44" s="3726" t="s">
        <v>3441</v>
      </c>
      <c r="M44" s="3727">
        <v>42368.000497685185</v>
      </c>
      <c r="N44" s="3726">
        <v>1852637</v>
      </c>
      <c r="O44" s="3726">
        <v>18906</v>
      </c>
      <c r="P44" s="3726">
        <v>0</v>
      </c>
      <c r="Q44" s="3726" t="s">
        <v>3523</v>
      </c>
      <c r="R44" s="3726">
        <v>5000</v>
      </c>
    </row>
    <row r="45" spans="1:18">
      <c r="A45" s="3726"/>
      <c r="B45" s="3726" t="s">
        <v>3606</v>
      </c>
      <c r="C45" s="3726" t="s">
        <v>3605</v>
      </c>
      <c r="D45" s="3726" t="s">
        <v>3433</v>
      </c>
      <c r="E45" s="3726" t="s">
        <v>3432</v>
      </c>
      <c r="F45" s="3726" t="s">
        <v>3424</v>
      </c>
      <c r="G45" s="3726">
        <v>2.8</v>
      </c>
      <c r="H45" s="3726" t="s">
        <v>3604</v>
      </c>
      <c r="I45" s="3726">
        <v>202725</v>
      </c>
      <c r="J45" s="3726">
        <v>72401.83</v>
      </c>
      <c r="K45" s="3726" t="s">
        <v>3599</v>
      </c>
      <c r="L45" s="3726">
        <v>380000</v>
      </c>
      <c r="M45" s="3727">
        <v>42326.000497685185</v>
      </c>
      <c r="N45" s="3726">
        <v>570000</v>
      </c>
      <c r="O45" s="3726">
        <v>28117</v>
      </c>
      <c r="P45" s="3726">
        <v>0.5</v>
      </c>
      <c r="Q45" s="3726" t="s">
        <v>3603</v>
      </c>
      <c r="R45" s="3726">
        <v>114000</v>
      </c>
    </row>
    <row r="46" spans="1:18">
      <c r="A46" s="3726"/>
      <c r="B46" s="3726" t="s">
        <v>3602</v>
      </c>
      <c r="C46" s="3726" t="s">
        <v>3601</v>
      </c>
      <c r="D46" s="3726" t="s">
        <v>3433</v>
      </c>
      <c r="E46" s="3726" t="s">
        <v>3425</v>
      </c>
      <c r="F46" s="3726" t="s">
        <v>3424</v>
      </c>
      <c r="G46" s="3726">
        <v>3.82</v>
      </c>
      <c r="H46" s="3726" t="s">
        <v>3600</v>
      </c>
      <c r="I46" s="3726">
        <v>252082</v>
      </c>
      <c r="J46" s="3726">
        <v>65820.63</v>
      </c>
      <c r="K46" s="3726" t="s">
        <v>3599</v>
      </c>
      <c r="L46" s="3726">
        <v>410000</v>
      </c>
      <c r="M46" s="3727">
        <v>42326.000497685185</v>
      </c>
      <c r="N46" s="3726">
        <v>460000</v>
      </c>
      <c r="O46" s="3726">
        <v>18248</v>
      </c>
      <c r="P46" s="3726">
        <v>0.122</v>
      </c>
      <c r="Q46" s="3726" t="s">
        <v>3598</v>
      </c>
      <c r="R46" s="3726">
        <v>123000</v>
      </c>
    </row>
    <row r="47" spans="1:18">
      <c r="A47" s="3726"/>
      <c r="B47" s="3726" t="s">
        <v>3597</v>
      </c>
      <c r="C47" s="3726" t="s">
        <v>3596</v>
      </c>
      <c r="D47" s="3726" t="s">
        <v>3433</v>
      </c>
      <c r="E47" s="3726" t="s">
        <v>3425</v>
      </c>
      <c r="F47" s="3726" t="s">
        <v>3424</v>
      </c>
      <c r="G47" s="3726">
        <v>2.5499999999999998</v>
      </c>
      <c r="H47" s="3726" t="s">
        <v>3595</v>
      </c>
      <c r="I47" s="3726">
        <v>104782</v>
      </c>
      <c r="J47" s="3726">
        <v>41050.28</v>
      </c>
      <c r="K47" s="3726" t="s">
        <v>3594</v>
      </c>
      <c r="L47" s="3726">
        <v>185000</v>
      </c>
      <c r="M47" s="3727">
        <v>42276.000497685185</v>
      </c>
      <c r="N47" s="3726">
        <v>203000</v>
      </c>
      <c r="O47" s="3726">
        <v>19374</v>
      </c>
      <c r="P47" s="3726">
        <v>9.7299999999999998E-2</v>
      </c>
      <c r="Q47" s="3726" t="s">
        <v>3593</v>
      </c>
      <c r="R47" s="3726">
        <v>56000</v>
      </c>
    </row>
    <row r="48" spans="1:18">
      <c r="A48" s="3726"/>
      <c r="B48" s="3726" t="s">
        <v>3592</v>
      </c>
      <c r="C48" s="3726" t="s">
        <v>3591</v>
      </c>
      <c r="D48" s="3726" t="s">
        <v>3426</v>
      </c>
      <c r="E48" s="3726" t="s">
        <v>3425</v>
      </c>
      <c r="F48" s="3726" t="s">
        <v>3424</v>
      </c>
      <c r="G48" s="3726">
        <v>3.14</v>
      </c>
      <c r="H48" s="3726" t="s">
        <v>3590</v>
      </c>
      <c r="I48" s="3726">
        <v>334883</v>
      </c>
      <c r="J48" s="3726">
        <v>106573.7</v>
      </c>
      <c r="K48" s="3726" t="s">
        <v>3589</v>
      </c>
      <c r="L48" s="3726">
        <v>460000</v>
      </c>
      <c r="M48" s="3727">
        <v>41945.000497685185</v>
      </c>
      <c r="N48" s="3726">
        <v>590000</v>
      </c>
      <c r="O48" s="3726">
        <v>17618</v>
      </c>
      <c r="P48" s="3726">
        <v>0.28260000000000002</v>
      </c>
      <c r="Q48" s="3726" t="s">
        <v>3588</v>
      </c>
      <c r="R48" s="3726">
        <v>140000</v>
      </c>
    </row>
    <row r="49" spans="1:18">
      <c r="A49" s="3726"/>
      <c r="B49" s="3726" t="s">
        <v>3587</v>
      </c>
      <c r="C49" s="3726" t="s">
        <v>3586</v>
      </c>
      <c r="D49" s="3726" t="s">
        <v>3433</v>
      </c>
      <c r="E49" s="3726" t="s">
        <v>3425</v>
      </c>
      <c r="F49" s="3726" t="s">
        <v>3424</v>
      </c>
      <c r="G49" s="3726">
        <v>1.18</v>
      </c>
      <c r="H49" s="3726" t="s">
        <v>3585</v>
      </c>
      <c r="I49" s="3726">
        <v>279748</v>
      </c>
      <c r="J49" s="3726">
        <v>236154.7</v>
      </c>
      <c r="K49" s="3726" t="s">
        <v>3584</v>
      </c>
      <c r="L49" s="3726">
        <v>420000</v>
      </c>
      <c r="M49" s="3727">
        <v>41933.000497685185</v>
      </c>
      <c r="N49" s="3726">
        <v>420000</v>
      </c>
      <c r="O49" s="3726">
        <v>15014</v>
      </c>
      <c r="P49" s="3726">
        <v>0</v>
      </c>
      <c r="Q49" s="3726" t="s">
        <v>3583</v>
      </c>
      <c r="R49" s="3726">
        <v>130000</v>
      </c>
    </row>
    <row r="50" spans="1:18">
      <c r="A50" s="3726"/>
      <c r="B50" s="3726" t="s">
        <v>3582</v>
      </c>
      <c r="C50" s="3726" t="s">
        <v>3581</v>
      </c>
      <c r="D50" s="3726" t="s">
        <v>3433</v>
      </c>
      <c r="E50" s="3726" t="s">
        <v>3425</v>
      </c>
      <c r="F50" s="3726" t="s">
        <v>3424</v>
      </c>
      <c r="G50" s="3726">
        <v>2.4</v>
      </c>
      <c r="H50" s="3726" t="s">
        <v>3580</v>
      </c>
      <c r="I50" s="3726">
        <v>238274</v>
      </c>
      <c r="J50" s="3726">
        <v>99141.73</v>
      </c>
      <c r="K50" s="3726" t="s">
        <v>3575</v>
      </c>
      <c r="L50" s="3726">
        <v>250000</v>
      </c>
      <c r="M50" s="3727">
        <v>41929.000497685185</v>
      </c>
      <c r="N50" s="3726">
        <v>338000</v>
      </c>
      <c r="O50" s="3726">
        <v>14185</v>
      </c>
      <c r="P50" s="3726">
        <v>0.35200000000000004</v>
      </c>
      <c r="Q50" s="3726" t="s">
        <v>3579</v>
      </c>
      <c r="R50" s="3726">
        <v>75000</v>
      </c>
    </row>
    <row r="51" spans="1:18">
      <c r="A51" s="3726"/>
      <c r="B51" s="3726" t="s">
        <v>3578</v>
      </c>
      <c r="C51" s="3726" t="s">
        <v>3577</v>
      </c>
      <c r="D51" s="3726" t="s">
        <v>3433</v>
      </c>
      <c r="E51" s="3726" t="s">
        <v>3425</v>
      </c>
      <c r="F51" s="3726" t="s">
        <v>3424</v>
      </c>
      <c r="G51" s="3726">
        <v>2.04</v>
      </c>
      <c r="H51" s="3726" t="s">
        <v>3576</v>
      </c>
      <c r="I51" s="3726">
        <v>201676</v>
      </c>
      <c r="J51" s="3726">
        <v>98996.57</v>
      </c>
      <c r="K51" s="3726" t="s">
        <v>3575</v>
      </c>
      <c r="L51" s="3726">
        <v>185000</v>
      </c>
      <c r="M51" s="3727">
        <v>41929.000497685185</v>
      </c>
      <c r="N51" s="3726">
        <v>259000</v>
      </c>
      <c r="O51" s="3726">
        <v>12842</v>
      </c>
      <c r="P51" s="3726">
        <v>0.4</v>
      </c>
      <c r="Q51" s="3726" t="s">
        <v>3574</v>
      </c>
      <c r="R51" s="3726">
        <v>56000</v>
      </c>
    </row>
    <row r="52" spans="1:18">
      <c r="A52" s="3726"/>
      <c r="B52" s="3726" t="s">
        <v>3573</v>
      </c>
      <c r="C52" s="3726" t="s">
        <v>3572</v>
      </c>
      <c r="D52" s="3726" t="s">
        <v>3426</v>
      </c>
      <c r="E52" s="3726" t="s">
        <v>3425</v>
      </c>
      <c r="F52" s="3726" t="s">
        <v>3424</v>
      </c>
      <c r="G52" s="3726">
        <v>1.3</v>
      </c>
      <c r="H52" s="3726" t="s">
        <v>3525</v>
      </c>
      <c r="I52" s="3726">
        <v>151706</v>
      </c>
      <c r="J52" s="3726">
        <v>116645.8</v>
      </c>
      <c r="K52" s="3726" t="s">
        <v>3571</v>
      </c>
      <c r="L52" s="3726">
        <v>330000</v>
      </c>
      <c r="M52" s="3727">
        <v>41910.000497685185</v>
      </c>
      <c r="N52" s="3726">
        <v>491700</v>
      </c>
      <c r="O52" s="3726">
        <v>32411</v>
      </c>
      <c r="P52" s="3726">
        <v>0.49</v>
      </c>
      <c r="Q52" s="3726" t="s">
        <v>3570</v>
      </c>
      <c r="R52" s="3726">
        <v>100000</v>
      </c>
    </row>
    <row r="53" spans="1:18">
      <c r="A53" s="3726"/>
      <c r="B53" s="3726" t="s">
        <v>3569</v>
      </c>
      <c r="C53" s="3726" t="s">
        <v>3568</v>
      </c>
      <c r="D53" s="3726" t="s">
        <v>3426</v>
      </c>
      <c r="E53" s="3726" t="s">
        <v>3425</v>
      </c>
      <c r="F53" s="3726" t="s">
        <v>3424</v>
      </c>
      <c r="G53" s="3726">
        <v>2.63</v>
      </c>
      <c r="H53" s="3726" t="s">
        <v>3510</v>
      </c>
      <c r="I53" s="3726">
        <v>100690</v>
      </c>
      <c r="J53" s="3726">
        <v>38317.980000000003</v>
      </c>
      <c r="K53" s="3726" t="s">
        <v>3567</v>
      </c>
      <c r="L53" s="3726">
        <v>158000</v>
      </c>
      <c r="M53" s="3727">
        <v>41837.000497685185</v>
      </c>
      <c r="N53" s="3726">
        <v>158000</v>
      </c>
      <c r="O53" s="3726">
        <v>15692</v>
      </c>
      <c r="P53" s="3726">
        <v>0</v>
      </c>
      <c r="Q53" s="3726" t="s">
        <v>3566</v>
      </c>
      <c r="R53" s="3726">
        <v>48000</v>
      </c>
    </row>
    <row r="54" spans="1:18">
      <c r="A54" s="3726"/>
      <c r="B54" s="3726" t="s">
        <v>3565</v>
      </c>
      <c r="C54" s="3726" t="s">
        <v>3564</v>
      </c>
      <c r="D54" s="3726" t="s">
        <v>3433</v>
      </c>
      <c r="E54" s="3726" t="s">
        <v>3425</v>
      </c>
      <c r="F54" s="3726" t="s">
        <v>3424</v>
      </c>
      <c r="G54" s="3726">
        <v>2</v>
      </c>
      <c r="H54" s="3726" t="s">
        <v>3563</v>
      </c>
      <c r="I54" s="3726">
        <v>174324</v>
      </c>
      <c r="J54" s="3726">
        <v>87175.06</v>
      </c>
      <c r="K54" s="3726" t="s">
        <v>3559</v>
      </c>
      <c r="L54" s="3726">
        <v>255000</v>
      </c>
      <c r="M54" s="3727">
        <v>41747.000497685185</v>
      </c>
      <c r="N54" s="3726">
        <v>357000</v>
      </c>
      <c r="O54" s="3726">
        <v>20479</v>
      </c>
      <c r="P54" s="3726">
        <v>0.4</v>
      </c>
      <c r="Q54" s="3726" t="s">
        <v>3562</v>
      </c>
      <c r="R54" s="3726">
        <v>77000</v>
      </c>
    </row>
    <row r="55" spans="1:18">
      <c r="A55" s="3726"/>
      <c r="B55" s="3726" t="s">
        <v>3561</v>
      </c>
      <c r="C55" s="3726" t="s">
        <v>3560</v>
      </c>
      <c r="D55" s="3726" t="s">
        <v>3433</v>
      </c>
      <c r="E55" s="3726" t="s">
        <v>3425</v>
      </c>
      <c r="F55" s="3726" t="s">
        <v>3424</v>
      </c>
      <c r="G55" s="3726">
        <v>2.5</v>
      </c>
      <c r="H55" s="3726" t="s">
        <v>3515</v>
      </c>
      <c r="I55" s="3726">
        <v>193512</v>
      </c>
      <c r="J55" s="3726">
        <v>77404.94</v>
      </c>
      <c r="K55" s="3726" t="s">
        <v>3559</v>
      </c>
      <c r="L55" s="3726">
        <v>213000</v>
      </c>
      <c r="M55" s="3727">
        <v>41747.000497685185</v>
      </c>
      <c r="N55" s="3726">
        <v>217400</v>
      </c>
      <c r="O55" s="3726">
        <v>11234</v>
      </c>
      <c r="P55" s="3726">
        <v>2.07E-2</v>
      </c>
      <c r="Q55" s="3726" t="s">
        <v>3558</v>
      </c>
      <c r="R55" s="3726">
        <v>64000</v>
      </c>
    </row>
    <row r="56" spans="1:18">
      <c r="A56" s="3726"/>
      <c r="B56" s="3726" t="s">
        <v>3557</v>
      </c>
      <c r="C56" s="3726" t="s">
        <v>3556</v>
      </c>
      <c r="D56" s="3726" t="s">
        <v>3433</v>
      </c>
      <c r="E56" s="3726" t="s">
        <v>3425</v>
      </c>
      <c r="F56" s="3726" t="s">
        <v>3424</v>
      </c>
      <c r="G56" s="3726">
        <v>3.41</v>
      </c>
      <c r="H56" s="3726" t="s">
        <v>3555</v>
      </c>
      <c r="I56" s="3726">
        <v>347272</v>
      </c>
      <c r="J56" s="3726">
        <v>101831.3</v>
      </c>
      <c r="K56" s="3726" t="s">
        <v>3554</v>
      </c>
      <c r="L56" s="3726" t="s">
        <v>3441</v>
      </c>
      <c r="M56" s="3727">
        <v>41627.000497685185</v>
      </c>
      <c r="N56" s="3726">
        <v>586600</v>
      </c>
      <c r="O56" s="3726">
        <v>16892</v>
      </c>
      <c r="P56" s="3726">
        <v>0</v>
      </c>
      <c r="Q56" s="3726" t="s">
        <v>3553</v>
      </c>
      <c r="R56" s="3726">
        <v>100000</v>
      </c>
    </row>
    <row r="57" spans="1:18">
      <c r="A57" s="3726"/>
      <c r="B57" s="3726" t="s">
        <v>3552</v>
      </c>
      <c r="C57" s="3726" t="s">
        <v>3551</v>
      </c>
      <c r="D57" s="3726" t="s">
        <v>3433</v>
      </c>
      <c r="E57" s="3726" t="s">
        <v>3425</v>
      </c>
      <c r="F57" s="3726" t="s">
        <v>3424</v>
      </c>
      <c r="G57" s="3726">
        <v>3.42</v>
      </c>
      <c r="H57" s="3726" t="s">
        <v>3550</v>
      </c>
      <c r="I57" s="3726">
        <v>201697</v>
      </c>
      <c r="J57" s="3726">
        <v>58900.84</v>
      </c>
      <c r="K57" s="3726" t="s">
        <v>3549</v>
      </c>
      <c r="L57" s="3726" t="s">
        <v>3441</v>
      </c>
      <c r="M57" s="3727">
        <v>41599.000497685185</v>
      </c>
      <c r="N57" s="3726">
        <v>230000</v>
      </c>
      <c r="O57" s="3726">
        <v>11403</v>
      </c>
      <c r="P57" s="3726">
        <v>0</v>
      </c>
      <c r="Q57" s="3726" t="s">
        <v>3548</v>
      </c>
      <c r="R57" s="3726">
        <v>40000</v>
      </c>
    </row>
    <row r="58" spans="1:18">
      <c r="A58" s="3726"/>
      <c r="B58" s="3726" t="s">
        <v>3547</v>
      </c>
      <c r="C58" s="3726" t="s">
        <v>3546</v>
      </c>
      <c r="D58" s="3726" t="s">
        <v>3426</v>
      </c>
      <c r="E58" s="3726" t="s">
        <v>3425</v>
      </c>
      <c r="F58" s="3726" t="s">
        <v>3424</v>
      </c>
      <c r="G58" s="3726" t="s">
        <v>3545</v>
      </c>
      <c r="H58" s="3726" t="s">
        <v>3544</v>
      </c>
      <c r="I58" s="3726">
        <v>355890</v>
      </c>
      <c r="J58" s="3726">
        <v>111501</v>
      </c>
      <c r="K58" s="3726" t="s">
        <v>3538</v>
      </c>
      <c r="L58" s="3726" t="s">
        <v>3441</v>
      </c>
      <c r="M58" s="3727">
        <v>41470.000497685185</v>
      </c>
      <c r="N58" s="3726">
        <v>381201</v>
      </c>
      <c r="O58" s="3726">
        <v>10711</v>
      </c>
      <c r="P58" s="3726">
        <v>0</v>
      </c>
      <c r="Q58" s="3726" t="s">
        <v>3543</v>
      </c>
      <c r="R58" s="3726">
        <v>86000</v>
      </c>
    </row>
    <row r="59" spans="1:18">
      <c r="A59" s="3726"/>
      <c r="B59" s="3726" t="s">
        <v>3542</v>
      </c>
      <c r="C59" s="3726" t="s">
        <v>3541</v>
      </c>
      <c r="D59" s="3726" t="s">
        <v>3426</v>
      </c>
      <c r="E59" s="3726" t="s">
        <v>3425</v>
      </c>
      <c r="F59" s="3726" t="s">
        <v>3424</v>
      </c>
      <c r="G59" s="3726" t="s">
        <v>3540</v>
      </c>
      <c r="H59" s="3726" t="s">
        <v>3539</v>
      </c>
      <c r="I59" s="3726">
        <v>318121</v>
      </c>
      <c r="J59" s="3726">
        <v>103357</v>
      </c>
      <c r="K59" s="3726" t="s">
        <v>3538</v>
      </c>
      <c r="L59" s="3726" t="s">
        <v>3441</v>
      </c>
      <c r="M59" s="3727">
        <v>41470.000497685185</v>
      </c>
      <c r="N59" s="3726">
        <v>330000</v>
      </c>
      <c r="O59" s="3726">
        <v>10373</v>
      </c>
      <c r="P59" s="3726">
        <v>0</v>
      </c>
      <c r="Q59" s="3726" t="s">
        <v>3537</v>
      </c>
      <c r="R59" s="3726">
        <v>60600</v>
      </c>
    </row>
    <row r="60" spans="1:18">
      <c r="A60" s="3726"/>
      <c r="B60" s="3726" t="s">
        <v>3536</v>
      </c>
      <c r="C60" s="3726" t="s">
        <v>3535</v>
      </c>
      <c r="D60" s="3726" t="s">
        <v>3433</v>
      </c>
      <c r="E60" s="3726" t="s">
        <v>3425</v>
      </c>
      <c r="F60" s="3726" t="s">
        <v>3424</v>
      </c>
      <c r="G60" s="3726">
        <v>1.1599999999999999</v>
      </c>
      <c r="H60" s="3726" t="s">
        <v>3534</v>
      </c>
      <c r="I60" s="3726">
        <v>176477</v>
      </c>
      <c r="J60" s="3726">
        <v>152185</v>
      </c>
      <c r="K60" s="3726" t="s">
        <v>3533</v>
      </c>
      <c r="L60" s="3726" t="s">
        <v>3441</v>
      </c>
      <c r="M60" s="3727">
        <v>41312.000497685185</v>
      </c>
      <c r="N60" s="3726">
        <v>190000</v>
      </c>
      <c r="O60" s="3726">
        <v>10766</v>
      </c>
      <c r="P60" s="3726">
        <v>0</v>
      </c>
      <c r="Q60" s="3726" t="s">
        <v>3528</v>
      </c>
      <c r="R60" s="3726">
        <v>40000</v>
      </c>
    </row>
    <row r="61" spans="1:18">
      <c r="A61" s="3726"/>
      <c r="B61" s="3726" t="s">
        <v>3532</v>
      </c>
      <c r="C61" s="3726" t="s">
        <v>3531</v>
      </c>
      <c r="D61" s="3726" t="s">
        <v>3433</v>
      </c>
      <c r="E61" s="3726" t="s">
        <v>3425</v>
      </c>
      <c r="F61" s="3726" t="s">
        <v>3424</v>
      </c>
      <c r="G61" s="3726">
        <v>1.1499999999999999</v>
      </c>
      <c r="H61" s="3726" t="s">
        <v>3530</v>
      </c>
      <c r="I61" s="3726">
        <v>162583</v>
      </c>
      <c r="J61" s="3726">
        <v>141791</v>
      </c>
      <c r="K61" s="3726" t="s">
        <v>3529</v>
      </c>
      <c r="L61" s="3726" t="s">
        <v>3441</v>
      </c>
      <c r="M61" s="3727">
        <v>41309.000497685185</v>
      </c>
      <c r="N61" s="3726">
        <v>213000</v>
      </c>
      <c r="O61" s="3726">
        <v>13101</v>
      </c>
      <c r="P61" s="3726">
        <v>0</v>
      </c>
      <c r="Q61" s="3726" t="s">
        <v>3528</v>
      </c>
      <c r="R61" s="3726">
        <v>40000</v>
      </c>
    </row>
    <row r="62" spans="1:18">
      <c r="A62" s="3726"/>
      <c r="B62" s="3726" t="s">
        <v>3527</v>
      </c>
      <c r="C62" s="3726" t="s">
        <v>3526</v>
      </c>
      <c r="D62" s="3726" t="s">
        <v>3426</v>
      </c>
      <c r="E62" s="3726" t="s">
        <v>3425</v>
      </c>
      <c r="F62" s="3726" t="s">
        <v>3424</v>
      </c>
      <c r="G62" s="3726">
        <v>2.5099999999999998</v>
      </c>
      <c r="H62" s="3726" t="s">
        <v>3525</v>
      </c>
      <c r="I62" s="3726">
        <v>133701</v>
      </c>
      <c r="J62" s="3726">
        <v>38097.08</v>
      </c>
      <c r="K62" s="3726" t="s">
        <v>3524</v>
      </c>
      <c r="L62" s="3726" t="s">
        <v>3441</v>
      </c>
      <c r="M62" s="3727">
        <v>41284.000497685185</v>
      </c>
      <c r="N62" s="3726">
        <v>201800</v>
      </c>
      <c r="O62" s="3726">
        <v>15093</v>
      </c>
      <c r="P62" s="3726">
        <v>0</v>
      </c>
      <c r="Q62" s="3726" t="s">
        <v>3523</v>
      </c>
      <c r="R62" s="3726">
        <v>60000</v>
      </c>
    </row>
    <row r="63" spans="1:18">
      <c r="A63" s="3726"/>
      <c r="B63" s="3726" t="s">
        <v>3522</v>
      </c>
      <c r="C63" s="3726" t="s">
        <v>3521</v>
      </c>
      <c r="D63" s="3726" t="s">
        <v>3433</v>
      </c>
      <c r="E63" s="3726" t="s">
        <v>3432</v>
      </c>
      <c r="F63" s="3726" t="s">
        <v>3424</v>
      </c>
      <c r="G63" s="3726">
        <v>1.76</v>
      </c>
      <c r="H63" s="3726" t="s">
        <v>3520</v>
      </c>
      <c r="I63" s="3726">
        <v>75938</v>
      </c>
      <c r="J63" s="3726">
        <v>43058.39</v>
      </c>
      <c r="K63" s="3726" t="s">
        <v>3519</v>
      </c>
      <c r="L63" s="3726">
        <v>23000</v>
      </c>
      <c r="M63" s="3727">
        <v>41214.000497685185</v>
      </c>
      <c r="N63" s="3726">
        <v>25000</v>
      </c>
      <c r="O63" s="3726">
        <v>3292</v>
      </c>
      <c r="P63" s="3726">
        <v>8.6999999999999994E-2</v>
      </c>
      <c r="Q63" s="3726" t="s">
        <v>3518</v>
      </c>
      <c r="R63" s="3726">
        <v>7000</v>
      </c>
    </row>
    <row r="64" spans="1:18">
      <c r="A64" s="3726"/>
      <c r="B64" s="3726" t="s">
        <v>3517</v>
      </c>
      <c r="C64" s="3726" t="s">
        <v>3516</v>
      </c>
      <c r="D64" s="3726" t="s">
        <v>3433</v>
      </c>
      <c r="E64" s="3726" t="s">
        <v>3432</v>
      </c>
      <c r="F64" s="3726" t="s">
        <v>3424</v>
      </c>
      <c r="G64" s="3726">
        <v>3.5</v>
      </c>
      <c r="H64" s="3726" t="s">
        <v>3515</v>
      </c>
      <c r="I64" s="3726">
        <v>41836</v>
      </c>
      <c r="J64" s="3726">
        <v>11953</v>
      </c>
      <c r="K64" s="3726" t="s">
        <v>3514</v>
      </c>
      <c r="L64" s="3726">
        <v>18585</v>
      </c>
      <c r="M64" s="3727">
        <v>41078.000497685185</v>
      </c>
      <c r="N64" s="3726">
        <v>27850</v>
      </c>
      <c r="O64" s="3726">
        <v>6657</v>
      </c>
      <c r="P64" s="3726">
        <v>0.4985</v>
      </c>
      <c r="Q64" s="3726" t="s">
        <v>3513</v>
      </c>
      <c r="R64" s="3726">
        <v>5600</v>
      </c>
    </row>
    <row r="65" spans="1:18">
      <c r="A65" s="3726"/>
      <c r="B65" s="3726" t="s">
        <v>3512</v>
      </c>
      <c r="C65" s="3726" t="s">
        <v>3511</v>
      </c>
      <c r="D65" s="3726" t="s">
        <v>3433</v>
      </c>
      <c r="E65" s="3726" t="s">
        <v>3432</v>
      </c>
      <c r="F65" s="3726" t="s">
        <v>3424</v>
      </c>
      <c r="G65" s="3726">
        <v>2.82</v>
      </c>
      <c r="H65" s="3726" t="s">
        <v>3510</v>
      </c>
      <c r="I65" s="3726">
        <v>139213</v>
      </c>
      <c r="J65" s="3726">
        <v>49372.44</v>
      </c>
      <c r="K65" s="3726" t="s">
        <v>3509</v>
      </c>
      <c r="L65" s="3726">
        <v>110100</v>
      </c>
      <c r="M65" s="3727">
        <v>40906.000497685185</v>
      </c>
      <c r="N65" s="3726">
        <v>110100</v>
      </c>
      <c r="O65" s="3726">
        <v>7909</v>
      </c>
      <c r="P65" s="3726">
        <v>0</v>
      </c>
      <c r="Q65" s="3726" t="s">
        <v>3508</v>
      </c>
      <c r="R65" s="3726">
        <v>33000</v>
      </c>
    </row>
    <row r="66" spans="1:18">
      <c r="A66" s="3726"/>
      <c r="B66" s="3726" t="s">
        <v>3507</v>
      </c>
      <c r="C66" s="3726" t="s">
        <v>3506</v>
      </c>
      <c r="D66" s="3726" t="s">
        <v>3433</v>
      </c>
      <c r="E66" s="3726" t="s">
        <v>3432</v>
      </c>
      <c r="F66" s="3726" t="s">
        <v>3424</v>
      </c>
      <c r="G66" s="3726">
        <v>2.7</v>
      </c>
      <c r="H66" s="3726" t="s">
        <v>3505</v>
      </c>
      <c r="I66" s="3726">
        <v>379975</v>
      </c>
      <c r="J66" s="3726">
        <v>140362</v>
      </c>
      <c r="K66" s="3726" t="s">
        <v>3504</v>
      </c>
      <c r="L66" s="3726">
        <v>222285</v>
      </c>
      <c r="M66" s="3727">
        <v>40807.000497685185</v>
      </c>
      <c r="N66" s="3726">
        <v>222285</v>
      </c>
      <c r="O66" s="3726">
        <v>5850</v>
      </c>
      <c r="P66" s="3726">
        <v>0</v>
      </c>
      <c r="Q66" s="3726" t="s">
        <v>3503</v>
      </c>
      <c r="R66" s="3726">
        <v>46000</v>
      </c>
    </row>
    <row r="67" spans="1:18">
      <c r="A67" s="3726"/>
      <c r="B67" s="3726" t="s">
        <v>3502</v>
      </c>
      <c r="C67" s="3726" t="s">
        <v>3501</v>
      </c>
      <c r="D67" s="3726" t="s">
        <v>3433</v>
      </c>
      <c r="E67" s="3726" t="s">
        <v>3425</v>
      </c>
      <c r="F67" s="3726" t="s">
        <v>3424</v>
      </c>
      <c r="G67" s="3726">
        <v>2.83</v>
      </c>
      <c r="H67" s="3726" t="s">
        <v>3500</v>
      </c>
      <c r="I67" s="3726">
        <v>207452</v>
      </c>
      <c r="J67" s="3726">
        <v>73188</v>
      </c>
      <c r="K67" s="3726" t="s">
        <v>3499</v>
      </c>
      <c r="L67" s="3726">
        <v>105000</v>
      </c>
      <c r="M67" s="3727">
        <v>40707.000497685185</v>
      </c>
      <c r="N67" s="3726">
        <v>115800</v>
      </c>
      <c r="O67" s="3726">
        <v>5582</v>
      </c>
      <c r="P67" s="3726">
        <v>0.10289999999999999</v>
      </c>
      <c r="Q67" s="3726" t="s">
        <v>3498</v>
      </c>
      <c r="R67" s="3726">
        <v>20000</v>
      </c>
    </row>
    <row r="68" spans="1:18">
      <c r="A68" s="3726"/>
      <c r="B68" s="3726" t="s">
        <v>3497</v>
      </c>
      <c r="C68" s="3726" t="s">
        <v>3496</v>
      </c>
      <c r="D68" s="3726" t="s">
        <v>3426</v>
      </c>
      <c r="E68" s="3726" t="s">
        <v>3432</v>
      </c>
      <c r="F68" s="3726" t="s">
        <v>3424</v>
      </c>
      <c r="G68" s="3726">
        <v>1.5</v>
      </c>
      <c r="H68" s="3726" t="s">
        <v>3495</v>
      </c>
      <c r="I68" s="3726">
        <v>35400</v>
      </c>
      <c r="J68" s="3726">
        <v>23600</v>
      </c>
      <c r="K68" s="3726" t="s">
        <v>3494</v>
      </c>
      <c r="L68" s="3726">
        <v>14400</v>
      </c>
      <c r="M68" s="3727">
        <v>40409.000497685185</v>
      </c>
      <c r="N68" s="3726">
        <v>25000</v>
      </c>
      <c r="O68" s="3726">
        <v>7062</v>
      </c>
      <c r="P68" s="3726">
        <v>0.73609999999999998</v>
      </c>
      <c r="Q68" s="3726" t="s">
        <v>3493</v>
      </c>
      <c r="R68" s="3726">
        <v>4300</v>
      </c>
    </row>
    <row r="69" spans="1:18">
      <c r="A69" s="3726"/>
      <c r="B69" s="3726" t="s">
        <v>3492</v>
      </c>
      <c r="C69" s="3726" t="s">
        <v>3491</v>
      </c>
      <c r="D69" s="3726" t="s">
        <v>3433</v>
      </c>
      <c r="E69" s="3726" t="s">
        <v>3425</v>
      </c>
      <c r="F69" s="3726" t="s">
        <v>3424</v>
      </c>
      <c r="G69" s="3726">
        <v>2.5</v>
      </c>
      <c r="H69" s="3726" t="s">
        <v>3490</v>
      </c>
      <c r="I69" s="3726">
        <v>86105.600000000006</v>
      </c>
      <c r="J69" s="3726">
        <v>34442.239999999998</v>
      </c>
      <c r="K69" s="3726" t="s">
        <v>3489</v>
      </c>
      <c r="L69" s="3726" t="s">
        <v>3441</v>
      </c>
      <c r="M69" s="3727">
        <v>40177.000497685185</v>
      </c>
      <c r="N69" s="3726">
        <v>80200</v>
      </c>
      <c r="O69" s="3726">
        <v>9314</v>
      </c>
      <c r="P69" s="3726">
        <v>0</v>
      </c>
      <c r="Q69" s="3726" t="s">
        <v>3488</v>
      </c>
      <c r="R69" s="3726">
        <v>1200</v>
      </c>
    </row>
    <row r="70" spans="1:18">
      <c r="A70" s="3726"/>
      <c r="B70" s="3726" t="s">
        <v>3487</v>
      </c>
      <c r="C70" s="3726" t="s">
        <v>3486</v>
      </c>
      <c r="D70" s="3726" t="s">
        <v>3426</v>
      </c>
      <c r="E70" s="3726" t="s">
        <v>3425</v>
      </c>
      <c r="F70" s="3726" t="s">
        <v>3424</v>
      </c>
      <c r="G70" s="3726">
        <v>3.4</v>
      </c>
      <c r="H70" s="3726" t="s">
        <v>3478</v>
      </c>
      <c r="I70" s="3726">
        <v>140578.5</v>
      </c>
      <c r="J70" s="3726">
        <v>40985</v>
      </c>
      <c r="K70" s="3726" t="s">
        <v>3485</v>
      </c>
      <c r="L70" s="3726">
        <v>73775</v>
      </c>
      <c r="M70" s="3727">
        <v>40000.000497685185</v>
      </c>
      <c r="N70" s="3726">
        <v>74825</v>
      </c>
      <c r="O70" s="3726">
        <v>5323</v>
      </c>
      <c r="P70" s="3726">
        <v>1.4199999999999999E-2</v>
      </c>
      <c r="Q70" s="3726" t="s">
        <v>3465</v>
      </c>
      <c r="R70" s="3726" t="s">
        <v>3420</v>
      </c>
    </row>
    <row r="71" spans="1:18">
      <c r="A71" s="3726"/>
      <c r="B71" s="3726" t="s">
        <v>3484</v>
      </c>
      <c r="C71" s="3726" t="s">
        <v>3483</v>
      </c>
      <c r="D71" s="3726" t="s">
        <v>3426</v>
      </c>
      <c r="E71" s="3726" t="s">
        <v>3425</v>
      </c>
      <c r="F71" s="3726" t="s">
        <v>3424</v>
      </c>
      <c r="G71" s="3726">
        <v>2.5</v>
      </c>
      <c r="H71" s="3726" t="s">
        <v>3478</v>
      </c>
      <c r="I71" s="3726">
        <v>21331.07</v>
      </c>
      <c r="J71" s="3726">
        <v>8532.43</v>
      </c>
      <c r="K71" s="3726" t="s">
        <v>3482</v>
      </c>
      <c r="L71" s="3726">
        <v>8160</v>
      </c>
      <c r="M71" s="3727">
        <v>39945.000497685185</v>
      </c>
      <c r="N71" s="3726">
        <v>8260</v>
      </c>
      <c r="O71" s="3726">
        <v>3872</v>
      </c>
      <c r="P71" s="3726">
        <v>1.23E-2</v>
      </c>
      <c r="Q71" s="3726" t="s">
        <v>3481</v>
      </c>
      <c r="R71" s="3726" t="s">
        <v>3420</v>
      </c>
    </row>
    <row r="72" spans="1:18">
      <c r="A72" s="3726"/>
      <c r="B72" s="3726" t="s">
        <v>3480</v>
      </c>
      <c r="C72" s="3726" t="s">
        <v>3479</v>
      </c>
      <c r="D72" s="3726" t="s">
        <v>3426</v>
      </c>
      <c r="E72" s="3726" t="s">
        <v>3425</v>
      </c>
      <c r="F72" s="3726" t="s">
        <v>3424</v>
      </c>
      <c r="G72" s="3726">
        <v>2</v>
      </c>
      <c r="H72" s="3726" t="s">
        <v>3478</v>
      </c>
      <c r="I72" s="3726">
        <v>25125</v>
      </c>
      <c r="J72" s="3726">
        <v>12305.81</v>
      </c>
      <c r="K72" s="3726" t="s">
        <v>3477</v>
      </c>
      <c r="L72" s="3726" t="s">
        <v>3441</v>
      </c>
      <c r="M72" s="3727">
        <v>39878.000497685185</v>
      </c>
      <c r="N72" s="3726">
        <v>5373</v>
      </c>
      <c r="O72" s="3726">
        <v>2139</v>
      </c>
      <c r="P72" s="3726">
        <v>0</v>
      </c>
      <c r="Q72" s="3726" t="s">
        <v>3476</v>
      </c>
      <c r="R72" s="3726">
        <v>500</v>
      </c>
    </row>
    <row r="73" spans="1:18">
      <c r="A73" s="3726"/>
      <c r="B73" s="3726" t="s">
        <v>3475</v>
      </c>
      <c r="C73" s="3726" t="s">
        <v>3474</v>
      </c>
      <c r="D73" s="3726" t="s">
        <v>3426</v>
      </c>
      <c r="E73" s="3726" t="s">
        <v>3425</v>
      </c>
      <c r="F73" s="3726" t="s">
        <v>3424</v>
      </c>
      <c r="G73" s="3726" t="s">
        <v>3473</v>
      </c>
      <c r="H73" s="3726" t="s">
        <v>3472</v>
      </c>
      <c r="I73" s="3726">
        <v>350742.3</v>
      </c>
      <c r="J73" s="3726">
        <v>137589</v>
      </c>
      <c r="K73" s="3726" t="s">
        <v>3471</v>
      </c>
      <c r="L73" s="3726" t="s">
        <v>3441</v>
      </c>
      <c r="M73" s="3727">
        <v>39735.000497685185</v>
      </c>
      <c r="N73" s="3726">
        <v>122500</v>
      </c>
      <c r="O73" s="3726">
        <v>3493</v>
      </c>
      <c r="P73" s="3726">
        <v>0</v>
      </c>
      <c r="Q73" s="3726" t="s">
        <v>3470</v>
      </c>
      <c r="R73" s="3726">
        <v>16000</v>
      </c>
    </row>
    <row r="74" spans="1:18">
      <c r="A74" s="3726"/>
      <c r="B74" s="3726" t="s">
        <v>3469</v>
      </c>
      <c r="C74" s="3726" t="s">
        <v>3468</v>
      </c>
      <c r="D74" s="3726" t="s">
        <v>3426</v>
      </c>
      <c r="E74" s="3726" t="s">
        <v>3425</v>
      </c>
      <c r="F74" s="3726" t="s">
        <v>3424</v>
      </c>
      <c r="G74" s="3726">
        <v>3</v>
      </c>
      <c r="H74" s="3726" t="s">
        <v>3467</v>
      </c>
      <c r="I74" s="3726">
        <v>310050</v>
      </c>
      <c r="J74" s="3726">
        <v>105663.2</v>
      </c>
      <c r="K74" s="3726" t="s">
        <v>3466</v>
      </c>
      <c r="L74" s="3726">
        <v>157800</v>
      </c>
      <c r="M74" s="3727">
        <v>39464.000497685185</v>
      </c>
      <c r="N74" s="3726">
        <v>165000</v>
      </c>
      <c r="O74" s="3726">
        <v>5322</v>
      </c>
      <c r="P74" s="3726">
        <v>4.5599999999999995E-2</v>
      </c>
      <c r="Q74" s="3726" t="s">
        <v>3465</v>
      </c>
      <c r="R74" s="3726">
        <v>25000</v>
      </c>
    </row>
    <row r="75" spans="1:18">
      <c r="A75" s="3726"/>
      <c r="B75" s="3726" t="s">
        <v>3464</v>
      </c>
      <c r="C75" s="3726" t="s">
        <v>3463</v>
      </c>
      <c r="D75" s="3726" t="s">
        <v>3433</v>
      </c>
      <c r="E75" s="3726" t="s">
        <v>3432</v>
      </c>
      <c r="F75" s="3726" t="s">
        <v>3424</v>
      </c>
      <c r="G75" s="3726">
        <v>1.4</v>
      </c>
      <c r="H75" s="3726" t="s">
        <v>3448</v>
      </c>
      <c r="I75" s="3726">
        <v>286120.8</v>
      </c>
      <c r="J75" s="3726">
        <v>201496.2</v>
      </c>
      <c r="K75" s="3726" t="s">
        <v>3462</v>
      </c>
      <c r="L75" s="3726">
        <v>44332.17</v>
      </c>
      <c r="M75" s="3727">
        <v>39433.000497685185</v>
      </c>
      <c r="N75" s="3726">
        <v>150000</v>
      </c>
      <c r="O75" s="3726">
        <v>5243</v>
      </c>
      <c r="P75" s="3726">
        <v>2.3834999999999997</v>
      </c>
      <c r="Q75" s="3726" t="s">
        <v>3461</v>
      </c>
      <c r="R75" s="3726">
        <v>4500</v>
      </c>
    </row>
    <row r="76" spans="1:18">
      <c r="A76" s="3726"/>
      <c r="B76" s="3726" t="s">
        <v>3460</v>
      </c>
      <c r="C76" s="3726" t="s">
        <v>3459</v>
      </c>
      <c r="D76" s="3726" t="s">
        <v>3426</v>
      </c>
      <c r="E76" s="3726" t="s">
        <v>3432</v>
      </c>
      <c r="F76" s="3726" t="s">
        <v>3424</v>
      </c>
      <c r="G76" s="3726">
        <v>5</v>
      </c>
      <c r="H76" s="3726" t="s">
        <v>3458</v>
      </c>
      <c r="I76" s="3726">
        <v>52545</v>
      </c>
      <c r="J76" s="3726">
        <v>10468.299999999999</v>
      </c>
      <c r="K76" s="3726" t="s">
        <v>3457</v>
      </c>
      <c r="L76" s="3726">
        <v>18300</v>
      </c>
      <c r="M76" s="3727">
        <v>39231.000497685185</v>
      </c>
      <c r="N76" s="3726">
        <v>22841</v>
      </c>
      <c r="O76" s="3726">
        <v>4347</v>
      </c>
      <c r="P76" s="3726">
        <v>0.24809999999999999</v>
      </c>
      <c r="Q76" s="3726" t="s">
        <v>3456</v>
      </c>
      <c r="R76" s="3726">
        <v>2000</v>
      </c>
    </row>
    <row r="77" spans="1:18">
      <c r="A77" s="3726"/>
      <c r="B77" s="3726" t="s">
        <v>3455</v>
      </c>
      <c r="C77" s="3726" t="s">
        <v>3454</v>
      </c>
      <c r="D77" s="3726" t="s">
        <v>3426</v>
      </c>
      <c r="E77" s="3726" t="s">
        <v>3425</v>
      </c>
      <c r="F77" s="3726" t="s">
        <v>3424</v>
      </c>
      <c r="G77" s="3726">
        <v>2.27</v>
      </c>
      <c r="H77" s="3726" t="s">
        <v>3453</v>
      </c>
      <c r="I77" s="3726">
        <v>427200</v>
      </c>
      <c r="J77" s="3726">
        <v>188130.1</v>
      </c>
      <c r="K77" s="3726" t="s">
        <v>3452</v>
      </c>
      <c r="L77" s="3726">
        <v>106400</v>
      </c>
      <c r="M77" s="3727">
        <v>39220.000497685185</v>
      </c>
      <c r="N77" s="3726">
        <v>124800</v>
      </c>
      <c r="O77" s="3726">
        <v>2921</v>
      </c>
      <c r="P77" s="3726">
        <v>0.1729</v>
      </c>
      <c r="Q77" s="3726" t="s">
        <v>3451</v>
      </c>
      <c r="R77" s="3726">
        <v>12000</v>
      </c>
    </row>
    <row r="78" spans="1:18">
      <c r="A78" s="3726"/>
      <c r="B78" s="3726" t="s">
        <v>3450</v>
      </c>
      <c r="C78" s="3726" t="s">
        <v>3449</v>
      </c>
      <c r="D78" s="3726" t="s">
        <v>3433</v>
      </c>
      <c r="E78" s="3726" t="s">
        <v>3432</v>
      </c>
      <c r="F78" s="3726" t="s">
        <v>3424</v>
      </c>
      <c r="G78" s="3726">
        <v>2.5</v>
      </c>
      <c r="H78" s="3726" t="s">
        <v>3448</v>
      </c>
      <c r="I78" s="3726">
        <v>13553.4</v>
      </c>
      <c r="J78" s="3726">
        <v>5421.36</v>
      </c>
      <c r="K78" s="3726" t="s">
        <v>3447</v>
      </c>
      <c r="L78" s="3726">
        <v>1608.18</v>
      </c>
      <c r="M78" s="3727">
        <v>39212.000497685185</v>
      </c>
      <c r="N78" s="3726">
        <v>1688.18</v>
      </c>
      <c r="O78" s="3726">
        <v>1246</v>
      </c>
      <c r="P78" s="3726">
        <v>4.9699999999999994E-2</v>
      </c>
      <c r="Q78" s="3726" t="s">
        <v>3446</v>
      </c>
      <c r="R78" s="3726">
        <v>160</v>
      </c>
    </row>
    <row r="79" spans="1:18">
      <c r="A79" s="3726"/>
      <c r="B79" s="3726" t="s">
        <v>3445</v>
      </c>
      <c r="C79" s="3726" t="s">
        <v>3444</v>
      </c>
      <c r="D79" s="3726" t="s">
        <v>3426</v>
      </c>
      <c r="E79" s="3726" t="s">
        <v>3425</v>
      </c>
      <c r="F79" s="3726" t="s">
        <v>3424</v>
      </c>
      <c r="G79" s="3726">
        <v>3.33</v>
      </c>
      <c r="H79" s="3726" t="s">
        <v>3443</v>
      </c>
      <c r="I79" s="3726">
        <v>154834.6</v>
      </c>
      <c r="J79" s="3726">
        <v>46542</v>
      </c>
      <c r="K79" s="3726" t="s">
        <v>3442</v>
      </c>
      <c r="L79" s="3726" t="s">
        <v>3441</v>
      </c>
      <c r="M79" s="3727">
        <v>38827.000497685185</v>
      </c>
      <c r="N79" s="3726">
        <v>43732.08</v>
      </c>
      <c r="O79" s="3726">
        <v>2824</v>
      </c>
      <c r="P79" s="3726">
        <v>0</v>
      </c>
      <c r="Q79" s="3726" t="s">
        <v>3440</v>
      </c>
      <c r="R79" s="3726">
        <v>3800</v>
      </c>
    </row>
    <row r="80" spans="1:18">
      <c r="A80" s="3726"/>
      <c r="B80" s="3726" t="s">
        <v>3439</v>
      </c>
      <c r="C80" s="3726" t="s">
        <v>3438</v>
      </c>
      <c r="D80" s="3726" t="s">
        <v>3433</v>
      </c>
      <c r="E80" s="3726" t="s">
        <v>3432</v>
      </c>
      <c r="F80" s="3726" t="s">
        <v>3424</v>
      </c>
      <c r="G80" s="3726">
        <v>2.41</v>
      </c>
      <c r="H80" s="3726" t="s">
        <v>3431</v>
      </c>
      <c r="I80" s="3726">
        <v>5400</v>
      </c>
      <c r="J80" s="3726">
        <v>2243</v>
      </c>
      <c r="K80" s="3726" t="s">
        <v>3437</v>
      </c>
      <c r="L80" s="3726">
        <v>429</v>
      </c>
      <c r="M80" s="3727">
        <v>38175.000497685185</v>
      </c>
      <c r="N80" s="3726">
        <v>429</v>
      </c>
      <c r="O80" s="3726">
        <v>794</v>
      </c>
      <c r="P80" s="3726">
        <v>0</v>
      </c>
      <c r="Q80" s="3726" t="s">
        <v>3436</v>
      </c>
      <c r="R80" s="3726" t="s">
        <v>3420</v>
      </c>
    </row>
    <row r="81" spans="1:18">
      <c r="A81" s="3726"/>
      <c r="B81" s="3726" t="s">
        <v>3435</v>
      </c>
      <c r="C81" s="3726" t="s">
        <v>3434</v>
      </c>
      <c r="D81" s="3726" t="s">
        <v>3433</v>
      </c>
      <c r="E81" s="3726" t="s">
        <v>3432</v>
      </c>
      <c r="F81" s="3726" t="s">
        <v>3424</v>
      </c>
      <c r="G81" s="3726">
        <v>2</v>
      </c>
      <c r="H81" s="3726" t="s">
        <v>3431</v>
      </c>
      <c r="I81" s="3726">
        <v>13414</v>
      </c>
      <c r="J81" s="3726">
        <v>6720</v>
      </c>
      <c r="K81" s="3726" t="s">
        <v>3430</v>
      </c>
      <c r="L81" s="3726">
        <v>630</v>
      </c>
      <c r="M81" s="3727">
        <v>37974.000497685185</v>
      </c>
      <c r="N81" s="3726">
        <v>630</v>
      </c>
      <c r="O81" s="3726">
        <v>470</v>
      </c>
      <c r="P81" s="3726">
        <v>0</v>
      </c>
      <c r="Q81" s="3726" t="s">
        <v>3429</v>
      </c>
      <c r="R81" s="3726" t="s">
        <v>3420</v>
      </c>
    </row>
    <row r="82" spans="1:18">
      <c r="A82" s="3726"/>
      <c r="B82" s="3726" t="s">
        <v>3428</v>
      </c>
      <c r="C82" s="3726" t="s">
        <v>3427</v>
      </c>
      <c r="D82" s="3726" t="s">
        <v>3426</v>
      </c>
      <c r="E82" s="3726" t="s">
        <v>3425</v>
      </c>
      <c r="F82" s="3726" t="s">
        <v>3424</v>
      </c>
      <c r="G82" s="3726">
        <v>1.6</v>
      </c>
      <c r="H82" s="3726" t="s">
        <v>3423</v>
      </c>
      <c r="I82" s="3726">
        <v>6300</v>
      </c>
      <c r="J82" s="3726">
        <v>5737</v>
      </c>
      <c r="K82" s="3726" t="s">
        <v>3422</v>
      </c>
      <c r="L82" s="3726">
        <v>1232.9100000000001</v>
      </c>
      <c r="M82" s="3727">
        <v>37965.000497685185</v>
      </c>
      <c r="N82" s="3726">
        <v>1810</v>
      </c>
      <c r="O82" s="3726">
        <v>2873</v>
      </c>
      <c r="P82" s="3726">
        <v>0.46810000000000002</v>
      </c>
      <c r="Q82" s="3726" t="s">
        <v>3421</v>
      </c>
      <c r="R82" s="3726" t="s">
        <v>3420</v>
      </c>
    </row>
  </sheetData>
  <mergeCells count="1476">
    <mergeCell ref="R2"/>
    <mergeCell ref="A1"/>
    <mergeCell ref="B1"/>
    <mergeCell ref="C1"/>
    <mergeCell ref="D1"/>
    <mergeCell ref="E1"/>
    <mergeCell ref="F1"/>
    <mergeCell ref="G1"/>
    <mergeCell ref="H1"/>
    <mergeCell ref="I1"/>
    <mergeCell ref="L2"/>
    <mergeCell ref="M2"/>
    <mergeCell ref="N2"/>
    <mergeCell ref="O2"/>
    <mergeCell ref="P2"/>
    <mergeCell ref="Q2"/>
    <mergeCell ref="F2"/>
    <mergeCell ref="G2"/>
    <mergeCell ref="H2"/>
    <mergeCell ref="I2"/>
    <mergeCell ref="J2"/>
    <mergeCell ref="K2"/>
    <mergeCell ref="N1"/>
    <mergeCell ref="O1"/>
    <mergeCell ref="P1"/>
    <mergeCell ref="Q1"/>
    <mergeCell ref="R1"/>
    <mergeCell ref="A2"/>
    <mergeCell ref="B2"/>
    <mergeCell ref="C2"/>
    <mergeCell ref="D2"/>
    <mergeCell ref="E2"/>
    <mergeCell ref="A4"/>
    <mergeCell ref="B4"/>
    <mergeCell ref="C4"/>
    <mergeCell ref="D4"/>
    <mergeCell ref="E4"/>
    <mergeCell ref="G3"/>
    <mergeCell ref="H3"/>
    <mergeCell ref="I3"/>
    <mergeCell ref="J3"/>
    <mergeCell ref="K3"/>
    <mergeCell ref="L3"/>
    <mergeCell ref="J1"/>
    <mergeCell ref="K1"/>
    <mergeCell ref="L1"/>
    <mergeCell ref="M1"/>
    <mergeCell ref="A3"/>
    <mergeCell ref="B3"/>
    <mergeCell ref="C3"/>
    <mergeCell ref="D3"/>
    <mergeCell ref="E3"/>
    <mergeCell ref="F3"/>
    <mergeCell ref="B5"/>
    <mergeCell ref="C5"/>
    <mergeCell ref="D5"/>
    <mergeCell ref="E5"/>
    <mergeCell ref="F5"/>
    <mergeCell ref="G5"/>
    <mergeCell ref="L4"/>
    <mergeCell ref="M4"/>
    <mergeCell ref="N4"/>
    <mergeCell ref="O4"/>
    <mergeCell ref="P4"/>
    <mergeCell ref="Q4"/>
    <mergeCell ref="F4"/>
    <mergeCell ref="G4"/>
    <mergeCell ref="H4"/>
    <mergeCell ref="I4"/>
    <mergeCell ref="J4"/>
    <mergeCell ref="K4"/>
    <mergeCell ref="O7"/>
    <mergeCell ref="P7"/>
    <mergeCell ref="Q7"/>
    <mergeCell ref="F7"/>
    <mergeCell ref="G7"/>
    <mergeCell ref="H7"/>
    <mergeCell ref="I7"/>
    <mergeCell ref="J7"/>
    <mergeCell ref="K7"/>
    <mergeCell ref="N5"/>
    <mergeCell ref="O5"/>
    <mergeCell ref="P5"/>
    <mergeCell ref="Q5"/>
    <mergeCell ref="R3"/>
    <mergeCell ref="R4"/>
    <mergeCell ref="R5"/>
    <mergeCell ref="H5"/>
    <mergeCell ref="I5"/>
    <mergeCell ref="J5"/>
    <mergeCell ref="K5"/>
    <mergeCell ref="L5"/>
    <mergeCell ref="M5"/>
    <mergeCell ref="M3"/>
    <mergeCell ref="N3"/>
    <mergeCell ref="O3"/>
    <mergeCell ref="P3"/>
    <mergeCell ref="Q3"/>
    <mergeCell ref="F8"/>
    <mergeCell ref="A5"/>
    <mergeCell ref="J9"/>
    <mergeCell ref="K9"/>
    <mergeCell ref="L9"/>
    <mergeCell ref="M9"/>
    <mergeCell ref="N9"/>
    <mergeCell ref="G8"/>
    <mergeCell ref="H8"/>
    <mergeCell ref="I8"/>
    <mergeCell ref="J8"/>
    <mergeCell ref="M6"/>
    <mergeCell ref="N6"/>
    <mergeCell ref="O6"/>
    <mergeCell ref="P6"/>
    <mergeCell ref="Q6"/>
    <mergeCell ref="R6"/>
    <mergeCell ref="G6"/>
    <mergeCell ref="H6"/>
    <mergeCell ref="I6"/>
    <mergeCell ref="J6"/>
    <mergeCell ref="K6"/>
    <mergeCell ref="L6"/>
    <mergeCell ref="A6"/>
    <mergeCell ref="B6"/>
    <mergeCell ref="C6"/>
    <mergeCell ref="D6"/>
    <mergeCell ref="E6"/>
    <mergeCell ref="F6"/>
    <mergeCell ref="L7"/>
    <mergeCell ref="M7"/>
    <mergeCell ref="N7"/>
    <mergeCell ref="N11"/>
    <mergeCell ref="O11"/>
    <mergeCell ref="P11"/>
    <mergeCell ref="Q11"/>
    <mergeCell ref="R9"/>
    <mergeCell ref="A10"/>
    <mergeCell ref="B10"/>
    <mergeCell ref="C10"/>
    <mergeCell ref="D10"/>
    <mergeCell ref="E10"/>
    <mergeCell ref="Q8"/>
    <mergeCell ref="R8"/>
    <mergeCell ref="A7"/>
    <mergeCell ref="B7"/>
    <mergeCell ref="C7"/>
    <mergeCell ref="D7"/>
    <mergeCell ref="E7"/>
    <mergeCell ref="K8"/>
    <mergeCell ref="L8"/>
    <mergeCell ref="M8"/>
    <mergeCell ref="N8"/>
    <mergeCell ref="O8"/>
    <mergeCell ref="P8"/>
    <mergeCell ref="O9"/>
    <mergeCell ref="P9"/>
    <mergeCell ref="Q9"/>
    <mergeCell ref="R7"/>
    <mergeCell ref="A8"/>
    <mergeCell ref="B8"/>
    <mergeCell ref="C8"/>
    <mergeCell ref="D8"/>
    <mergeCell ref="E8"/>
    <mergeCell ref="R10"/>
    <mergeCell ref="A9"/>
    <mergeCell ref="B9"/>
    <mergeCell ref="C9"/>
    <mergeCell ref="D9"/>
    <mergeCell ref="E9"/>
    <mergeCell ref="F9"/>
    <mergeCell ref="G9"/>
    <mergeCell ref="H9"/>
    <mergeCell ref="I9"/>
    <mergeCell ref="L10"/>
    <mergeCell ref="M10"/>
    <mergeCell ref="N10"/>
    <mergeCell ref="O10"/>
    <mergeCell ref="P10"/>
    <mergeCell ref="Q10"/>
    <mergeCell ref="F10"/>
    <mergeCell ref="G10"/>
    <mergeCell ref="H10"/>
    <mergeCell ref="I10"/>
    <mergeCell ref="J10"/>
    <mergeCell ref="K10"/>
    <mergeCell ref="H11"/>
    <mergeCell ref="I11"/>
    <mergeCell ref="J11"/>
    <mergeCell ref="K11"/>
    <mergeCell ref="L11"/>
    <mergeCell ref="M11"/>
    <mergeCell ref="P12"/>
    <mergeCell ref="Q12"/>
    <mergeCell ref="R12"/>
    <mergeCell ref="A11"/>
    <mergeCell ref="B11"/>
    <mergeCell ref="C11"/>
    <mergeCell ref="D11"/>
    <mergeCell ref="E11"/>
    <mergeCell ref="F11"/>
    <mergeCell ref="G11"/>
    <mergeCell ref="J12"/>
    <mergeCell ref="K12"/>
    <mergeCell ref="L12"/>
    <mergeCell ref="M12"/>
    <mergeCell ref="N12"/>
    <mergeCell ref="O12"/>
    <mergeCell ref="R11"/>
    <mergeCell ref="A12"/>
    <mergeCell ref="B12"/>
    <mergeCell ref="C12"/>
    <mergeCell ref="D12"/>
    <mergeCell ref="E12"/>
    <mergeCell ref="F12"/>
    <mergeCell ref="G12"/>
    <mergeCell ref="H12"/>
    <mergeCell ref="I12"/>
    <mergeCell ref="A14"/>
    <mergeCell ref="B14"/>
    <mergeCell ref="C14"/>
    <mergeCell ref="D14"/>
    <mergeCell ref="E14"/>
    <mergeCell ref="G13"/>
    <mergeCell ref="H13"/>
    <mergeCell ref="I13"/>
    <mergeCell ref="J13"/>
    <mergeCell ref="K13"/>
    <mergeCell ref="L13"/>
    <mergeCell ref="A13"/>
    <mergeCell ref="B13"/>
    <mergeCell ref="C13"/>
    <mergeCell ref="D13"/>
    <mergeCell ref="E13"/>
    <mergeCell ref="F13"/>
    <mergeCell ref="B15"/>
    <mergeCell ref="C15"/>
    <mergeCell ref="D15"/>
    <mergeCell ref="E15"/>
    <mergeCell ref="F15"/>
    <mergeCell ref="G15"/>
    <mergeCell ref="L14"/>
    <mergeCell ref="M14"/>
    <mergeCell ref="N14"/>
    <mergeCell ref="O14"/>
    <mergeCell ref="P14"/>
    <mergeCell ref="Q14"/>
    <mergeCell ref="F14"/>
    <mergeCell ref="G14"/>
    <mergeCell ref="H14"/>
    <mergeCell ref="I14"/>
    <mergeCell ref="J14"/>
    <mergeCell ref="K14"/>
    <mergeCell ref="O17"/>
    <mergeCell ref="P17"/>
    <mergeCell ref="Q17"/>
    <mergeCell ref="F17"/>
    <mergeCell ref="G17"/>
    <mergeCell ref="H17"/>
    <mergeCell ref="I17"/>
    <mergeCell ref="J17"/>
    <mergeCell ref="K17"/>
    <mergeCell ref="N15"/>
    <mergeCell ref="O15"/>
    <mergeCell ref="P15"/>
    <mergeCell ref="Q15"/>
    <mergeCell ref="R13"/>
    <mergeCell ref="R14"/>
    <mergeCell ref="R15"/>
    <mergeCell ref="H15"/>
    <mergeCell ref="I15"/>
    <mergeCell ref="J15"/>
    <mergeCell ref="K15"/>
    <mergeCell ref="L15"/>
    <mergeCell ref="M15"/>
    <mergeCell ref="M13"/>
    <mergeCell ref="N13"/>
    <mergeCell ref="O13"/>
    <mergeCell ref="P13"/>
    <mergeCell ref="Q13"/>
    <mergeCell ref="F18"/>
    <mergeCell ref="A15"/>
    <mergeCell ref="J19"/>
    <mergeCell ref="K19"/>
    <mergeCell ref="L19"/>
    <mergeCell ref="M19"/>
    <mergeCell ref="N19"/>
    <mergeCell ref="G18"/>
    <mergeCell ref="H18"/>
    <mergeCell ref="I18"/>
    <mergeCell ref="J18"/>
    <mergeCell ref="M16"/>
    <mergeCell ref="N16"/>
    <mergeCell ref="O16"/>
    <mergeCell ref="P16"/>
    <mergeCell ref="Q16"/>
    <mergeCell ref="R16"/>
    <mergeCell ref="G16"/>
    <mergeCell ref="H16"/>
    <mergeCell ref="I16"/>
    <mergeCell ref="J16"/>
    <mergeCell ref="K16"/>
    <mergeCell ref="L16"/>
    <mergeCell ref="A16"/>
    <mergeCell ref="B16"/>
    <mergeCell ref="C16"/>
    <mergeCell ref="D16"/>
    <mergeCell ref="E16"/>
    <mergeCell ref="F16"/>
    <mergeCell ref="L17"/>
    <mergeCell ref="M17"/>
    <mergeCell ref="N17"/>
    <mergeCell ref="N21"/>
    <mergeCell ref="O21"/>
    <mergeCell ref="P21"/>
    <mergeCell ref="Q21"/>
    <mergeCell ref="R19"/>
    <mergeCell ref="A20"/>
    <mergeCell ref="B20"/>
    <mergeCell ref="C20"/>
    <mergeCell ref="D20"/>
    <mergeCell ref="E20"/>
    <mergeCell ref="Q18"/>
    <mergeCell ref="R18"/>
    <mergeCell ref="A17"/>
    <mergeCell ref="B17"/>
    <mergeCell ref="C17"/>
    <mergeCell ref="D17"/>
    <mergeCell ref="E17"/>
    <mergeCell ref="K18"/>
    <mergeCell ref="L18"/>
    <mergeCell ref="M18"/>
    <mergeCell ref="N18"/>
    <mergeCell ref="O18"/>
    <mergeCell ref="P18"/>
    <mergeCell ref="O19"/>
    <mergeCell ref="P19"/>
    <mergeCell ref="Q19"/>
    <mergeCell ref="R17"/>
    <mergeCell ref="A18"/>
    <mergeCell ref="B18"/>
    <mergeCell ref="C18"/>
    <mergeCell ref="D18"/>
    <mergeCell ref="E18"/>
    <mergeCell ref="R20"/>
    <mergeCell ref="A19"/>
    <mergeCell ref="B19"/>
    <mergeCell ref="C19"/>
    <mergeCell ref="D19"/>
    <mergeCell ref="E19"/>
    <mergeCell ref="F19"/>
    <mergeCell ref="G19"/>
    <mergeCell ref="H19"/>
    <mergeCell ref="I19"/>
    <mergeCell ref="L20"/>
    <mergeCell ref="M20"/>
    <mergeCell ref="N20"/>
    <mergeCell ref="O20"/>
    <mergeCell ref="P20"/>
    <mergeCell ref="Q20"/>
    <mergeCell ref="F20"/>
    <mergeCell ref="G20"/>
    <mergeCell ref="H20"/>
    <mergeCell ref="I20"/>
    <mergeCell ref="J20"/>
    <mergeCell ref="K20"/>
    <mergeCell ref="H21"/>
    <mergeCell ref="I21"/>
    <mergeCell ref="J21"/>
    <mergeCell ref="K21"/>
    <mergeCell ref="L21"/>
    <mergeCell ref="M21"/>
    <mergeCell ref="P22"/>
    <mergeCell ref="Q22"/>
    <mergeCell ref="R22"/>
    <mergeCell ref="A21"/>
    <mergeCell ref="B21"/>
    <mergeCell ref="C21"/>
    <mergeCell ref="D21"/>
    <mergeCell ref="E21"/>
    <mergeCell ref="F21"/>
    <mergeCell ref="G21"/>
    <mergeCell ref="J22"/>
    <mergeCell ref="K22"/>
    <mergeCell ref="L22"/>
    <mergeCell ref="M22"/>
    <mergeCell ref="N22"/>
    <mergeCell ref="O22"/>
    <mergeCell ref="R21"/>
    <mergeCell ref="A22"/>
    <mergeCell ref="B22"/>
    <mergeCell ref="C22"/>
    <mergeCell ref="D22"/>
    <mergeCell ref="E22"/>
    <mergeCell ref="F22"/>
    <mergeCell ref="G22"/>
    <mergeCell ref="H22"/>
    <mergeCell ref="I22"/>
    <mergeCell ref="A24"/>
    <mergeCell ref="B24"/>
    <mergeCell ref="C24"/>
    <mergeCell ref="D24"/>
    <mergeCell ref="E24"/>
    <mergeCell ref="G23"/>
    <mergeCell ref="H23"/>
    <mergeCell ref="I23"/>
    <mergeCell ref="J23"/>
    <mergeCell ref="K23"/>
    <mergeCell ref="L23"/>
    <mergeCell ref="A23"/>
    <mergeCell ref="B23"/>
    <mergeCell ref="C23"/>
    <mergeCell ref="D23"/>
    <mergeCell ref="E23"/>
    <mergeCell ref="F23"/>
    <mergeCell ref="B25"/>
    <mergeCell ref="C25"/>
    <mergeCell ref="D25"/>
    <mergeCell ref="E25"/>
    <mergeCell ref="F25"/>
    <mergeCell ref="G25"/>
    <mergeCell ref="L24"/>
    <mergeCell ref="M24"/>
    <mergeCell ref="N24"/>
    <mergeCell ref="O24"/>
    <mergeCell ref="P24"/>
    <mergeCell ref="Q24"/>
    <mergeCell ref="F24"/>
    <mergeCell ref="G24"/>
    <mergeCell ref="H24"/>
    <mergeCell ref="I24"/>
    <mergeCell ref="J24"/>
    <mergeCell ref="K24"/>
    <mergeCell ref="O27"/>
    <mergeCell ref="P27"/>
    <mergeCell ref="Q27"/>
    <mergeCell ref="F27"/>
    <mergeCell ref="G27"/>
    <mergeCell ref="H27"/>
    <mergeCell ref="I27"/>
    <mergeCell ref="J27"/>
    <mergeCell ref="K27"/>
    <mergeCell ref="N25"/>
    <mergeCell ref="O25"/>
    <mergeCell ref="P25"/>
    <mergeCell ref="Q25"/>
    <mergeCell ref="R23"/>
    <mergeCell ref="R24"/>
    <mergeCell ref="R25"/>
    <mergeCell ref="H25"/>
    <mergeCell ref="I25"/>
    <mergeCell ref="J25"/>
    <mergeCell ref="K25"/>
    <mergeCell ref="L25"/>
    <mergeCell ref="M25"/>
    <mergeCell ref="M23"/>
    <mergeCell ref="N23"/>
    <mergeCell ref="O23"/>
    <mergeCell ref="P23"/>
    <mergeCell ref="Q23"/>
    <mergeCell ref="F28"/>
    <mergeCell ref="A25"/>
    <mergeCell ref="J29"/>
    <mergeCell ref="K29"/>
    <mergeCell ref="L29"/>
    <mergeCell ref="M29"/>
    <mergeCell ref="N29"/>
    <mergeCell ref="G28"/>
    <mergeCell ref="H28"/>
    <mergeCell ref="I28"/>
    <mergeCell ref="J28"/>
    <mergeCell ref="M26"/>
    <mergeCell ref="N26"/>
    <mergeCell ref="O26"/>
    <mergeCell ref="P26"/>
    <mergeCell ref="Q26"/>
    <mergeCell ref="R26"/>
    <mergeCell ref="G26"/>
    <mergeCell ref="H26"/>
    <mergeCell ref="I26"/>
    <mergeCell ref="J26"/>
    <mergeCell ref="K26"/>
    <mergeCell ref="L26"/>
    <mergeCell ref="A26"/>
    <mergeCell ref="B26"/>
    <mergeCell ref="C26"/>
    <mergeCell ref="D26"/>
    <mergeCell ref="E26"/>
    <mergeCell ref="F26"/>
    <mergeCell ref="L27"/>
    <mergeCell ref="M27"/>
    <mergeCell ref="N27"/>
    <mergeCell ref="N31"/>
    <mergeCell ref="O31"/>
    <mergeCell ref="P31"/>
    <mergeCell ref="Q31"/>
    <mergeCell ref="R29"/>
    <mergeCell ref="A30"/>
    <mergeCell ref="B30"/>
    <mergeCell ref="C30"/>
    <mergeCell ref="D30"/>
    <mergeCell ref="E30"/>
    <mergeCell ref="Q28"/>
    <mergeCell ref="R28"/>
    <mergeCell ref="A27"/>
    <mergeCell ref="B27"/>
    <mergeCell ref="C27"/>
    <mergeCell ref="D27"/>
    <mergeCell ref="E27"/>
    <mergeCell ref="K28"/>
    <mergeCell ref="L28"/>
    <mergeCell ref="M28"/>
    <mergeCell ref="N28"/>
    <mergeCell ref="O28"/>
    <mergeCell ref="P28"/>
    <mergeCell ref="O29"/>
    <mergeCell ref="P29"/>
    <mergeCell ref="Q29"/>
    <mergeCell ref="R27"/>
    <mergeCell ref="A28"/>
    <mergeCell ref="B28"/>
    <mergeCell ref="C28"/>
    <mergeCell ref="D28"/>
    <mergeCell ref="E28"/>
    <mergeCell ref="R30"/>
    <mergeCell ref="A29"/>
    <mergeCell ref="B29"/>
    <mergeCell ref="C29"/>
    <mergeCell ref="D29"/>
    <mergeCell ref="E29"/>
    <mergeCell ref="F29"/>
    <mergeCell ref="G29"/>
    <mergeCell ref="H29"/>
    <mergeCell ref="I29"/>
    <mergeCell ref="L30"/>
    <mergeCell ref="M30"/>
    <mergeCell ref="N30"/>
    <mergeCell ref="O30"/>
    <mergeCell ref="P30"/>
    <mergeCell ref="Q30"/>
    <mergeCell ref="F30"/>
    <mergeCell ref="G30"/>
    <mergeCell ref="H30"/>
    <mergeCell ref="I30"/>
    <mergeCell ref="J30"/>
    <mergeCell ref="K30"/>
    <mergeCell ref="H31"/>
    <mergeCell ref="I31"/>
    <mergeCell ref="J31"/>
    <mergeCell ref="K31"/>
    <mergeCell ref="L31"/>
    <mergeCell ref="M31"/>
    <mergeCell ref="P32"/>
    <mergeCell ref="Q32"/>
    <mergeCell ref="R32"/>
    <mergeCell ref="A31"/>
    <mergeCell ref="B31"/>
    <mergeCell ref="C31"/>
    <mergeCell ref="D31"/>
    <mergeCell ref="E31"/>
    <mergeCell ref="F31"/>
    <mergeCell ref="G31"/>
    <mergeCell ref="J32"/>
    <mergeCell ref="K32"/>
    <mergeCell ref="L32"/>
    <mergeCell ref="M32"/>
    <mergeCell ref="N32"/>
    <mergeCell ref="O32"/>
    <mergeCell ref="R31"/>
    <mergeCell ref="A32"/>
    <mergeCell ref="B32"/>
    <mergeCell ref="C32"/>
    <mergeCell ref="D32"/>
    <mergeCell ref="E32"/>
    <mergeCell ref="F32"/>
    <mergeCell ref="G32"/>
    <mergeCell ref="H32"/>
    <mergeCell ref="I32"/>
    <mergeCell ref="A34"/>
    <mergeCell ref="B34"/>
    <mergeCell ref="C34"/>
    <mergeCell ref="D34"/>
    <mergeCell ref="E34"/>
    <mergeCell ref="G33"/>
    <mergeCell ref="H33"/>
    <mergeCell ref="I33"/>
    <mergeCell ref="J33"/>
    <mergeCell ref="K33"/>
    <mergeCell ref="L33"/>
    <mergeCell ref="A33"/>
    <mergeCell ref="B33"/>
    <mergeCell ref="C33"/>
    <mergeCell ref="D33"/>
    <mergeCell ref="E33"/>
    <mergeCell ref="F33"/>
    <mergeCell ref="B35"/>
    <mergeCell ref="C35"/>
    <mergeCell ref="D35"/>
    <mergeCell ref="E35"/>
    <mergeCell ref="F35"/>
    <mergeCell ref="G35"/>
    <mergeCell ref="L34"/>
    <mergeCell ref="M34"/>
    <mergeCell ref="N34"/>
    <mergeCell ref="O34"/>
    <mergeCell ref="P34"/>
    <mergeCell ref="Q34"/>
    <mergeCell ref="F34"/>
    <mergeCell ref="G34"/>
    <mergeCell ref="H34"/>
    <mergeCell ref="I34"/>
    <mergeCell ref="J34"/>
    <mergeCell ref="K34"/>
    <mergeCell ref="O37"/>
    <mergeCell ref="P37"/>
    <mergeCell ref="Q37"/>
    <mergeCell ref="F37"/>
    <mergeCell ref="G37"/>
    <mergeCell ref="H37"/>
    <mergeCell ref="I37"/>
    <mergeCell ref="J37"/>
    <mergeCell ref="K37"/>
    <mergeCell ref="N35"/>
    <mergeCell ref="O35"/>
    <mergeCell ref="P35"/>
    <mergeCell ref="Q35"/>
    <mergeCell ref="R33"/>
    <mergeCell ref="R34"/>
    <mergeCell ref="R35"/>
    <mergeCell ref="H35"/>
    <mergeCell ref="I35"/>
    <mergeCell ref="J35"/>
    <mergeCell ref="K35"/>
    <mergeCell ref="L35"/>
    <mergeCell ref="M35"/>
    <mergeCell ref="M33"/>
    <mergeCell ref="N33"/>
    <mergeCell ref="O33"/>
    <mergeCell ref="P33"/>
    <mergeCell ref="Q33"/>
    <mergeCell ref="F38"/>
    <mergeCell ref="A35"/>
    <mergeCell ref="J39"/>
    <mergeCell ref="K39"/>
    <mergeCell ref="L39"/>
    <mergeCell ref="M39"/>
    <mergeCell ref="N39"/>
    <mergeCell ref="G38"/>
    <mergeCell ref="H38"/>
    <mergeCell ref="I38"/>
    <mergeCell ref="J38"/>
    <mergeCell ref="M36"/>
    <mergeCell ref="N36"/>
    <mergeCell ref="O36"/>
    <mergeCell ref="P36"/>
    <mergeCell ref="Q36"/>
    <mergeCell ref="R36"/>
    <mergeCell ref="G36"/>
    <mergeCell ref="H36"/>
    <mergeCell ref="I36"/>
    <mergeCell ref="J36"/>
    <mergeCell ref="K36"/>
    <mergeCell ref="L36"/>
    <mergeCell ref="A36"/>
    <mergeCell ref="B36"/>
    <mergeCell ref="C36"/>
    <mergeCell ref="D36"/>
    <mergeCell ref="E36"/>
    <mergeCell ref="F36"/>
    <mergeCell ref="L37"/>
    <mergeCell ref="M37"/>
    <mergeCell ref="N37"/>
    <mergeCell ref="N41"/>
    <mergeCell ref="O41"/>
    <mergeCell ref="P41"/>
    <mergeCell ref="Q41"/>
    <mergeCell ref="R39"/>
    <mergeCell ref="A40"/>
    <mergeCell ref="B40"/>
    <mergeCell ref="C40"/>
    <mergeCell ref="D40"/>
    <mergeCell ref="E40"/>
    <mergeCell ref="Q38"/>
    <mergeCell ref="R38"/>
    <mergeCell ref="A37"/>
    <mergeCell ref="B37"/>
    <mergeCell ref="C37"/>
    <mergeCell ref="D37"/>
    <mergeCell ref="E37"/>
    <mergeCell ref="K38"/>
    <mergeCell ref="L38"/>
    <mergeCell ref="M38"/>
    <mergeCell ref="N38"/>
    <mergeCell ref="O38"/>
    <mergeCell ref="P38"/>
    <mergeCell ref="O39"/>
    <mergeCell ref="P39"/>
    <mergeCell ref="Q39"/>
    <mergeCell ref="R37"/>
    <mergeCell ref="A38"/>
    <mergeCell ref="B38"/>
    <mergeCell ref="C38"/>
    <mergeCell ref="D38"/>
    <mergeCell ref="E38"/>
    <mergeCell ref="R40"/>
    <mergeCell ref="A39"/>
    <mergeCell ref="B39"/>
    <mergeCell ref="C39"/>
    <mergeCell ref="D39"/>
    <mergeCell ref="E39"/>
    <mergeCell ref="F39"/>
    <mergeCell ref="G39"/>
    <mergeCell ref="H39"/>
    <mergeCell ref="I39"/>
    <mergeCell ref="L40"/>
    <mergeCell ref="M40"/>
    <mergeCell ref="N40"/>
    <mergeCell ref="O40"/>
    <mergeCell ref="P40"/>
    <mergeCell ref="Q40"/>
    <mergeCell ref="F40"/>
    <mergeCell ref="G40"/>
    <mergeCell ref="H40"/>
    <mergeCell ref="I40"/>
    <mergeCell ref="J40"/>
    <mergeCell ref="K40"/>
    <mergeCell ref="H41"/>
    <mergeCell ref="I41"/>
    <mergeCell ref="J41"/>
    <mergeCell ref="K41"/>
    <mergeCell ref="L41"/>
    <mergeCell ref="M41"/>
    <mergeCell ref="P42"/>
    <mergeCell ref="Q42"/>
    <mergeCell ref="R42"/>
    <mergeCell ref="A41"/>
    <mergeCell ref="B41"/>
    <mergeCell ref="C41"/>
    <mergeCell ref="D41"/>
    <mergeCell ref="E41"/>
    <mergeCell ref="F41"/>
    <mergeCell ref="G41"/>
    <mergeCell ref="J42"/>
    <mergeCell ref="K42"/>
    <mergeCell ref="L42"/>
    <mergeCell ref="M42"/>
    <mergeCell ref="N42"/>
    <mergeCell ref="O42"/>
    <mergeCell ref="R41"/>
    <mergeCell ref="A42"/>
    <mergeCell ref="B42"/>
    <mergeCell ref="C42"/>
    <mergeCell ref="D42"/>
    <mergeCell ref="E42"/>
    <mergeCell ref="F42"/>
    <mergeCell ref="G42"/>
    <mergeCell ref="H42"/>
    <mergeCell ref="I42"/>
    <mergeCell ref="A44"/>
    <mergeCell ref="B44"/>
    <mergeCell ref="C44"/>
    <mergeCell ref="D44"/>
    <mergeCell ref="E44"/>
    <mergeCell ref="G43"/>
    <mergeCell ref="H43"/>
    <mergeCell ref="I43"/>
    <mergeCell ref="J43"/>
    <mergeCell ref="K43"/>
    <mergeCell ref="L43"/>
    <mergeCell ref="A43"/>
    <mergeCell ref="B43"/>
    <mergeCell ref="C43"/>
    <mergeCell ref="D43"/>
    <mergeCell ref="E43"/>
    <mergeCell ref="F43"/>
    <mergeCell ref="B45"/>
    <mergeCell ref="C45"/>
    <mergeCell ref="D45"/>
    <mergeCell ref="E45"/>
    <mergeCell ref="F45"/>
    <mergeCell ref="G45"/>
    <mergeCell ref="L44"/>
    <mergeCell ref="M44"/>
    <mergeCell ref="N44"/>
    <mergeCell ref="O44"/>
    <mergeCell ref="P44"/>
    <mergeCell ref="Q44"/>
    <mergeCell ref="F44"/>
    <mergeCell ref="G44"/>
    <mergeCell ref="H44"/>
    <mergeCell ref="I44"/>
    <mergeCell ref="J44"/>
    <mergeCell ref="K44"/>
    <mergeCell ref="O47"/>
    <mergeCell ref="P47"/>
    <mergeCell ref="Q47"/>
    <mergeCell ref="F47"/>
    <mergeCell ref="G47"/>
    <mergeCell ref="H47"/>
    <mergeCell ref="I47"/>
    <mergeCell ref="J47"/>
    <mergeCell ref="K47"/>
    <mergeCell ref="N45"/>
    <mergeCell ref="O45"/>
    <mergeCell ref="P45"/>
    <mergeCell ref="Q45"/>
    <mergeCell ref="R43"/>
    <mergeCell ref="R44"/>
    <mergeCell ref="R45"/>
    <mergeCell ref="H45"/>
    <mergeCell ref="I45"/>
    <mergeCell ref="J45"/>
    <mergeCell ref="K45"/>
    <mergeCell ref="L45"/>
    <mergeCell ref="M45"/>
    <mergeCell ref="M43"/>
    <mergeCell ref="N43"/>
    <mergeCell ref="O43"/>
    <mergeCell ref="P43"/>
    <mergeCell ref="Q43"/>
    <mergeCell ref="F48"/>
    <mergeCell ref="A45"/>
    <mergeCell ref="J49"/>
    <mergeCell ref="K49"/>
    <mergeCell ref="L49"/>
    <mergeCell ref="M49"/>
    <mergeCell ref="N49"/>
    <mergeCell ref="G48"/>
    <mergeCell ref="H48"/>
    <mergeCell ref="I48"/>
    <mergeCell ref="J48"/>
    <mergeCell ref="M46"/>
    <mergeCell ref="N46"/>
    <mergeCell ref="O46"/>
    <mergeCell ref="P46"/>
    <mergeCell ref="Q46"/>
    <mergeCell ref="R46"/>
    <mergeCell ref="G46"/>
    <mergeCell ref="H46"/>
    <mergeCell ref="I46"/>
    <mergeCell ref="J46"/>
    <mergeCell ref="K46"/>
    <mergeCell ref="L46"/>
    <mergeCell ref="A46"/>
    <mergeCell ref="B46"/>
    <mergeCell ref="C46"/>
    <mergeCell ref="D46"/>
    <mergeCell ref="E46"/>
    <mergeCell ref="F46"/>
    <mergeCell ref="L47"/>
    <mergeCell ref="M47"/>
    <mergeCell ref="N47"/>
    <mergeCell ref="N51"/>
    <mergeCell ref="O51"/>
    <mergeCell ref="P51"/>
    <mergeCell ref="Q51"/>
    <mergeCell ref="R49"/>
    <mergeCell ref="A50"/>
    <mergeCell ref="B50"/>
    <mergeCell ref="C50"/>
    <mergeCell ref="D50"/>
    <mergeCell ref="E50"/>
    <mergeCell ref="Q48"/>
    <mergeCell ref="R48"/>
    <mergeCell ref="A47"/>
    <mergeCell ref="B47"/>
    <mergeCell ref="C47"/>
    <mergeCell ref="D47"/>
    <mergeCell ref="E47"/>
    <mergeCell ref="K48"/>
    <mergeCell ref="L48"/>
    <mergeCell ref="M48"/>
    <mergeCell ref="N48"/>
    <mergeCell ref="O48"/>
    <mergeCell ref="P48"/>
    <mergeCell ref="O49"/>
    <mergeCell ref="P49"/>
    <mergeCell ref="Q49"/>
    <mergeCell ref="R47"/>
    <mergeCell ref="A48"/>
    <mergeCell ref="B48"/>
    <mergeCell ref="C48"/>
    <mergeCell ref="D48"/>
    <mergeCell ref="E48"/>
    <mergeCell ref="R50"/>
    <mergeCell ref="A49"/>
    <mergeCell ref="B49"/>
    <mergeCell ref="C49"/>
    <mergeCell ref="D49"/>
    <mergeCell ref="E49"/>
    <mergeCell ref="F49"/>
    <mergeCell ref="G49"/>
    <mergeCell ref="H49"/>
    <mergeCell ref="I49"/>
    <mergeCell ref="L50"/>
    <mergeCell ref="M50"/>
    <mergeCell ref="N50"/>
    <mergeCell ref="O50"/>
    <mergeCell ref="P50"/>
    <mergeCell ref="Q50"/>
    <mergeCell ref="F50"/>
    <mergeCell ref="G50"/>
    <mergeCell ref="H50"/>
    <mergeCell ref="I50"/>
    <mergeCell ref="J50"/>
    <mergeCell ref="K50"/>
    <mergeCell ref="H51"/>
    <mergeCell ref="I51"/>
    <mergeCell ref="J51"/>
    <mergeCell ref="K51"/>
    <mergeCell ref="L51"/>
    <mergeCell ref="M51"/>
    <mergeCell ref="P52"/>
    <mergeCell ref="Q52"/>
    <mergeCell ref="R52"/>
    <mergeCell ref="A51"/>
    <mergeCell ref="B51"/>
    <mergeCell ref="C51"/>
    <mergeCell ref="D51"/>
    <mergeCell ref="E51"/>
    <mergeCell ref="F51"/>
    <mergeCell ref="G51"/>
    <mergeCell ref="J52"/>
    <mergeCell ref="K52"/>
    <mergeCell ref="L52"/>
    <mergeCell ref="M52"/>
    <mergeCell ref="N52"/>
    <mergeCell ref="O52"/>
    <mergeCell ref="R51"/>
    <mergeCell ref="A52"/>
    <mergeCell ref="B52"/>
    <mergeCell ref="C52"/>
    <mergeCell ref="D52"/>
    <mergeCell ref="E52"/>
    <mergeCell ref="F52"/>
    <mergeCell ref="G52"/>
    <mergeCell ref="H52"/>
    <mergeCell ref="I52"/>
    <mergeCell ref="A54"/>
    <mergeCell ref="B54"/>
    <mergeCell ref="C54"/>
    <mergeCell ref="D54"/>
    <mergeCell ref="E54"/>
    <mergeCell ref="G53"/>
    <mergeCell ref="H53"/>
    <mergeCell ref="I53"/>
    <mergeCell ref="J53"/>
    <mergeCell ref="K53"/>
    <mergeCell ref="L53"/>
    <mergeCell ref="A53"/>
    <mergeCell ref="B53"/>
    <mergeCell ref="C53"/>
    <mergeCell ref="D53"/>
    <mergeCell ref="E53"/>
    <mergeCell ref="F53"/>
    <mergeCell ref="B55"/>
    <mergeCell ref="C55"/>
    <mergeCell ref="D55"/>
    <mergeCell ref="E55"/>
    <mergeCell ref="F55"/>
    <mergeCell ref="G55"/>
    <mergeCell ref="L54"/>
    <mergeCell ref="M54"/>
    <mergeCell ref="N54"/>
    <mergeCell ref="O54"/>
    <mergeCell ref="P54"/>
    <mergeCell ref="Q54"/>
    <mergeCell ref="F54"/>
    <mergeCell ref="G54"/>
    <mergeCell ref="H54"/>
    <mergeCell ref="I54"/>
    <mergeCell ref="J54"/>
    <mergeCell ref="K54"/>
    <mergeCell ref="O57"/>
    <mergeCell ref="P57"/>
    <mergeCell ref="Q57"/>
    <mergeCell ref="F57"/>
    <mergeCell ref="G57"/>
    <mergeCell ref="H57"/>
    <mergeCell ref="I57"/>
    <mergeCell ref="J57"/>
    <mergeCell ref="K57"/>
    <mergeCell ref="N55"/>
    <mergeCell ref="O55"/>
    <mergeCell ref="P55"/>
    <mergeCell ref="Q55"/>
    <mergeCell ref="R53"/>
    <mergeCell ref="R54"/>
    <mergeCell ref="R55"/>
    <mergeCell ref="H55"/>
    <mergeCell ref="I55"/>
    <mergeCell ref="J55"/>
    <mergeCell ref="K55"/>
    <mergeCell ref="L55"/>
    <mergeCell ref="M55"/>
    <mergeCell ref="M53"/>
    <mergeCell ref="N53"/>
    <mergeCell ref="O53"/>
    <mergeCell ref="P53"/>
    <mergeCell ref="Q53"/>
    <mergeCell ref="F58"/>
    <mergeCell ref="A55"/>
    <mergeCell ref="J59"/>
    <mergeCell ref="K59"/>
    <mergeCell ref="L59"/>
    <mergeCell ref="M59"/>
    <mergeCell ref="N59"/>
    <mergeCell ref="G58"/>
    <mergeCell ref="H58"/>
    <mergeCell ref="I58"/>
    <mergeCell ref="J58"/>
    <mergeCell ref="M56"/>
    <mergeCell ref="N56"/>
    <mergeCell ref="O56"/>
    <mergeCell ref="P56"/>
    <mergeCell ref="Q56"/>
    <mergeCell ref="R56"/>
    <mergeCell ref="G56"/>
    <mergeCell ref="H56"/>
    <mergeCell ref="I56"/>
    <mergeCell ref="J56"/>
    <mergeCell ref="K56"/>
    <mergeCell ref="L56"/>
    <mergeCell ref="A56"/>
    <mergeCell ref="B56"/>
    <mergeCell ref="C56"/>
    <mergeCell ref="D56"/>
    <mergeCell ref="E56"/>
    <mergeCell ref="F56"/>
    <mergeCell ref="L57"/>
    <mergeCell ref="M57"/>
    <mergeCell ref="N57"/>
    <mergeCell ref="N61"/>
    <mergeCell ref="O61"/>
    <mergeCell ref="P61"/>
    <mergeCell ref="Q61"/>
    <mergeCell ref="R59"/>
    <mergeCell ref="A60"/>
    <mergeCell ref="B60"/>
    <mergeCell ref="C60"/>
    <mergeCell ref="D60"/>
    <mergeCell ref="E60"/>
    <mergeCell ref="Q58"/>
    <mergeCell ref="R58"/>
    <mergeCell ref="A57"/>
    <mergeCell ref="B57"/>
    <mergeCell ref="C57"/>
    <mergeCell ref="D57"/>
    <mergeCell ref="E57"/>
    <mergeCell ref="K58"/>
    <mergeCell ref="L58"/>
    <mergeCell ref="M58"/>
    <mergeCell ref="N58"/>
    <mergeCell ref="O58"/>
    <mergeCell ref="P58"/>
    <mergeCell ref="O59"/>
    <mergeCell ref="P59"/>
    <mergeCell ref="Q59"/>
    <mergeCell ref="R57"/>
    <mergeCell ref="A58"/>
    <mergeCell ref="B58"/>
    <mergeCell ref="C58"/>
    <mergeCell ref="D58"/>
    <mergeCell ref="E58"/>
    <mergeCell ref="R60"/>
    <mergeCell ref="A59"/>
    <mergeCell ref="B59"/>
    <mergeCell ref="C59"/>
    <mergeCell ref="D59"/>
    <mergeCell ref="E59"/>
    <mergeCell ref="F59"/>
    <mergeCell ref="G59"/>
    <mergeCell ref="H59"/>
    <mergeCell ref="I59"/>
    <mergeCell ref="L60"/>
    <mergeCell ref="M60"/>
    <mergeCell ref="N60"/>
    <mergeCell ref="O60"/>
    <mergeCell ref="P60"/>
    <mergeCell ref="Q60"/>
    <mergeCell ref="F60"/>
    <mergeCell ref="G60"/>
    <mergeCell ref="H60"/>
    <mergeCell ref="I60"/>
    <mergeCell ref="J60"/>
    <mergeCell ref="K60"/>
    <mergeCell ref="H61"/>
    <mergeCell ref="I61"/>
    <mergeCell ref="J61"/>
    <mergeCell ref="K61"/>
    <mergeCell ref="L61"/>
    <mergeCell ref="M61"/>
    <mergeCell ref="P62"/>
    <mergeCell ref="Q62"/>
    <mergeCell ref="R62"/>
    <mergeCell ref="A61"/>
    <mergeCell ref="B61"/>
    <mergeCell ref="C61"/>
    <mergeCell ref="D61"/>
    <mergeCell ref="E61"/>
    <mergeCell ref="F61"/>
    <mergeCell ref="G61"/>
    <mergeCell ref="J62"/>
    <mergeCell ref="K62"/>
    <mergeCell ref="L62"/>
    <mergeCell ref="M62"/>
    <mergeCell ref="N62"/>
    <mergeCell ref="O62"/>
    <mergeCell ref="R61"/>
    <mergeCell ref="A62"/>
    <mergeCell ref="B62"/>
    <mergeCell ref="C62"/>
    <mergeCell ref="D62"/>
    <mergeCell ref="E62"/>
    <mergeCell ref="F62"/>
    <mergeCell ref="G62"/>
    <mergeCell ref="H62"/>
    <mergeCell ref="I62"/>
    <mergeCell ref="A64"/>
    <mergeCell ref="B64"/>
    <mergeCell ref="C64"/>
    <mergeCell ref="D64"/>
    <mergeCell ref="E64"/>
    <mergeCell ref="G63"/>
    <mergeCell ref="H63"/>
    <mergeCell ref="I63"/>
    <mergeCell ref="J63"/>
    <mergeCell ref="K63"/>
    <mergeCell ref="L63"/>
    <mergeCell ref="A63"/>
    <mergeCell ref="B63"/>
    <mergeCell ref="C63"/>
    <mergeCell ref="D63"/>
    <mergeCell ref="E63"/>
    <mergeCell ref="F63"/>
    <mergeCell ref="B65"/>
    <mergeCell ref="C65"/>
    <mergeCell ref="D65"/>
    <mergeCell ref="E65"/>
    <mergeCell ref="F65"/>
    <mergeCell ref="G65"/>
    <mergeCell ref="L64"/>
    <mergeCell ref="M64"/>
    <mergeCell ref="N64"/>
    <mergeCell ref="O64"/>
    <mergeCell ref="P64"/>
    <mergeCell ref="Q64"/>
    <mergeCell ref="F64"/>
    <mergeCell ref="G64"/>
    <mergeCell ref="H64"/>
    <mergeCell ref="I64"/>
    <mergeCell ref="J64"/>
    <mergeCell ref="K64"/>
    <mergeCell ref="O67"/>
    <mergeCell ref="P67"/>
    <mergeCell ref="Q67"/>
    <mergeCell ref="F67"/>
    <mergeCell ref="G67"/>
    <mergeCell ref="H67"/>
    <mergeCell ref="I67"/>
    <mergeCell ref="J67"/>
    <mergeCell ref="K67"/>
    <mergeCell ref="N65"/>
    <mergeCell ref="O65"/>
    <mergeCell ref="P65"/>
    <mergeCell ref="Q65"/>
    <mergeCell ref="R63"/>
    <mergeCell ref="R64"/>
    <mergeCell ref="R65"/>
    <mergeCell ref="H65"/>
    <mergeCell ref="I65"/>
    <mergeCell ref="J65"/>
    <mergeCell ref="K65"/>
    <mergeCell ref="L65"/>
    <mergeCell ref="M65"/>
    <mergeCell ref="M63"/>
    <mergeCell ref="N63"/>
    <mergeCell ref="O63"/>
    <mergeCell ref="P63"/>
    <mergeCell ref="Q63"/>
    <mergeCell ref="F68"/>
    <mergeCell ref="A65"/>
    <mergeCell ref="J69"/>
    <mergeCell ref="K69"/>
    <mergeCell ref="L69"/>
    <mergeCell ref="M69"/>
    <mergeCell ref="N69"/>
    <mergeCell ref="G68"/>
    <mergeCell ref="H68"/>
    <mergeCell ref="I68"/>
    <mergeCell ref="J68"/>
    <mergeCell ref="M66"/>
    <mergeCell ref="N66"/>
    <mergeCell ref="O66"/>
    <mergeCell ref="P66"/>
    <mergeCell ref="Q66"/>
    <mergeCell ref="R66"/>
    <mergeCell ref="G66"/>
    <mergeCell ref="H66"/>
    <mergeCell ref="I66"/>
    <mergeCell ref="J66"/>
    <mergeCell ref="K66"/>
    <mergeCell ref="L66"/>
    <mergeCell ref="A66"/>
    <mergeCell ref="B66"/>
    <mergeCell ref="C66"/>
    <mergeCell ref="D66"/>
    <mergeCell ref="E66"/>
    <mergeCell ref="F66"/>
    <mergeCell ref="L67"/>
    <mergeCell ref="M67"/>
    <mergeCell ref="N67"/>
    <mergeCell ref="N71"/>
    <mergeCell ref="O71"/>
    <mergeCell ref="P71"/>
    <mergeCell ref="Q71"/>
    <mergeCell ref="R69"/>
    <mergeCell ref="A70"/>
    <mergeCell ref="B70"/>
    <mergeCell ref="C70"/>
    <mergeCell ref="D70"/>
    <mergeCell ref="E70"/>
    <mergeCell ref="Q68"/>
    <mergeCell ref="R68"/>
    <mergeCell ref="A67"/>
    <mergeCell ref="B67"/>
    <mergeCell ref="C67"/>
    <mergeCell ref="D67"/>
    <mergeCell ref="E67"/>
    <mergeCell ref="K68"/>
    <mergeCell ref="L68"/>
    <mergeCell ref="M68"/>
    <mergeCell ref="N68"/>
    <mergeCell ref="O68"/>
    <mergeCell ref="P68"/>
    <mergeCell ref="O69"/>
    <mergeCell ref="P69"/>
    <mergeCell ref="Q69"/>
    <mergeCell ref="R67"/>
    <mergeCell ref="A68"/>
    <mergeCell ref="B68"/>
    <mergeCell ref="C68"/>
    <mergeCell ref="D68"/>
    <mergeCell ref="E68"/>
    <mergeCell ref="R70"/>
    <mergeCell ref="A69"/>
    <mergeCell ref="B69"/>
    <mergeCell ref="C69"/>
    <mergeCell ref="D69"/>
    <mergeCell ref="E69"/>
    <mergeCell ref="F69"/>
    <mergeCell ref="G69"/>
    <mergeCell ref="H69"/>
    <mergeCell ref="I69"/>
    <mergeCell ref="L70"/>
    <mergeCell ref="M70"/>
    <mergeCell ref="N70"/>
    <mergeCell ref="O70"/>
    <mergeCell ref="P70"/>
    <mergeCell ref="Q70"/>
    <mergeCell ref="F70"/>
    <mergeCell ref="G70"/>
    <mergeCell ref="H70"/>
    <mergeCell ref="I70"/>
    <mergeCell ref="J70"/>
    <mergeCell ref="K70"/>
    <mergeCell ref="H71"/>
    <mergeCell ref="I71"/>
    <mergeCell ref="J71"/>
    <mergeCell ref="K71"/>
    <mergeCell ref="L71"/>
    <mergeCell ref="M71"/>
    <mergeCell ref="P72"/>
    <mergeCell ref="Q72"/>
    <mergeCell ref="R72"/>
    <mergeCell ref="A71"/>
    <mergeCell ref="B71"/>
    <mergeCell ref="C71"/>
    <mergeCell ref="D71"/>
    <mergeCell ref="E71"/>
    <mergeCell ref="F71"/>
    <mergeCell ref="G71"/>
    <mergeCell ref="J72"/>
    <mergeCell ref="K72"/>
    <mergeCell ref="L72"/>
    <mergeCell ref="M72"/>
    <mergeCell ref="N72"/>
    <mergeCell ref="O72"/>
    <mergeCell ref="R71"/>
    <mergeCell ref="A72"/>
    <mergeCell ref="B72"/>
    <mergeCell ref="C72"/>
    <mergeCell ref="D72"/>
    <mergeCell ref="E72"/>
    <mergeCell ref="F72"/>
    <mergeCell ref="G72"/>
    <mergeCell ref="H72"/>
    <mergeCell ref="I72"/>
    <mergeCell ref="A74"/>
    <mergeCell ref="B74"/>
    <mergeCell ref="C74"/>
    <mergeCell ref="D74"/>
    <mergeCell ref="E74"/>
    <mergeCell ref="G73"/>
    <mergeCell ref="H73"/>
    <mergeCell ref="I73"/>
    <mergeCell ref="J73"/>
    <mergeCell ref="K73"/>
    <mergeCell ref="L73"/>
    <mergeCell ref="A73"/>
    <mergeCell ref="B73"/>
    <mergeCell ref="C73"/>
    <mergeCell ref="D73"/>
    <mergeCell ref="E73"/>
    <mergeCell ref="F73"/>
    <mergeCell ref="B75"/>
    <mergeCell ref="C75"/>
    <mergeCell ref="D75"/>
    <mergeCell ref="E75"/>
    <mergeCell ref="F75"/>
    <mergeCell ref="G75"/>
    <mergeCell ref="L74"/>
    <mergeCell ref="M74"/>
    <mergeCell ref="N74"/>
    <mergeCell ref="O74"/>
    <mergeCell ref="P74"/>
    <mergeCell ref="Q74"/>
    <mergeCell ref="F74"/>
    <mergeCell ref="G74"/>
    <mergeCell ref="H74"/>
    <mergeCell ref="I74"/>
    <mergeCell ref="J74"/>
    <mergeCell ref="K74"/>
    <mergeCell ref="O77"/>
    <mergeCell ref="P77"/>
    <mergeCell ref="Q77"/>
    <mergeCell ref="F77"/>
    <mergeCell ref="G77"/>
    <mergeCell ref="H77"/>
    <mergeCell ref="I77"/>
    <mergeCell ref="J77"/>
    <mergeCell ref="K77"/>
    <mergeCell ref="N75"/>
    <mergeCell ref="O75"/>
    <mergeCell ref="P75"/>
    <mergeCell ref="Q75"/>
    <mergeCell ref="R73"/>
    <mergeCell ref="R74"/>
    <mergeCell ref="R75"/>
    <mergeCell ref="H75"/>
    <mergeCell ref="I75"/>
    <mergeCell ref="J75"/>
    <mergeCell ref="K75"/>
    <mergeCell ref="L75"/>
    <mergeCell ref="M75"/>
    <mergeCell ref="M73"/>
    <mergeCell ref="N73"/>
    <mergeCell ref="O73"/>
    <mergeCell ref="P73"/>
    <mergeCell ref="Q73"/>
    <mergeCell ref="F78"/>
    <mergeCell ref="A75"/>
    <mergeCell ref="J79"/>
    <mergeCell ref="K79"/>
    <mergeCell ref="L79"/>
    <mergeCell ref="M79"/>
    <mergeCell ref="N79"/>
    <mergeCell ref="G78"/>
    <mergeCell ref="H78"/>
    <mergeCell ref="I78"/>
    <mergeCell ref="J78"/>
    <mergeCell ref="M76"/>
    <mergeCell ref="N76"/>
    <mergeCell ref="O76"/>
    <mergeCell ref="P76"/>
    <mergeCell ref="Q76"/>
    <mergeCell ref="R76"/>
    <mergeCell ref="G76"/>
    <mergeCell ref="H76"/>
    <mergeCell ref="I76"/>
    <mergeCell ref="J76"/>
    <mergeCell ref="K76"/>
    <mergeCell ref="L76"/>
    <mergeCell ref="A76"/>
    <mergeCell ref="B76"/>
    <mergeCell ref="C76"/>
    <mergeCell ref="D76"/>
    <mergeCell ref="E76"/>
    <mergeCell ref="F76"/>
    <mergeCell ref="L77"/>
    <mergeCell ref="M77"/>
    <mergeCell ref="N77"/>
    <mergeCell ref="N81"/>
    <mergeCell ref="O81"/>
    <mergeCell ref="P81"/>
    <mergeCell ref="Q81"/>
    <mergeCell ref="R79"/>
    <mergeCell ref="A80"/>
    <mergeCell ref="B80"/>
    <mergeCell ref="C80"/>
    <mergeCell ref="D80"/>
    <mergeCell ref="E80"/>
    <mergeCell ref="Q78"/>
    <mergeCell ref="R78"/>
    <mergeCell ref="A77"/>
    <mergeCell ref="B77"/>
    <mergeCell ref="C77"/>
    <mergeCell ref="D77"/>
    <mergeCell ref="E77"/>
    <mergeCell ref="K78"/>
    <mergeCell ref="L78"/>
    <mergeCell ref="M78"/>
    <mergeCell ref="N78"/>
    <mergeCell ref="O78"/>
    <mergeCell ref="P78"/>
    <mergeCell ref="O79"/>
    <mergeCell ref="P79"/>
    <mergeCell ref="Q79"/>
    <mergeCell ref="R77"/>
    <mergeCell ref="A78"/>
    <mergeCell ref="B78"/>
    <mergeCell ref="C78"/>
    <mergeCell ref="D78"/>
    <mergeCell ref="E78"/>
    <mergeCell ref="R80"/>
    <mergeCell ref="A79"/>
    <mergeCell ref="B79"/>
    <mergeCell ref="C79"/>
    <mergeCell ref="D79"/>
    <mergeCell ref="E79"/>
    <mergeCell ref="F79"/>
    <mergeCell ref="G79"/>
    <mergeCell ref="H79"/>
    <mergeCell ref="I79"/>
    <mergeCell ref="L80"/>
    <mergeCell ref="M80"/>
    <mergeCell ref="N80"/>
    <mergeCell ref="O80"/>
    <mergeCell ref="P80"/>
    <mergeCell ref="Q80"/>
    <mergeCell ref="F80"/>
    <mergeCell ref="G80"/>
    <mergeCell ref="H80"/>
    <mergeCell ref="I80"/>
    <mergeCell ref="J80"/>
    <mergeCell ref="K80"/>
    <mergeCell ref="H81"/>
    <mergeCell ref="I81"/>
    <mergeCell ref="J81"/>
    <mergeCell ref="K81"/>
    <mergeCell ref="L81"/>
    <mergeCell ref="M81"/>
    <mergeCell ref="P82"/>
    <mergeCell ref="Q82"/>
    <mergeCell ref="R82"/>
    <mergeCell ref="A81"/>
    <mergeCell ref="B81"/>
    <mergeCell ref="C81"/>
    <mergeCell ref="D81"/>
    <mergeCell ref="E81"/>
    <mergeCell ref="F81"/>
    <mergeCell ref="G81"/>
    <mergeCell ref="J82"/>
    <mergeCell ref="K82"/>
    <mergeCell ref="L82"/>
    <mergeCell ref="M82"/>
    <mergeCell ref="N82"/>
    <mergeCell ref="O82"/>
    <mergeCell ref="R81"/>
    <mergeCell ref="A82"/>
    <mergeCell ref="B82"/>
    <mergeCell ref="C82"/>
    <mergeCell ref="D82"/>
    <mergeCell ref="E82"/>
    <mergeCell ref="F82"/>
    <mergeCell ref="G82"/>
    <mergeCell ref="H82"/>
    <mergeCell ref="I82"/>
  </mergeCells>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91506-E0A6-4C4F-AF62-81FEDFE75410}">
  <dimension ref="Q1:V50"/>
  <sheetViews>
    <sheetView topLeftCell="D1" workbookViewId="0">
      <selection activeCell="R6" sqref="R6"/>
    </sheetView>
  </sheetViews>
  <sheetFormatPr defaultRowHeight="13.5"/>
  <cols>
    <col min="19" max="19" width="10.5" bestFit="1" customWidth="1"/>
    <col min="20" max="20" width="12.75" bestFit="1" customWidth="1"/>
  </cols>
  <sheetData>
    <row r="1" spans="17:20">
      <c r="R1" s="3471" t="s">
        <v>3416</v>
      </c>
      <c r="S1" s="3471" t="s">
        <v>3417</v>
      </c>
      <c r="T1" s="3471" t="s">
        <v>3418</v>
      </c>
    </row>
    <row r="2" spans="17:20">
      <c r="Q2" s="3469" t="s">
        <v>3414</v>
      </c>
      <c r="R2" s="3472">
        <v>87.89</v>
      </c>
      <c r="S2" s="3472">
        <v>4296885</v>
      </c>
      <c r="T2" s="3471">
        <f>ROUND(S2/R2,0)</f>
        <v>48889</v>
      </c>
    </row>
    <row r="3" spans="17:20">
      <c r="Q3" s="3469" t="s">
        <v>3415</v>
      </c>
      <c r="R3" s="3472">
        <v>38.369999999999997</v>
      </c>
      <c r="S3" s="3472">
        <v>260000</v>
      </c>
      <c r="T3" s="3471">
        <f t="shared" ref="T3" si="0">ROUND(S3/R3,2)</f>
        <v>6776.13</v>
      </c>
    </row>
    <row r="4" spans="17:20">
      <c r="Q4" s="3469" t="s">
        <v>3828</v>
      </c>
      <c r="R4">
        <v>347895</v>
      </c>
      <c r="S4">
        <v>860000</v>
      </c>
      <c r="T4" s="3471">
        <f>ROUND(S4/R4*10000,0)</f>
        <v>24720</v>
      </c>
    </row>
    <row r="5" spans="17:20">
      <c r="R5" s="3472">
        <v>216429.68700000001</v>
      </c>
    </row>
    <row r="6" spans="17:20">
      <c r="R6">
        <f>R4/R5</f>
        <v>1.6074273581516569</v>
      </c>
    </row>
    <row r="20" spans="19:21">
      <c r="T20" s="3471" t="s">
        <v>3405</v>
      </c>
      <c r="U20" s="3472"/>
    </row>
    <row r="21" spans="19:21">
      <c r="S21" s="3468" t="s">
        <v>3406</v>
      </c>
      <c r="T21" s="3472">
        <v>38</v>
      </c>
      <c r="U21" s="3472">
        <v>6582</v>
      </c>
    </row>
    <row r="22" spans="19:21">
      <c r="S22" s="3468" t="s">
        <v>3407</v>
      </c>
      <c r="T22" s="3472">
        <v>38</v>
      </c>
      <c r="U22" s="3472">
        <v>6582</v>
      </c>
    </row>
    <row r="23" spans="19:21">
      <c r="S23" s="3468" t="s">
        <v>3411</v>
      </c>
      <c r="T23" s="3472">
        <v>38</v>
      </c>
      <c r="U23" s="3472">
        <v>5793</v>
      </c>
    </row>
    <row r="48" spans="19:22">
      <c r="S48" s="3470">
        <v>45132</v>
      </c>
      <c r="T48">
        <v>88</v>
      </c>
      <c r="U48">
        <v>54625</v>
      </c>
      <c r="V48" s="3469" t="s">
        <v>3412</v>
      </c>
    </row>
    <row r="49" spans="19:22">
      <c r="S49" s="3470">
        <v>45127</v>
      </c>
      <c r="T49">
        <v>89</v>
      </c>
      <c r="U49">
        <v>54625</v>
      </c>
      <c r="V49" s="3469" t="s">
        <v>3412</v>
      </c>
    </row>
    <row r="50" spans="19:22">
      <c r="S50" s="3470">
        <v>44937</v>
      </c>
      <c r="T50">
        <v>88</v>
      </c>
      <c r="U50">
        <v>51943</v>
      </c>
      <c r="V50" s="3469" t="s">
        <v>3413</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BF03D-43E5-4FF9-8B3B-54FB931DC78F}">
  <sheetPr>
    <tabColor rgb="FFFF0000"/>
  </sheetPr>
  <dimension ref="A1:AJ512"/>
  <sheetViews>
    <sheetView view="pageBreakPreview" zoomScale="90" zoomScaleNormal="100" zoomScaleSheetLayoutView="90" zoomScalePageLayoutView="80" workbookViewId="0">
      <selection activeCell="C14" sqref="C14:C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8" t="str">
        <f>项目基本情况!S2</f>
        <v>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4" t="s">
        <v>1265</v>
      </c>
      <c r="B4" s="1755" t="s">
        <v>1266</v>
      </c>
      <c r="C4" s="1756" t="s">
        <v>3408</v>
      </c>
      <c r="D4" s="1756" t="s">
        <v>3410</v>
      </c>
      <c r="E4" s="3614" t="s">
        <v>1267</v>
      </c>
      <c r="F4" s="3615"/>
      <c r="G4" s="3615"/>
      <c r="H4" s="3615"/>
      <c r="I4" s="3616"/>
      <c r="K4" s="146" t="str">
        <f>IF(ISNUMBER(FIND("比较法",'结果表-车位'!C4)),"比较法",IF(ISNUMBER(FIND("成本法",'结果表-车位'!C4)),"成本法",IF(ISNUMBER(FIND("假设开发法",'结果表-车位'!C4)),"假设开发法",IF(ISNUMBER(FIND("收益法",'结果表-车位'!C4)),"收益法","基准地价系数修正法"))))</f>
        <v>成本法</v>
      </c>
      <c r="L4" s="146" t="str">
        <f>IF(ISNUMBER(FIND("比较法",'结果表-车位'!D4)),"比较法",IF(ISNUMBER(FIND("成本法",'结果表-车位'!D4)),"成本法",IF(ISNUMBER(FIND("假设开发法",'结果表-车位'!D4)),"假设开发法",IF(ISNUMBER(FIND("收益法",'结果表-车位'!D4)),"收益法","基准地价系数修正法"))))</f>
        <v>比较法</v>
      </c>
    </row>
    <row r="5" spans="1:12" ht="12.75">
      <c r="A5" s="3588" t="s">
        <v>1268</v>
      </c>
      <c r="B5" s="3575">
        <v>25</v>
      </c>
      <c r="C5" s="3591"/>
      <c r="D5" s="3611"/>
      <c r="E5" s="131" t="s">
        <v>1269</v>
      </c>
      <c r="F5" s="1757"/>
      <c r="G5" s="1757"/>
      <c r="H5" s="1757"/>
      <c r="I5" s="1373"/>
    </row>
    <row r="6" spans="1:12" ht="12.75">
      <c r="A6" s="3588"/>
      <c r="B6" s="3575"/>
      <c r="C6" s="3592"/>
      <c r="D6" s="3611"/>
      <c r="E6" s="131" t="s">
        <v>1270</v>
      </c>
      <c r="F6" s="1757"/>
      <c r="G6" s="1757"/>
      <c r="H6" s="1757"/>
      <c r="I6" s="1373"/>
    </row>
    <row r="7" spans="1:12" ht="12.75">
      <c r="A7" s="3588"/>
      <c r="B7" s="3575"/>
      <c r="C7" s="3593"/>
      <c r="D7" s="3611"/>
      <c r="E7" s="131" t="s">
        <v>1271</v>
      </c>
      <c r="F7" s="1757"/>
      <c r="G7" s="1757"/>
      <c r="H7" s="1757"/>
      <c r="I7" s="1373"/>
    </row>
    <row r="8" spans="1:12" ht="12.75">
      <c r="A8" s="3588" t="s">
        <v>1272</v>
      </c>
      <c r="B8" s="3575">
        <v>15</v>
      </c>
      <c r="C8" s="3591"/>
      <c r="D8" s="3611"/>
      <c r="E8" s="131" t="s">
        <v>1273</v>
      </c>
      <c r="F8" s="1757"/>
      <c r="G8" s="1757"/>
      <c r="H8" s="1757"/>
      <c r="I8" s="1373"/>
    </row>
    <row r="9" spans="1:12" ht="12.75">
      <c r="A9" s="3588"/>
      <c r="B9" s="3575"/>
      <c r="C9" s="3593"/>
      <c r="D9" s="3611"/>
      <c r="E9" s="131" t="s">
        <v>1274</v>
      </c>
      <c r="F9" s="1757"/>
      <c r="G9" s="1757"/>
      <c r="H9" s="1757"/>
      <c r="I9" s="1373"/>
    </row>
    <row r="10" spans="1:12" ht="12.75">
      <c r="A10" s="3588" t="s">
        <v>1275</v>
      </c>
      <c r="B10" s="3575">
        <v>15</v>
      </c>
      <c r="C10" s="3591"/>
      <c r="D10" s="3611"/>
      <c r="E10" s="131" t="s">
        <v>1276</v>
      </c>
      <c r="F10" s="1757"/>
      <c r="G10" s="1757"/>
      <c r="H10" s="1757"/>
      <c r="I10" s="1373"/>
    </row>
    <row r="11" spans="1:12" ht="12.75">
      <c r="A11" s="3588"/>
      <c r="B11" s="3575"/>
      <c r="C11" s="3593"/>
      <c r="D11" s="3611"/>
      <c r="E11" s="131" t="s">
        <v>1277</v>
      </c>
      <c r="F11" s="1757"/>
      <c r="G11" s="1757"/>
      <c r="H11" s="1757"/>
      <c r="I11" s="1373"/>
    </row>
    <row r="12" spans="1:12" ht="12.75">
      <c r="A12" s="3588" t="s">
        <v>1278</v>
      </c>
      <c r="B12" s="3575">
        <v>15</v>
      </c>
      <c r="C12" s="3591"/>
      <c r="D12" s="3611"/>
      <c r="E12" s="131" t="s">
        <v>1279</v>
      </c>
      <c r="F12" s="1757"/>
      <c r="G12" s="1757"/>
      <c r="H12" s="1757"/>
      <c r="I12" s="1373"/>
    </row>
    <row r="13" spans="1:12" ht="12.75">
      <c r="A13" s="3588"/>
      <c r="B13" s="3575"/>
      <c r="C13" s="3593"/>
      <c r="D13" s="3611"/>
      <c r="E13" s="131" t="s">
        <v>1280</v>
      </c>
      <c r="F13" s="1757"/>
      <c r="G13" s="1757"/>
      <c r="H13" s="1757"/>
      <c r="I13" s="1373"/>
    </row>
    <row r="14" spans="1:12" ht="12.75">
      <c r="A14" s="3588" t="s">
        <v>1281</v>
      </c>
      <c r="B14" s="3575">
        <v>30</v>
      </c>
      <c r="C14" s="3591">
        <v>4</v>
      </c>
      <c r="D14" s="3611">
        <f>10-C14</f>
        <v>6</v>
      </c>
      <c r="E14" s="131" t="s">
        <v>1282</v>
      </c>
      <c r="F14" s="1757"/>
      <c r="G14" s="1757"/>
      <c r="H14" s="1757"/>
      <c r="I14" s="1373"/>
    </row>
    <row r="15" spans="1:12" ht="12.75">
      <c r="A15" s="3588"/>
      <c r="B15" s="3575"/>
      <c r="C15" s="3592"/>
      <c r="D15" s="3611"/>
      <c r="E15" s="131" t="s">
        <v>1283</v>
      </c>
      <c r="F15" s="1757"/>
      <c r="G15" s="1757"/>
      <c r="H15" s="1757"/>
      <c r="I15" s="1373"/>
    </row>
    <row r="16" spans="1:12" ht="12.75">
      <c r="A16" s="3588"/>
      <c r="B16" s="3575"/>
      <c r="C16" s="3593"/>
      <c r="D16" s="3611"/>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98" t="s">
        <v>2131</v>
      </c>
      <c r="F18" s="3599"/>
      <c r="G18" s="3599"/>
      <c r="H18" s="3599"/>
      <c r="I18" s="3599"/>
      <c r="K18" s="302" t="s">
        <v>1289</v>
      </c>
      <c r="L18" s="302">
        <f>IF(C1="",'数据-汇总表'!E3,SUMIF(项目类型,C1,'数据-汇总表'!E17:E26)+SUMIF(项目类型,C1,'数据-汇总表'!I17:I26))</f>
        <v>126.25999999999999</v>
      </c>
      <c r="M18" s="302">
        <f>IF(C1="",'数据-汇总表'!E3,SUMIF(项目类型,C1,'数据-汇总表'!E17:E26))</f>
        <v>126.25999999999999</v>
      </c>
    </row>
    <row r="19" spans="1:36" ht="15">
      <c r="A19" s="1761" t="s">
        <v>1290</v>
      </c>
      <c r="B19" s="1762" t="s">
        <v>1291</v>
      </c>
      <c r="C19" s="134">
        <f ca="1">SUMIF(INDIRECT("'"&amp;C4&amp;"'"&amp;"!A:A"),'结果表-车位'!B19,INDIRECT("'"&amp;C4&amp;"'"&amp;"!B:B"))</f>
        <v>31.493200000000002</v>
      </c>
      <c r="D19" s="135">
        <f ca="1">SUMIF(INDIRECT("'"&amp;D4&amp;"'"&amp;"!A:A"),'结果表-车位'!B19,INDIRECT("'"&amp;D4&amp;"'"&amp;"!B:B"))</f>
        <v>24</v>
      </c>
      <c r="E19" s="1761" t="s">
        <v>1292</v>
      </c>
      <c r="F19" s="1762" t="s">
        <v>1291</v>
      </c>
      <c r="G19" s="136">
        <f ca="1">ROUND(C19*$C$18+D19*$D$18,0)</f>
        <v>27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SUMIF(INDIRECT("'"&amp;C4&amp;"'"&amp;"!A:A"),'结果表-车位'!B20,INDIRECT("'"&amp;C4&amp;"'"&amp;"!B:B"))</f>
        <v>8208</v>
      </c>
      <c r="D20" s="138">
        <f ca="1">SUMIF(INDIRECT("'"&amp;D4&amp;"'"&amp;"!A:A"),'结果表-车位'!B20,INDIRECT("'"&amp;D4&amp;"'"&amp;"!B:B"))</f>
        <v>6319</v>
      </c>
      <c r="E20" s="1764"/>
      <c r="F20" s="1026" t="s">
        <v>1295</v>
      </c>
      <c r="G20" s="139">
        <f ca="1">ROUND(C20*$C$18+D20*$D$18,0)</f>
        <v>7075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0.31221666666666681</v>
      </c>
      <c r="E22" s="129"/>
      <c r="F22" s="129"/>
      <c r="G22" s="129"/>
      <c r="H22" s="129"/>
      <c r="I22" s="129"/>
    </row>
    <row r="23" spans="1:36" ht="13.5" thickBot="1">
      <c r="A23" s="1747"/>
      <c r="B23" s="1747"/>
      <c r="C23" s="1747"/>
      <c r="D23" s="1747"/>
      <c r="E23" s="129"/>
      <c r="F23" s="129"/>
      <c r="G23" s="129"/>
      <c r="H23" s="129"/>
      <c r="I23" s="129"/>
    </row>
    <row r="24" spans="1:36" ht="14.25">
      <c r="A24" s="3582" t="s">
        <v>1299</v>
      </c>
      <c r="B24" s="1762" t="s">
        <v>1291</v>
      </c>
      <c r="C24" s="136">
        <f>IF(B30=0,0,D30)</f>
        <v>0</v>
      </c>
      <c r="D24" s="1769"/>
      <c r="E24" s="129"/>
      <c r="F24" s="129"/>
      <c r="G24" s="129"/>
      <c r="H24" s="129"/>
      <c r="I24" s="129"/>
    </row>
    <row r="25" spans="1:36" ht="14.25">
      <c r="A25" s="358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7075</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9" t="s">
        <v>1326</v>
      </c>
      <c r="B45" s="3580"/>
      <c r="C45" s="3581"/>
      <c r="D45" s="155" t="e">
        <f ca="1">ROUND(H101*F45,0)</f>
        <v>#REF!</v>
      </c>
      <c r="E45" s="156" t="s">
        <v>1327</v>
      </c>
      <c r="F45" s="157">
        <v>1</v>
      </c>
      <c r="G45" s="158" t="s">
        <v>1328</v>
      </c>
      <c r="H45" s="129"/>
      <c r="I45" s="129"/>
      <c r="J45" s="3657" t="s">
        <v>1329</v>
      </c>
      <c r="K45" s="3657"/>
      <c r="L45" s="3657"/>
      <c r="M45" s="3657"/>
      <c r="N45" s="3657"/>
      <c r="O45" s="3657"/>
    </row>
    <row r="46" spans="1:15" ht="14.25" customHeight="1">
      <c r="A46" s="3576" t="s">
        <v>1330</v>
      </c>
      <c r="B46" s="3577"/>
      <c r="C46" s="3577"/>
      <c r="D46" s="3577"/>
      <c r="E46" s="3577"/>
      <c r="F46" s="3577"/>
      <c r="G46" s="3578"/>
      <c r="H46" s="1806"/>
      <c r="I46" s="159"/>
      <c r="J46" s="3455">
        <v>1</v>
      </c>
      <c r="K46" s="3638" t="s">
        <v>1331</v>
      </c>
      <c r="L46" s="3638"/>
      <c r="M46" s="3658"/>
      <c r="N46" s="3658"/>
      <c r="O46" s="3658"/>
    </row>
    <row r="47" spans="1:15" ht="12" customHeight="1">
      <c r="A47" s="160" t="s">
        <v>1332</v>
      </c>
      <c r="B47" s="161"/>
      <c r="C47" s="162"/>
      <c r="D47" s="1087" t="s">
        <v>1333</v>
      </c>
      <c r="E47" s="302" t="s">
        <v>1334</v>
      </c>
      <c r="F47" s="163" t="s">
        <v>1335</v>
      </c>
      <c r="G47" s="2546" t="s">
        <v>1336</v>
      </c>
      <c r="H47" s="2547"/>
      <c r="I47" s="159"/>
      <c r="J47" s="3455">
        <v>2</v>
      </c>
      <c r="K47" s="3638" t="s">
        <v>1337</v>
      </c>
      <c r="L47" s="3638"/>
      <c r="M47" s="3659">
        <f>'数据-取费表'!B2</f>
        <v>45162</v>
      </c>
      <c r="N47" s="3659"/>
      <c r="O47" s="3659"/>
    </row>
    <row r="48" spans="1:15" ht="25.5">
      <c r="A48" s="3607" t="s">
        <v>1338</v>
      </c>
      <c r="B48" s="3590"/>
      <c r="C48" s="3590"/>
      <c r="D48" s="3452" t="b">
        <f>IF(H48="情况1",0,IF(H48="情况2",D52,IF(H48="情况3",D53,IF(H48="情况4",D54))))</f>
        <v>0</v>
      </c>
      <c r="E48" s="3465" t="str">
        <f>IF(H48="情况4","(销售额-原购置价)×税（费）率","销售额×税（费）率")</f>
        <v>销售额×税（费）率</v>
      </c>
      <c r="F48" s="2548">
        <f>IF(H48="情况1","免征",'数据-取费表'!B41)</f>
        <v>5.6000000000000001E-2</v>
      </c>
      <c r="G48" s="2549" t="s">
        <v>1339</v>
      </c>
      <c r="H48" s="2550"/>
      <c r="I48" s="1806"/>
      <c r="J48" s="3455">
        <v>3</v>
      </c>
      <c r="K48" s="3638" t="s">
        <v>1340</v>
      </c>
      <c r="L48" s="3638"/>
      <c r="M48" s="3660" t="e">
        <f ca="1">H101</f>
        <v>#REF!</v>
      </c>
      <c r="N48" s="3660"/>
      <c r="O48" s="3660"/>
    </row>
    <row r="49" spans="1:35" ht="25.5" customHeight="1">
      <c r="A49" s="3464" t="s">
        <v>1341</v>
      </c>
      <c r="B49" s="3574" t="s">
        <v>1342</v>
      </c>
      <c r="C49" s="3574"/>
      <c r="D49" s="1590">
        <v>0</v>
      </c>
      <c r="E49" s="324" t="s">
        <v>1343</v>
      </c>
      <c r="F49" s="3450" t="s">
        <v>28</v>
      </c>
      <c r="G49" s="3644"/>
      <c r="H49" s="2310" t="s">
        <v>2134</v>
      </c>
      <c r="I49" s="2311"/>
      <c r="J49" s="3455">
        <v>4</v>
      </c>
      <c r="K49" s="3638" t="str">
        <f>IF(项目基本情况!E8="房地产抵押价值","房地产抵押价值","抵押担保权已注销时的房地产抵押价值")</f>
        <v>抵押担保权已注销时的房地产抵押价值</v>
      </c>
      <c r="L49" s="3638"/>
      <c r="M49" s="3660" t="str">
        <f>IF(项目基本情况!E8="房地产抵押价值",H107,H109)</f>
        <v>——</v>
      </c>
      <c r="N49" s="3660"/>
      <c r="O49" s="3660"/>
    </row>
    <row r="50" spans="1:35" ht="25.5" customHeight="1">
      <c r="A50" s="2551"/>
      <c r="B50" s="3574" t="s">
        <v>1344</v>
      </c>
      <c r="C50" s="3574"/>
      <c r="D50" s="2552"/>
      <c r="E50" s="332"/>
      <c r="F50" s="3450"/>
      <c r="G50" s="3645"/>
      <c r="H50" s="2312" t="s">
        <v>2135</v>
      </c>
      <c r="I50" s="2311"/>
      <c r="J50" s="3657" t="s">
        <v>1345</v>
      </c>
      <c r="K50" s="3657"/>
      <c r="L50" s="3657"/>
      <c r="M50" s="3657"/>
      <c r="N50" s="3657"/>
      <c r="O50" s="3657"/>
    </row>
    <row r="51" spans="1:35" ht="20.45" customHeight="1">
      <c r="A51" s="2553"/>
      <c r="B51" s="3574" t="s">
        <v>1346</v>
      </c>
      <c r="C51" s="3574"/>
      <c r="D51" s="1087"/>
      <c r="E51" s="327"/>
      <c r="F51" s="3450"/>
      <c r="G51" s="3646"/>
      <c r="H51" s="2312" t="s">
        <v>2136</v>
      </c>
      <c r="I51" s="2311"/>
      <c r="J51" s="3451" t="s">
        <v>1347</v>
      </c>
      <c r="K51" s="3638" t="s">
        <v>1348</v>
      </c>
      <c r="L51" s="3638"/>
      <c r="M51" s="3451" t="s">
        <v>1349</v>
      </c>
      <c r="N51" s="3451" t="s">
        <v>1350</v>
      </c>
      <c r="O51" s="3451" t="s">
        <v>1351</v>
      </c>
    </row>
    <row r="52" spans="1:35" ht="24" customHeight="1">
      <c r="A52" s="3466" t="s">
        <v>1352</v>
      </c>
      <c r="B52" s="3574" t="s">
        <v>1353</v>
      </c>
      <c r="C52" s="3574"/>
      <c r="D52" s="1087" t="e">
        <f ca="1">ROUND(D45*'数据-取费表'!B41/(1+'数据-取费表'!C42),0)</f>
        <v>#REF!</v>
      </c>
      <c r="E52" s="3465" t="s">
        <v>1354</v>
      </c>
      <c r="F52" s="2554">
        <f>'数据-取费表'!B41</f>
        <v>5.6000000000000001E-2</v>
      </c>
      <c r="G52" s="2555"/>
      <c r="H52" s="2544"/>
      <c r="I52" s="1807"/>
      <c r="J52" s="3455">
        <v>1</v>
      </c>
      <c r="K52" s="3639" t="s">
        <v>1355</v>
      </c>
      <c r="L52" s="3639"/>
      <c r="M52" s="2525" t="b">
        <f>D48</f>
        <v>0</v>
      </c>
      <c r="N52" s="3455" t="str">
        <f>E48</f>
        <v>销售额×税（费）率</v>
      </c>
      <c r="O52" s="2526">
        <f>F48</f>
        <v>5.6000000000000001E-2</v>
      </c>
    </row>
    <row r="53" spans="1:35" ht="12" customHeight="1">
      <c r="A53" s="3466" t="s">
        <v>1356</v>
      </c>
      <c r="B53" s="3600" t="s">
        <v>2291</v>
      </c>
      <c r="C53" s="3601"/>
      <c r="D53" s="1087" t="e">
        <f ca="1">ROUND(D45*'数据-取费表'!B41/(1+'数据-取费表'!C42),0)</f>
        <v>#REF!</v>
      </c>
      <c r="E53" s="3465" t="s">
        <v>1354</v>
      </c>
      <c r="F53" s="2554">
        <f>'数据-取费表'!B41</f>
        <v>5.6000000000000001E-2</v>
      </c>
      <c r="G53" s="2555"/>
      <c r="H53" s="2544"/>
      <c r="I53" s="1807"/>
      <c r="J53" s="3455">
        <v>2</v>
      </c>
      <c r="K53" s="3639" t="s">
        <v>1357</v>
      </c>
      <c r="L53" s="3639"/>
      <c r="M53" s="2525" t="e">
        <f t="shared" ref="M53:O54" ca="1" si="0">D55</f>
        <v>#REF!</v>
      </c>
      <c r="N53" s="3455" t="str">
        <f t="shared" si="0"/>
        <v>销售额×税（费）率</v>
      </c>
      <c r="O53" s="2526" t="str">
        <f t="shared" si="0"/>
        <v>免征</v>
      </c>
    </row>
    <row r="54" spans="1:35" ht="12" customHeight="1">
      <c r="A54" s="3466" t="s">
        <v>1358</v>
      </c>
      <c r="B54" s="3600" t="s">
        <v>2292</v>
      </c>
      <c r="C54" s="3601"/>
      <c r="D54" s="1087" t="e">
        <f ca="1">C68</f>
        <v>#REF!</v>
      </c>
      <c r="E54" s="327" t="s">
        <v>1359</v>
      </c>
      <c r="F54" s="2554">
        <f>'数据-取费表'!B41</f>
        <v>5.6000000000000001E-2</v>
      </c>
      <c r="G54" s="2555"/>
      <c r="H54" s="2556"/>
      <c r="I54" s="1807"/>
      <c r="J54" s="3455">
        <v>3</v>
      </c>
      <c r="K54" s="3639" t="s">
        <v>1360</v>
      </c>
      <c r="L54" s="3639"/>
      <c r="M54" s="2525" t="e">
        <f t="shared" ca="1" si="0"/>
        <v>#REF!</v>
      </c>
      <c r="N54" s="3455" t="str">
        <f t="shared" si="0"/>
        <v>增值额×税（费）率</v>
      </c>
      <c r="O54" s="2527" t="str">
        <f t="shared" si="0"/>
        <v>免征</v>
      </c>
    </row>
    <row r="55" spans="1:35" ht="24" customHeight="1">
      <c r="A55" s="3589" t="s">
        <v>1361</v>
      </c>
      <c r="B55" s="3590"/>
      <c r="C55" s="3590"/>
      <c r="D55" s="3452" t="e">
        <f ca="1">IF(H55="个人住宅",0,ROUND(D45*I55,0))</f>
        <v>#REF!</v>
      </c>
      <c r="E55" s="3465" t="s">
        <v>1362</v>
      </c>
      <c r="F55" s="2554" t="str">
        <f>IF(H55="正常",I55,"免征")</f>
        <v>免征</v>
      </c>
      <c r="G55" s="2555"/>
      <c r="H55" s="2550"/>
      <c r="I55" s="165">
        <f>'数据-取费表'!B49</f>
        <v>5.0000000000000001E-4</v>
      </c>
      <c r="J55" s="3455">
        <f>IF(H59="非个人房产","",4)</f>
        <v>4</v>
      </c>
      <c r="K55" s="3639" t="str">
        <f>IF(H59="非个人房产","——","个人所得税")</f>
        <v>个人所得税</v>
      </c>
      <c r="L55" s="3639"/>
      <c r="M55" s="2528" t="e">
        <f ca="1">D59</f>
        <v>#REF!</v>
      </c>
      <c r="N55" s="3456" t="str">
        <f>E59</f>
        <v>差额计税</v>
      </c>
      <c r="O55" s="2529">
        <f>F59</f>
        <v>0.01</v>
      </c>
    </row>
    <row r="56" spans="1:35" ht="24.75">
      <c r="A56" s="3589" t="s">
        <v>1363</v>
      </c>
      <c r="B56" s="3590"/>
      <c r="C56" s="3590"/>
      <c r="D56" s="3452" t="e">
        <f ca="1">IF(H56="个人住宅",D57,D58)</f>
        <v>#REF!</v>
      </c>
      <c r="E56" s="3465" t="s">
        <v>1364</v>
      </c>
      <c r="F56" s="2554" t="str">
        <f>IF(H56="正常",F58,"免征")</f>
        <v>免征</v>
      </c>
      <c r="G56" s="2557" t="s">
        <v>1365</v>
      </c>
      <c r="H56" s="2558"/>
      <c r="I56" s="1808"/>
      <c r="J56" s="3455" t="str">
        <f>IF(项目基本情况!K6="上海银行",IF(J55="",4,J55+1),"")</f>
        <v/>
      </c>
      <c r="K56" s="3662" t="str">
        <f>IF(项目基本情况!K6="上海银行","其他处置费用","")</f>
        <v/>
      </c>
      <c r="L56" s="3663"/>
      <c r="M56" s="2525" t="str">
        <f>IF(项目基本情况!K6="上海银行",M69,"")</f>
        <v/>
      </c>
      <c r="N56" s="3662" t="str">
        <f>IF(项目基本情况!K6="上海银行","包含处置中涉及的律师、诉讼、拍卖、评估等费用","")</f>
        <v/>
      </c>
      <c r="O56" s="3665"/>
    </row>
    <row r="57" spans="1:35" ht="12.75">
      <c r="A57" s="3466" t="s">
        <v>1341</v>
      </c>
      <c r="B57" s="3600" t="s">
        <v>1366</v>
      </c>
      <c r="C57" s="3601"/>
      <c r="D57" s="1590">
        <v>0</v>
      </c>
      <c r="E57" s="324" t="s">
        <v>1343</v>
      </c>
      <c r="F57" s="302"/>
      <c r="G57" s="2555"/>
      <c r="H57" s="2559"/>
      <c r="I57" s="1808"/>
      <c r="J57" s="3639">
        <f>IF(AND(J55="",J56=""),4,IF(项目基本情况!K6="上海银行",'结果表-车位'!J56+1,'结果表-车位'!J55+1))</f>
        <v>5</v>
      </c>
      <c r="K57" s="3639" t="s">
        <v>1367</v>
      </c>
      <c r="L57" s="2530" t="s">
        <v>1368</v>
      </c>
      <c r="M57" s="2531"/>
      <c r="N57" s="2532">
        <f ca="1">SUMIF(M52:M56,"&lt;9e307")</f>
        <v>0</v>
      </c>
      <c r="O57" s="2533"/>
      <c r="P57" s="2690" t="e">
        <f ca="1">N57/M49</f>
        <v>#VALUE!</v>
      </c>
    </row>
    <row r="58" spans="1:35" ht="24.75">
      <c r="A58" s="3466" t="s">
        <v>1352</v>
      </c>
      <c r="B58" s="3600" t="s">
        <v>1369</v>
      </c>
      <c r="C58" s="3574"/>
      <c r="D58" s="3452" t="e">
        <f ca="1">IF(H58="转让取得",C81,C97)</f>
        <v>#REF!</v>
      </c>
      <c r="E58" s="3465" t="s">
        <v>1364</v>
      </c>
      <c r="F58" s="302" t="s">
        <v>28</v>
      </c>
      <c r="G58" s="2555"/>
      <c r="H58" s="2558"/>
      <c r="I58" s="1808"/>
      <c r="J58" s="3639"/>
      <c r="K58" s="3639"/>
      <c r="L58" s="2530" t="s">
        <v>1370</v>
      </c>
      <c r="M58" s="2534"/>
      <c r="N58" s="2535" t="str">
        <f ca="1">NUMBERSTRING(INT(N57*10000),2)&amp;"元整"</f>
        <v>零元整</v>
      </c>
      <c r="O58" s="2536"/>
    </row>
    <row r="59" spans="1:35" ht="24.75" thickBot="1">
      <c r="A59" s="3642" t="s">
        <v>1371</v>
      </c>
      <c r="B59" s="3643"/>
      <c r="C59" s="364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40">
        <f>J57+1</f>
        <v>6</v>
      </c>
      <c r="K59" s="3639" t="s">
        <v>1372</v>
      </c>
      <c r="L59" s="3455" t="s">
        <v>1368</v>
      </c>
      <c r="M59" s="2537"/>
      <c r="N59" s="2538" t="e">
        <f ca="1">M49-N57</f>
        <v>#VALUE!</v>
      </c>
      <c r="O59" s="2539"/>
    </row>
    <row r="60" spans="1:35" ht="12" customHeight="1">
      <c r="A60" s="1809"/>
      <c r="B60" s="1747"/>
      <c r="C60" s="1747"/>
      <c r="D60" s="1747"/>
      <c r="E60" s="1578"/>
      <c r="F60" s="1808"/>
      <c r="G60" s="1808"/>
      <c r="H60" s="1810"/>
      <c r="I60" s="129"/>
      <c r="J60" s="3641"/>
      <c r="K60" s="3639"/>
      <c r="L60" s="2530" t="s">
        <v>1370</v>
      </c>
      <c r="M60" s="2534"/>
      <c r="N60" s="2535" t="e">
        <f ca="1">NUMBERSTRING(INT(N59*10000),2)&amp;"元整"</f>
        <v>#VALUE!</v>
      </c>
      <c r="O60" s="2536"/>
    </row>
    <row r="61" spans="1:35" ht="13.5" thickBot="1">
      <c r="A61" s="3587" t="s">
        <v>1373</v>
      </c>
      <c r="B61" s="3587"/>
      <c r="C61" s="3587"/>
      <c r="D61" s="3587"/>
      <c r="E61" s="3587"/>
      <c r="F61" s="1808"/>
      <c r="G61" s="1808"/>
      <c r="H61" s="1810"/>
      <c r="I61" s="129"/>
      <c r="J61" s="3455">
        <f>J59+1</f>
        <v>7</v>
      </c>
      <c r="K61" s="3639" t="s">
        <v>1374</v>
      </c>
      <c r="L61" s="3639"/>
      <c r="M61" s="2540"/>
      <c r="N61" s="2541" t="e">
        <f ca="1">ROUND(N59*10000/'数据-汇总表'!E3,0)</f>
        <v>#VALUE!</v>
      </c>
      <c r="O61" s="2542"/>
    </row>
    <row r="62" spans="1:35" ht="12.75">
      <c r="A62" s="3605" t="s">
        <v>1375</v>
      </c>
      <c r="B62" s="3606"/>
      <c r="C62" s="3460"/>
      <c r="D62" s="3460"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64" t="s">
        <v>1379</v>
      </c>
      <c r="K63" s="3453" t="s">
        <v>1380</v>
      </c>
      <c r="L63" s="3453"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4"/>
      <c r="K64" s="3453" t="s">
        <v>1382</v>
      </c>
      <c r="L64" s="3453"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4"/>
      <c r="K65" s="3453" t="s">
        <v>1385</v>
      </c>
      <c r="L65" s="3453"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4"/>
      <c r="K66" s="3453" t="s">
        <v>1387</v>
      </c>
      <c r="L66" s="3453"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4"/>
      <c r="K67" s="3453" t="s">
        <v>1390</v>
      </c>
      <c r="L67" s="3453"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64"/>
      <c r="K68" s="3453" t="s">
        <v>1392</v>
      </c>
      <c r="L68" s="3453"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4"/>
      <c r="K69" s="3453" t="s">
        <v>1393</v>
      </c>
      <c r="L69" s="3453"/>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6" t="s">
        <v>1394</v>
      </c>
      <c r="B70" s="3627"/>
      <c r="C70" s="3627"/>
      <c r="D70" s="3627"/>
      <c r="E70" s="3627"/>
      <c r="F70" s="3627"/>
      <c r="G70" s="3627"/>
      <c r="H70" s="362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5" t="s">
        <v>1375</v>
      </c>
      <c r="B71" s="3606"/>
      <c r="C71" s="3460"/>
      <c r="D71" s="3460"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3462"/>
      <c r="F72" s="3461"/>
      <c r="G72" s="3461"/>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3462"/>
      <c r="F73" s="3461"/>
      <c r="G73" s="3461"/>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2"/>
      <c r="F74" s="3461"/>
      <c r="G74" s="3461"/>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0" t="s">
        <v>1402</v>
      </c>
      <c r="F76" s="3574"/>
      <c r="G76" s="3574"/>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52" t="s">
        <v>1404</v>
      </c>
      <c r="F77" s="186"/>
      <c r="G77" s="1822"/>
      <c r="H77" s="3463"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4" t="s">
        <v>1406</v>
      </c>
      <c r="F78" s="3585"/>
      <c r="G78" s="3585"/>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1407</v>
      </c>
      <c r="C79" s="2568" t="e">
        <f ca="1">C72-C73</f>
        <v>#REF!</v>
      </c>
      <c r="D79" s="170" t="s">
        <v>26</v>
      </c>
      <c r="E79" s="3462"/>
      <c r="F79" s="3461"/>
      <c r="G79" s="3461"/>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3452" t="e">
        <f ca="1">IF(C80&gt;=200%,"增值额超过扣除项目金额200%",IF(C80&gt;=100%,"增值额超过扣除项目金额100%，未超过200%",IF(C80&gt;=50%,"增值额超过扣除项目金额50%，未超过100%",IF(C80&lt;50%,"增值额未超过扣除项目金额50%"))))</f>
        <v>#REF!</v>
      </c>
      <c r="F80" s="3461"/>
      <c r="G80" s="3461"/>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6" t="s">
        <v>1410</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5" t="s">
        <v>1375</v>
      </c>
      <c r="B84" s="3606"/>
      <c r="C84" s="3460"/>
      <c r="D84" s="346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3462"/>
      <c r="F85" s="3461"/>
      <c r="G85" s="3461"/>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3462"/>
      <c r="F86" s="3461"/>
      <c r="G86" s="3461"/>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57"/>
      <c r="F87" s="3458"/>
      <c r="G87" s="3458"/>
      <c r="H87" s="3459"/>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58"/>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58"/>
      <c r="G89" s="3458"/>
      <c r="H89" s="3459"/>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58"/>
      <c r="G90" s="3666" t="s">
        <v>2129</v>
      </c>
      <c r="H90" s="366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9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4" t="s">
        <v>1406</v>
      </c>
      <c r="F93" s="3585"/>
      <c r="G93" s="3585"/>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5" t="s">
        <v>1426</v>
      </c>
      <c r="F94" s="3596"/>
      <c r="G94" s="3596"/>
      <c r="H94" s="359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1407</v>
      </c>
      <c r="C95" s="2568" t="e">
        <f ca="1">ROUND(C85-C86,0)</f>
        <v>#REF!</v>
      </c>
      <c r="D95" s="170" t="s">
        <v>26</v>
      </c>
      <c r="E95" s="3462"/>
      <c r="F95" s="3461"/>
      <c r="G95" s="3461"/>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3452" t="e">
        <f ca="1">IF(C96&gt;=200%,"增值额超过扣除项目金额200%",IF(C96&gt;=100%,"增值额超过扣除项目金额100%，未超过200%",IF(C96&gt;=50%,"增值额超过扣除项目金额50%，未超过100%",IF(C96&lt;50%,"增值额未超过扣除项目金额50%"))))</f>
        <v>#REF!</v>
      </c>
      <c r="F96" s="3461"/>
      <c r="G96" s="3461"/>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8" t="s">
        <v>1428</v>
      </c>
      <c r="B100" s="3569"/>
      <c r="C100" s="3569"/>
      <c r="D100" s="3586"/>
      <c r="E100" s="3569" t="s">
        <v>1429</v>
      </c>
      <c r="F100" s="3569"/>
      <c r="G100" s="3569"/>
      <c r="H100" s="3586"/>
      <c r="I100" s="129"/>
    </row>
    <row r="101" spans="1:35" ht="18.75" customHeight="1">
      <c r="A101" s="3647" t="s">
        <v>1430</v>
      </c>
      <c r="B101" s="3648"/>
      <c r="C101" s="2585" t="str">
        <f>C4</f>
        <v>成本法 (元) -车库</v>
      </c>
      <c r="D101" s="2586" t="str">
        <f>D4</f>
        <v>比较法-车位</v>
      </c>
      <c r="E101" s="3661" t="s">
        <v>1431</v>
      </c>
      <c r="F101" s="3618"/>
      <c r="G101" s="1827" t="s">
        <v>1432</v>
      </c>
      <c r="H101" s="2595" t="e">
        <f ca="1">H118</f>
        <v>#REF!</v>
      </c>
      <c r="I101" s="129"/>
    </row>
    <row r="102" spans="1:35" ht="18.75" customHeight="1">
      <c r="A102" s="3620" t="s">
        <v>1433</v>
      </c>
      <c r="B102" s="2584" t="s">
        <v>1432</v>
      </c>
      <c r="C102" s="2585">
        <f ca="1">IF(D32="楼面单价",ROUND(C19,0),C19)</f>
        <v>31.493200000000002</v>
      </c>
      <c r="D102" s="2586">
        <f ca="1">IF(D32="楼面单价",ROUND(D19,0),D19)</f>
        <v>24</v>
      </c>
      <c r="E102" s="3661"/>
      <c r="F102" s="3618"/>
      <c r="G102" s="1827" t="s">
        <v>1434</v>
      </c>
      <c r="H102" s="2555" t="e">
        <f ca="1">I118</f>
        <v>#REF!</v>
      </c>
      <c r="I102" s="129"/>
    </row>
    <row r="103" spans="1:35" ht="42.75" customHeight="1">
      <c r="A103" s="3620"/>
      <c r="B103" s="2584" t="s">
        <v>1434</v>
      </c>
      <c r="C103" s="2587">
        <f ca="1">C20</f>
        <v>8208</v>
      </c>
      <c r="D103" s="2588">
        <f ca="1">D20</f>
        <v>6319</v>
      </c>
      <c r="E103" s="3655" t="s">
        <v>1435</v>
      </c>
      <c r="F103" s="3656"/>
      <c r="G103" s="1828" t="s">
        <v>1436</v>
      </c>
      <c r="H103" s="2595">
        <f>IF(D36="正常操作",H104+H105+H106,H105+H106)</f>
        <v>0</v>
      </c>
      <c r="I103" s="129"/>
    </row>
    <row r="104" spans="1:35" ht="18.75" customHeight="1">
      <c r="A104" s="362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7" t="str">
        <f>IF(项目基本情况!E8="已注销","——","3.房地产抵押价值")</f>
        <v>3.房地产抵押价值</v>
      </c>
      <c r="F107" s="3618"/>
      <c r="G107" s="1827" t="s">
        <v>1432</v>
      </c>
      <c r="H107" s="2595" t="e">
        <f ca="1">IF(E107="——","——",H101-H103)</f>
        <v>#REF!</v>
      </c>
      <c r="I107" s="129"/>
    </row>
    <row r="108" spans="1:35" ht="18.75" customHeight="1">
      <c r="A108" s="129"/>
      <c r="B108" s="129"/>
      <c r="C108" s="129"/>
      <c r="D108" s="129"/>
      <c r="E108" s="3617"/>
      <c r="F108" s="3618"/>
      <c r="G108" s="1827" t="s">
        <v>1434</v>
      </c>
      <c r="H108" s="2555">
        <f ca="1">IF(H107=H101,H102,ROUND(H107*10000/'数据-汇总表'!E3,0))</f>
        <v>0</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618"/>
      <c r="G109" s="1827" t="s">
        <v>1432</v>
      </c>
      <c r="H109" s="2598" t="str">
        <f>IF(E109="——","——",H101-H105-H106)</f>
        <v>——</v>
      </c>
      <c r="I109" s="129"/>
    </row>
    <row r="110" spans="1:35" ht="18.75" customHeight="1">
      <c r="A110" s="129"/>
      <c r="B110" s="129"/>
      <c r="C110" s="129"/>
      <c r="D110" s="129"/>
      <c r="E110" s="3617"/>
      <c r="F110" s="3618"/>
      <c r="G110" s="1827" t="s">
        <v>1434</v>
      </c>
      <c r="H110" s="2555" t="str">
        <f>IF(H109="——","——",ROUND(H109*10000/'数据-汇总表'!E3,0))</f>
        <v>——</v>
      </c>
      <c r="I110" s="129"/>
    </row>
    <row r="111" spans="1:35" ht="18.75" customHeight="1">
      <c r="A111" s="129"/>
      <c r="B111" s="129"/>
      <c r="C111" s="129"/>
      <c r="D111" s="129"/>
      <c r="E111" s="3649" t="str">
        <f>IF(项目基本情况!E9="抵押净值",IF(OR(项目基本情况!E8="已注销",项目基本情况!E8="房地产抵押价值"),"4.抵押净值","5.抵押净值"),"——")</f>
        <v>——</v>
      </c>
      <c r="F111" s="3619"/>
      <c r="G111" s="1827" t="s">
        <v>1432</v>
      </c>
      <c r="H111" s="2595" t="str">
        <f>IF(E111="——","——",N59)</f>
        <v>——</v>
      </c>
      <c r="I111" s="129"/>
    </row>
    <row r="112" spans="1:35" ht="18.75" customHeight="1" thickBot="1">
      <c r="A112" s="129"/>
      <c r="B112" s="129"/>
      <c r="C112" s="129"/>
      <c r="D112" s="129"/>
      <c r="E112" s="3650"/>
      <c r="F112" s="3651"/>
      <c r="G112" s="1830" t="s">
        <v>1434</v>
      </c>
      <c r="H112" s="2599" t="str">
        <f>IF(E111="——","——",N61)</f>
        <v>——</v>
      </c>
      <c r="I112" s="129"/>
    </row>
    <row r="113" spans="1:27" ht="18.75" customHeight="1">
      <c r="A113" s="129"/>
      <c r="B113" s="129"/>
      <c r="C113" s="129"/>
      <c r="D113" s="129"/>
      <c r="E113" s="3622" t="s">
        <v>1440</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2" t="s">
        <v>1442</v>
      </c>
      <c r="B115" s="3633"/>
      <c r="C115" s="3633"/>
      <c r="D115" s="3633"/>
      <c r="E115" s="3633"/>
      <c r="F115" s="3633"/>
      <c r="G115" s="3633"/>
      <c r="H115" s="3633"/>
      <c r="I115" s="3634"/>
    </row>
    <row r="116" spans="1:27" ht="27" customHeight="1">
      <c r="A116" s="3588" t="s">
        <v>1443</v>
      </c>
      <c r="B116" s="3623" t="s">
        <v>1444</v>
      </c>
      <c r="C116" s="3623" t="s">
        <v>1445</v>
      </c>
      <c r="D116" s="3636" t="s">
        <v>1446</v>
      </c>
      <c r="E116" s="3637"/>
      <c r="F116" s="3631" t="s">
        <v>1447</v>
      </c>
      <c r="G116" s="3631"/>
      <c r="H116" s="3588" t="s">
        <v>1448</v>
      </c>
      <c r="I116" s="3588"/>
    </row>
    <row r="117" spans="1:27" ht="18.75" customHeight="1">
      <c r="A117" s="3588"/>
      <c r="B117" s="3624"/>
      <c r="C117" s="3624"/>
      <c r="D117" s="3454" t="s">
        <v>1449</v>
      </c>
      <c r="E117" s="3454" t="s">
        <v>1450</v>
      </c>
      <c r="F117" s="3454" t="s">
        <v>1449</v>
      </c>
      <c r="G117" s="3454" t="s">
        <v>1451</v>
      </c>
      <c r="H117" s="3454" t="s">
        <v>1449</v>
      </c>
      <c r="I117" s="3454" t="s">
        <v>1451</v>
      </c>
    </row>
    <row r="118" spans="1:27" ht="24.75" customHeight="1">
      <c r="A118" s="2600" t="str">
        <f>项目基本情况!S2</f>
        <v>房地产</v>
      </c>
      <c r="B118" s="3454">
        <f>M18</f>
        <v>126.25999999999999</v>
      </c>
      <c r="C118" s="3454">
        <f>M19</f>
        <v>0</v>
      </c>
      <c r="D118" s="3454" t="e">
        <f ca="1">ROUND(IF(D32="总价",C34,E118*B118/10000),0)</f>
        <v>#REF!</v>
      </c>
      <c r="E118" s="3454" t="e">
        <f ca="1">ROUND(IF(C33="自定义",IF(D32="楼面单价",C34,D118*10000/B118),I118-G118),0)</f>
        <v>#REF!</v>
      </c>
      <c r="F118" s="3454" t="e">
        <f ca="1">ROUND(IF(D32="总价",C35,G118*B118/10000),0)</f>
        <v>#REF!</v>
      </c>
      <c r="G118" s="3454" t="e">
        <f ca="1">ROUND(IF(D32="楼面单价",C35,F118*10000/B118),0)</f>
        <v>#REF!</v>
      </c>
      <c r="H118" s="3454" t="e">
        <f ca="1">ROUND(IF(D32="总价",C32,I118*B118/10000),0)</f>
        <v>#REF!</v>
      </c>
      <c r="I118" s="3454" t="e">
        <f ca="1">ROUND(IF(D32="楼面单价",C32,H118*10000/B118),0)</f>
        <v>#REF!</v>
      </c>
    </row>
    <row r="119" spans="1:27" ht="18.75" customHeight="1">
      <c r="A119" s="3588" t="s">
        <v>1452</v>
      </c>
      <c r="B119" s="3588"/>
      <c r="C119" s="3588"/>
      <c r="D119" s="3628" t="e">
        <f ca="1">NUMBERSTRING(INT(D118*10000),2)&amp;"元整"</f>
        <v>#REF!</v>
      </c>
      <c r="E119" s="3630"/>
      <c r="F119" s="3628" t="e">
        <f ca="1">NUMBERSTRING(INT(F118*10000),2)&amp;"元整"</f>
        <v>#REF!</v>
      </c>
      <c r="G119" s="3630"/>
      <c r="H119" s="3628" t="e">
        <f ca="1">NUMBERSTRING(INT(H118*10000),2)&amp;"元整"</f>
        <v>#REF!</v>
      </c>
      <c r="I119" s="3630"/>
    </row>
    <row r="120" spans="1:27" ht="18.75" customHeight="1">
      <c r="A120" s="3652" t="str">
        <f>IF(项目基本情况!B9="房地产市场价值","",MID(E103,3,LEN(E103)-2))</f>
        <v>估价师知悉的法定优先受偿款</v>
      </c>
      <c r="B120" s="3653"/>
      <c r="C120" s="3654"/>
      <c r="D120" s="3652">
        <f>H103</f>
        <v>0</v>
      </c>
      <c r="E120" s="3653"/>
      <c r="F120" s="3653"/>
      <c r="G120" s="3653"/>
      <c r="H120" s="3653"/>
      <c r="I120" s="365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8" t="s">
        <v>1452</v>
      </c>
      <c r="B121" s="3629"/>
      <c r="C121" s="3630"/>
      <c r="D121" s="3628" t="str">
        <f>IF(D120=0,"零元整",NUMBERSTRING(INT(D120*10000),2)&amp;"元整")</f>
        <v>零元整</v>
      </c>
      <c r="E121" s="3629"/>
      <c r="F121" s="3629"/>
      <c r="G121" s="3629"/>
      <c r="H121" s="3629"/>
      <c r="I121" s="3630"/>
      <c r="AA121" s="725"/>
    </row>
    <row r="122" spans="1:27" ht="18.75" customHeight="1">
      <c r="A122" s="3619" t="str">
        <f>IF(项目基本情况!B9="房地产市场价值","",MID(E107,3,LEN(E107)-2))</f>
        <v>房地产抵押价值</v>
      </c>
      <c r="B122" s="3619"/>
      <c r="C122" s="3619"/>
      <c r="D122" s="3652" t="e">
        <f ca="1">H107</f>
        <v>#REF!</v>
      </c>
      <c r="E122" s="3653"/>
      <c r="F122" s="3653"/>
      <c r="G122" s="3653"/>
      <c r="H122" s="3653"/>
      <c r="I122" s="3654"/>
      <c r="AA122" s="725"/>
    </row>
    <row r="123" spans="1:27" ht="18.75" customHeight="1">
      <c r="A123" s="3588" t="s">
        <v>1452</v>
      </c>
      <c r="B123" s="3588"/>
      <c r="C123" s="3588"/>
      <c r="D123" s="3628" t="e">
        <f ca="1">NUMBERSTRING(INT(D122*10000),2)&amp;"元整"</f>
        <v>#REF!</v>
      </c>
      <c r="E123" s="3629"/>
      <c r="F123" s="3629"/>
      <c r="G123" s="3629"/>
      <c r="H123" s="3629"/>
      <c r="I123" s="3630"/>
      <c r="AA123" s="725"/>
    </row>
    <row r="124" spans="1:27" ht="18.75" customHeight="1">
      <c r="A124" s="3619" t="str">
        <f>IF(项目基本情况!B9="房地产市场价值","",MID(E109,3,LEN(E109)-2))</f>
        <v/>
      </c>
      <c r="B124" s="3619"/>
      <c r="C124" s="3619"/>
      <c r="D124" s="3652" t="str">
        <f>H109</f>
        <v>——</v>
      </c>
      <c r="E124" s="3653"/>
      <c r="F124" s="3653"/>
      <c r="G124" s="3653"/>
      <c r="H124" s="3653"/>
      <c r="I124" s="3654"/>
      <c r="AA124" s="725"/>
    </row>
    <row r="125" spans="1:27" ht="18.75" customHeight="1">
      <c r="A125" s="3588" t="s">
        <v>1452</v>
      </c>
      <c r="B125" s="3588"/>
      <c r="C125" s="3588"/>
      <c r="D125" s="3628" t="e">
        <f>NUMBERSTRING(INT(D124*10000),2)&amp;"元整"</f>
        <v>#VALUE!</v>
      </c>
      <c r="E125" s="3629"/>
      <c r="F125" s="3629"/>
      <c r="G125" s="3629"/>
      <c r="H125" s="3629"/>
      <c r="I125" s="3630"/>
      <c r="AA125" s="725"/>
    </row>
    <row r="126" spans="1:27" ht="18.75" customHeight="1">
      <c r="A126" s="3619" t="str">
        <f>IF(项目基本情况!B9="房地产市场价值","",MID(E111,3,LEN(E111)-2))</f>
        <v/>
      </c>
      <c r="B126" s="3619"/>
      <c r="C126" s="3619"/>
      <c r="D126" s="3652" t="str">
        <f>H111</f>
        <v>——</v>
      </c>
      <c r="E126" s="3653"/>
      <c r="F126" s="3653"/>
      <c r="G126" s="3653"/>
      <c r="H126" s="3653"/>
      <c r="I126" s="3654"/>
      <c r="AA126" s="725"/>
    </row>
    <row r="127" spans="1:27" ht="18.75" customHeight="1">
      <c r="A127" s="3588" t="s">
        <v>1452</v>
      </c>
      <c r="B127" s="3588"/>
      <c r="C127" s="3588"/>
      <c r="D127" s="3628" t="e">
        <f>NUMBERSTRING(INT(D126*10000),2)&amp;"元整"</f>
        <v>#VALUE!</v>
      </c>
      <c r="E127" s="3629"/>
      <c r="F127" s="3629"/>
      <c r="G127" s="3629"/>
      <c r="H127" s="3629"/>
      <c r="I127" s="3630"/>
      <c r="AA127" s="725"/>
    </row>
    <row r="128" spans="1:27" ht="21.75" customHeight="1">
      <c r="A128" s="3635" t="s">
        <v>1453</v>
      </c>
      <c r="B128" s="3635"/>
      <c r="C128" s="3635"/>
      <c r="D128" s="3635"/>
      <c r="E128" s="3635"/>
      <c r="F128" s="3635"/>
      <c r="G128" s="3635"/>
      <c r="H128" s="3635"/>
      <c r="I128" s="363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35" priority="10" stopIfTrue="1" operator="equal">
      <formula>25</formula>
    </cfRule>
  </conditionalFormatting>
  <conditionalFormatting sqref="C8:C9">
    <cfRule type="cellIs" dxfId="134" priority="9" stopIfTrue="1" operator="equal">
      <formula>15</formula>
    </cfRule>
  </conditionalFormatting>
  <conditionalFormatting sqref="C14:C16">
    <cfRule type="cellIs" dxfId="133" priority="8" stopIfTrue="1" operator="equal">
      <formula>30</formula>
    </cfRule>
  </conditionalFormatting>
  <conditionalFormatting sqref="D5:D7">
    <cfRule type="cellIs" dxfId="132" priority="7" stopIfTrue="1" operator="equal">
      <formula>25</formula>
    </cfRule>
  </conditionalFormatting>
  <conditionalFormatting sqref="D8:D9">
    <cfRule type="cellIs" dxfId="131" priority="6" stopIfTrue="1" operator="equal">
      <formula>15</formula>
    </cfRule>
  </conditionalFormatting>
  <conditionalFormatting sqref="C10:D13">
    <cfRule type="cellIs" dxfId="130" priority="5" stopIfTrue="1" operator="equal">
      <formula>15</formula>
    </cfRule>
  </conditionalFormatting>
  <conditionalFormatting sqref="D14:D16">
    <cfRule type="cellIs" dxfId="129" priority="4" stopIfTrue="1" operator="equal">
      <formula>30</formula>
    </cfRule>
  </conditionalFormatting>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E36">
    <cfRule type="expression" dxfId="126" priority="1" stopIfTrue="1">
      <formula>$D$36="同一抵押权人同一抵押物续贷"</formula>
    </cfRule>
  </conditionalFormatting>
  <dataValidations count="23">
    <dataValidation type="list" allowBlank="1" showInputMessage="1" showErrorMessage="1" sqref="D92" xr:uid="{31FC1B22-E529-440F-A949-0179117AFA1B}">
      <formula1>"0,5%,10%"</formula1>
    </dataValidation>
    <dataValidation type="list" allowBlank="1" showInputMessage="1" showErrorMessage="1" sqref="H59" xr:uid="{8CB1E3D1-3261-4AAF-B0A0-126F669DA4DE}">
      <formula1>"非个人房产,个人住宅（满五唯一有凭证）,个人其他（有凭证）,个人其他（无凭证）"</formula1>
    </dataValidation>
    <dataValidation type="list" allowBlank="1" showInputMessage="1" showErrorMessage="1" sqref="E103" xr:uid="{9E4AC0D4-76C7-4EA9-8E8B-BB3FC34AD63F}">
      <formula1>"2.估价师知悉的法定优先受偿款,2.估价师知悉的除抵押担保权以外的法定优先受偿款"</formula1>
    </dataValidation>
    <dataValidation type="list" allowBlank="1" showInputMessage="1" showErrorMessage="1" sqref="G77" xr:uid="{EDCA118E-0579-4104-9F69-A81E8711BAB1}">
      <formula1>"个人住宅,2016年5月1日前购买,2016年5月1日后购买"</formula1>
    </dataValidation>
    <dataValidation type="list" allowBlank="1" showInputMessage="1" showErrorMessage="1" sqref="C1" xr:uid="{0CC36963-3A09-4E6F-9036-DD9B31B15A02}">
      <formula1>项目类型</formula1>
    </dataValidation>
    <dataValidation type="list" allowBlank="1" showInputMessage="1" showErrorMessage="1" sqref="I1" xr:uid="{EAE828EA-2383-4547-9221-24B16FD25CF2}">
      <formula1>"项目局部,项目全部,——"</formula1>
    </dataValidation>
    <dataValidation type="list" showInputMessage="1" showErrorMessage="1" sqref="G1" xr:uid="{64874F85-1D84-4740-8D57-EDA954F51BD0}">
      <formula1>"现房,在建,土地,-"</formula1>
    </dataValidation>
    <dataValidation type="list" allowBlank="1" showInputMessage="1" showErrorMessage="1" sqref="C129" xr:uid="{538D73D5-0F7B-46B7-A5BA-D9D816E7E5BB}">
      <formula1>"无,有"</formula1>
    </dataValidation>
    <dataValidation type="list" allowBlank="1" showInputMessage="1" showErrorMessage="1" sqref="F116:G116" xr:uid="{5C280E39-2404-4F5D-97D5-2C63AE17BCF6}">
      <formula1>"建筑物价值,在建建筑物价值,建筑物/在建建筑物价值"</formula1>
    </dataValidation>
    <dataValidation type="list" allowBlank="1" showInputMessage="1" showErrorMessage="1" sqref="D116:E116" xr:uid="{834EA427-A183-4A9E-A224-98765311CA3E}">
      <formula1>"出让国有建设用地使用权价值,划拨国有建设用地使用权价值"</formula1>
    </dataValidation>
    <dataValidation type="list" allowBlank="1" showInputMessage="1" showErrorMessage="1" sqref="C116:C117" xr:uid="{6D4353CA-86F1-434D-8EED-77721998379F}">
      <formula1>"土地面积,分摊土地面积,（分摊）土地面积"</formula1>
    </dataValidation>
    <dataValidation type="list" allowBlank="1" showInputMessage="1" showErrorMessage="1" sqref="B116:B117" xr:uid="{E5CDD7A3-F4D0-4E8E-AB8F-D3340C2A31AE}">
      <formula1>"建筑面积,规划建筑面积,（规划）建筑面积"</formula1>
    </dataValidation>
    <dataValidation type="list" allowBlank="1" showInputMessage="1" showErrorMessage="1" sqref="D36" xr:uid="{3E31CEB5-AD8D-483D-9A0F-A0D30DA78AEA}">
      <formula1>"同一抵押权人同一抵押物续贷,注销后放款,正常操作"</formula1>
    </dataValidation>
    <dataValidation type="list" allowBlank="1" showInputMessage="1" showErrorMessage="1" sqref="F75" xr:uid="{7AD99E3F-EC8C-4080-ACF7-5F6ACF4917AB}">
      <formula1>"买卖合同,购房发票"</formula1>
    </dataValidation>
    <dataValidation type="list" allowBlank="1" showInputMessage="1" showErrorMessage="1" sqref="H88" xr:uid="{4DB5CEA7-7302-4DD1-9B9A-5EAEFA670CF9}">
      <formula1>"仅含出让金,出让金+开发费"</formula1>
    </dataValidation>
    <dataValidation type="list" allowBlank="1" showInputMessage="1" showErrorMessage="1" sqref="H91" xr:uid="{C0D74B48-9E26-4FD6-AA3B-9247174C774B}">
      <formula1>"企业提供（在右侧录入）,——"</formula1>
    </dataValidation>
    <dataValidation type="list" allowBlank="1" showInputMessage="1" showErrorMessage="1" sqref="C33" xr:uid="{FD129F45-3255-44EA-8015-A4EF5EE579E2}">
      <formula1>"成本比率,收益比率,自定义"</formula1>
    </dataValidation>
    <dataValidation type="list" allowBlank="1" showInputMessage="1" showErrorMessage="1" sqref="F45" xr:uid="{8BF6FBC4-DD23-4A52-9C75-2227C5C6898E}">
      <formula1>"100%,70%,56%"</formula1>
    </dataValidation>
    <dataValidation type="list" allowBlank="1" showInputMessage="1" showErrorMessage="1" sqref="D32" xr:uid="{4DAB9821-E7F1-4296-90C0-8B3A6801E281}">
      <formula1>"总价,楼面单价"</formula1>
    </dataValidation>
    <dataValidation type="list" allowBlank="1" showInputMessage="1" showErrorMessage="1" sqref="H58" xr:uid="{0250A241-22DF-414D-8580-8FD212CA67DA}">
      <formula1>"转让取得,自行开发建设"</formula1>
    </dataValidation>
    <dataValidation type="list" allowBlank="1" showInputMessage="1" showErrorMessage="1" sqref="H48" xr:uid="{A760FECD-99A5-4302-8FBA-4E2A6790636A}">
      <formula1>"情况1,情况2,情况3,情况4"</formula1>
    </dataValidation>
    <dataValidation type="list" allowBlank="1" showInputMessage="1" showErrorMessage="1" sqref="H55:H56" xr:uid="{A2ABDE4D-3D1B-4E33-B033-EC1C349523E7}">
      <formula1>"个人住宅,正常"</formula1>
    </dataValidation>
    <dataValidation type="list" allowBlank="1" showInputMessage="1" showErrorMessage="1" sqref="C4:D4 D33" xr:uid="{88F8B9BF-12C0-44C7-BD87-00A79D4E7416}">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17311</v>
      </c>
      <c r="C2" s="276" t="s">
        <v>1595</v>
      </c>
      <c r="D2" s="276"/>
      <c r="E2" s="2806"/>
      <c r="F2" s="2806"/>
      <c r="G2" s="2806"/>
      <c r="H2" s="2806"/>
      <c r="I2" s="2806"/>
      <c r="J2" s="2806"/>
      <c r="K2" s="2806"/>
    </row>
    <row r="3" spans="1:33" ht="18" customHeight="1" thickBot="1">
      <c r="A3" s="203" t="s">
        <v>1464</v>
      </c>
      <c r="B3" s="204">
        <f ca="1">ROUND(B2*10000/IF(C1="",'数据-汇总表'!E3,INDIRECT("'数据-取费表'!K"&amp;$K$1)),0)</f>
        <v>1371060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0.02</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0.02</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126.25999999999999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126.25999999999999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-14060</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87.89</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38.36999999999999</v>
      </c>
      <c r="E20" s="21">
        <f>'数据-取费表'!B28</f>
        <v>200</v>
      </c>
      <c r="F20" s="804"/>
      <c r="G20" s="12"/>
      <c r="H20" s="809"/>
      <c r="I20" s="809"/>
      <c r="J20" s="809"/>
      <c r="K20" s="810"/>
    </row>
    <row r="21" spans="1:33" s="803" customFormat="1" ht="13.5" customHeight="1">
      <c r="A21" s="790" t="s">
        <v>357</v>
      </c>
      <c r="B21" s="813" t="s">
        <v>1628</v>
      </c>
      <c r="C21" s="814">
        <f ca="1">C16+C17+C18</f>
        <v>-14060</v>
      </c>
      <c r="D21" s="815"/>
      <c r="E21" s="281"/>
      <c r="F21" s="281"/>
      <c r="G21" s="131" t="s">
        <v>1629</v>
      </c>
      <c r="H21" s="807"/>
      <c r="I21" s="807"/>
      <c r="J21" s="807"/>
      <c r="K21" s="808"/>
    </row>
    <row r="22" spans="1:33" s="803" customFormat="1" ht="13.5" customHeight="1">
      <c r="A22" s="790" t="s">
        <v>1601</v>
      </c>
      <c r="B22" s="813" t="s">
        <v>1630</v>
      </c>
      <c r="C22" s="814">
        <f ca="1">ROUND(C21*F22,0)</f>
        <v>-422</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-3331</v>
      </c>
      <c r="D28" s="280">
        <f ca="1">C29</f>
        <v>0</v>
      </c>
      <c r="E28" s="282" t="s">
        <v>12</v>
      </c>
      <c r="F28" s="288">
        <f ca="1">IF(C1="",'数据-取费表'!Q16,INDIRECT("'数据-取费表'!q"&amp;$K$1))</f>
        <v>0.23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-3331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17311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0</v>
      </c>
      <c r="D6" s="155" t="s">
        <v>2109</v>
      </c>
      <c r="E6" s="302" t="s">
        <v>696</v>
      </c>
      <c r="F6" s="303">
        <f ca="1">INDIRECT("'数据-取费表'!u"&amp;$G$1)</f>
        <v>0</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0.02</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4" t="s">
        <v>837</v>
      </c>
      <c r="L53" s="367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5" priority="56">
      <formula>$L$48&gt;$J$51</formula>
    </cfRule>
  </conditionalFormatting>
  <conditionalFormatting sqref="I55 I60">
    <cfRule type="expression" dxfId="124" priority="57">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742" t="s">
        <v>2320</v>
      </c>
      <c r="K2" s="3743"/>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44" t="s">
        <v>2330</v>
      </c>
      <c r="K3" s="3745"/>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44" t="s">
        <v>2332</v>
      </c>
      <c r="K4" s="3745"/>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50" t="s">
        <v>2336</v>
      </c>
      <c r="B6" s="3751"/>
      <c r="C6" s="3752"/>
      <c r="D6" s="2870"/>
      <c r="E6" s="2871"/>
      <c r="F6" s="2872"/>
      <c r="G6" s="2873"/>
      <c r="H6" s="2848"/>
      <c r="I6" s="2849"/>
      <c r="J6" s="3736">
        <v>1</v>
      </c>
      <c r="K6" s="3737"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36"/>
      <c r="K7" s="3738"/>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53" t="s">
        <v>2350</v>
      </c>
      <c r="C8" s="3754"/>
      <c r="D8" s="2889" t="s">
        <v>2351</v>
      </c>
      <c r="E8" s="2890" t="s">
        <v>2352</v>
      </c>
      <c r="F8" s="2891" t="s">
        <v>2353</v>
      </c>
      <c r="G8" s="2892"/>
      <c r="H8" s="2848"/>
      <c r="I8" s="2849"/>
      <c r="J8" s="3736"/>
      <c r="K8" s="3738"/>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53" t="s">
        <v>2356</v>
      </c>
      <c r="C9" s="3754"/>
      <c r="D9" s="2889">
        <f>ROUND(D6*E9,0)</f>
        <v>0</v>
      </c>
      <c r="E9" s="2893"/>
      <c r="F9" s="2894" t="s">
        <v>2357</v>
      </c>
      <c r="G9" s="2873"/>
      <c r="H9" s="2848"/>
      <c r="I9" s="2849"/>
      <c r="J9" s="3736"/>
      <c r="K9" s="3738"/>
      <c r="L9" s="2883" t="s">
        <v>2358</v>
      </c>
      <c r="M9" s="2884"/>
      <c r="N9" s="2860"/>
      <c r="O9" s="2885"/>
      <c r="P9" s="2885"/>
      <c r="Q9" s="2886">
        <v>365</v>
      </c>
      <c r="R9" s="2887">
        <f t="shared" si="0"/>
        <v>0</v>
      </c>
      <c r="S9" s="2841"/>
      <c r="T9" s="2841"/>
      <c r="U9" s="2841"/>
      <c r="V9" s="2849"/>
    </row>
    <row r="10" spans="1:22" s="2853" customFormat="1" ht="13.15" customHeight="1">
      <c r="A10" s="2888">
        <v>2</v>
      </c>
      <c r="B10" s="3753" t="s">
        <v>2359</v>
      </c>
      <c r="C10" s="3754"/>
      <c r="D10" s="2889">
        <f>ROUND(D6*E10,0)</f>
        <v>0</v>
      </c>
      <c r="E10" s="2893"/>
      <c r="F10" s="2894" t="s">
        <v>2360</v>
      </c>
      <c r="G10" s="2873"/>
      <c r="H10" s="2848"/>
      <c r="I10" s="2849"/>
      <c r="J10" s="3736"/>
      <c r="K10" s="3738"/>
      <c r="L10" s="2883" t="s">
        <v>2361</v>
      </c>
      <c r="M10" s="2884"/>
      <c r="N10" s="2860"/>
      <c r="O10" s="2885"/>
      <c r="P10" s="2885"/>
      <c r="Q10" s="2886">
        <v>365</v>
      </c>
      <c r="R10" s="2887">
        <f t="shared" si="0"/>
        <v>0</v>
      </c>
      <c r="S10" s="2841"/>
      <c r="T10" s="2841"/>
      <c r="U10" s="2841"/>
      <c r="V10" s="2849"/>
    </row>
    <row r="11" spans="1:22" s="2853" customFormat="1" ht="13.15" customHeight="1">
      <c r="A11" s="2888">
        <v>3</v>
      </c>
      <c r="B11" s="3753" t="s">
        <v>2362</v>
      </c>
      <c r="C11" s="3754"/>
      <c r="D11" s="2889">
        <f>D12+D14+D15+D16</f>
        <v>0</v>
      </c>
      <c r="E11" s="2895" t="e">
        <f>D11/D6</f>
        <v>#DIV/0!</v>
      </c>
      <c r="F11" s="2891"/>
      <c r="G11" s="2892"/>
      <c r="H11" s="2848"/>
      <c r="I11" s="2849"/>
      <c r="J11" s="3736"/>
      <c r="K11" s="3738"/>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46" t="s">
        <v>2365</v>
      </c>
      <c r="C12" s="3747"/>
      <c r="D12" s="2897">
        <f>ROUND(D13*1.2%*(1-30%),0)</f>
        <v>0</v>
      </c>
      <c r="E12" s="2898">
        <v>1.2E-2</v>
      </c>
      <c r="F12" s="2891" t="s">
        <v>2366</v>
      </c>
      <c r="G12" s="2892"/>
      <c r="H12" s="2848"/>
      <c r="I12" s="2849"/>
      <c r="J12" s="3736"/>
      <c r="K12" s="3738"/>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36"/>
      <c r="K13" s="3738"/>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46" t="s">
        <v>2371</v>
      </c>
      <c r="C14" s="3747"/>
      <c r="D14" s="2897">
        <f>ROUND(E14*B5/10000,0)</f>
        <v>0</v>
      </c>
      <c r="E14" s="2886"/>
      <c r="F14" s="2891" t="s">
        <v>2372</v>
      </c>
      <c r="G14" s="2892"/>
      <c r="H14" s="2848"/>
      <c r="I14" s="2849"/>
      <c r="J14" s="3736"/>
      <c r="K14" s="3739"/>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46" t="s">
        <v>2375</v>
      </c>
      <c r="C15" s="3747"/>
      <c r="D15" s="2897">
        <f>ROUND(D6*E15,0)</f>
        <v>0</v>
      </c>
      <c r="E15" s="2898">
        <v>5.5E-2</v>
      </c>
      <c r="F15" s="2891" t="s">
        <v>2376</v>
      </c>
      <c r="G15" s="2873"/>
      <c r="H15" s="2848"/>
      <c r="I15" s="2849"/>
      <c r="J15" s="3736">
        <v>2</v>
      </c>
      <c r="K15" s="3737"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46" t="s">
        <v>2384</v>
      </c>
      <c r="C16" s="3747"/>
      <c r="D16" s="2908">
        <f>D6*E16</f>
        <v>0</v>
      </c>
      <c r="E16" s="2909"/>
      <c r="F16" s="2894" t="s">
        <v>2385</v>
      </c>
      <c r="G16" s="2873"/>
      <c r="H16" s="2848"/>
      <c r="I16" s="2849"/>
      <c r="J16" s="3736"/>
      <c r="K16" s="3738"/>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48" t="s">
        <v>2387</v>
      </c>
      <c r="C17" s="3749"/>
      <c r="D17" s="2911">
        <f>ROUND(D6*E17,0)</f>
        <v>0</v>
      </c>
      <c r="E17" s="2912"/>
      <c r="F17" s="2913" t="s">
        <v>2388</v>
      </c>
      <c r="G17" s="2873"/>
      <c r="H17" s="2848"/>
      <c r="I17" s="2849"/>
      <c r="J17" s="3736"/>
      <c r="K17" s="3738"/>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36"/>
      <c r="K18" s="3738"/>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36"/>
      <c r="K19" s="3739"/>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36">
        <v>3</v>
      </c>
      <c r="K20" s="3737"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36"/>
      <c r="K21" s="3738"/>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36"/>
      <c r="K22" s="3738"/>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36"/>
      <c r="K23" s="3738"/>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36"/>
      <c r="K24" s="3739"/>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40">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4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42" t="s">
        <v>2320</v>
      </c>
      <c r="K32" s="3743"/>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44" t="s">
        <v>2330</v>
      </c>
      <c r="K33" s="3745"/>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44" t="s">
        <v>2332</v>
      </c>
      <c r="K34" s="374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36">
        <v>1</v>
      </c>
      <c r="K36" s="3737"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36"/>
      <c r="K37" s="3738"/>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36"/>
      <c r="K38" s="3738"/>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36"/>
      <c r="K39" s="3738"/>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36"/>
      <c r="K40" s="3739"/>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40">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4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估价对象为房地产，为所有。根据《国有土地使用证》[]，估价对象（分摊）出让国有建设用地使用权面积为0平方米，建筑面积为126.26平方米。</v>
      </c>
    </row>
    <row r="8" spans="1:1" ht="57.75">
      <c r="A8" s="1483" t="s">
        <v>901</v>
      </c>
    </row>
    <row r="9" spans="1:1" ht="18.75">
      <c r="A9" s="1482" t="s">
        <v>902</v>
      </c>
    </row>
    <row r="10" spans="1:1" ht="54">
      <c r="A10" s="1480"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估价对象为房地产,属开发建设的，该项目尚在开发建设中。根据《国有土地使用证》[]，估价对象（分摊）出让国有建设用地使用权面积为0平方米，规划建筑面积为126.26平方米。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2023年8月24日（评估专业人员实地查勘之日）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"本次评估采用的主估价方法为"&amp;'结果表-住宅'!K4&amp;"和"&amp;'结果表-住宅'!L4&amp;"。"</f>
        <v>本次评估采用的主估价方法为成本法和比较法。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186.4991</v>
      </c>
      <c r="C2" s="1872" t="s">
        <v>1651</v>
      </c>
      <c r="D2" s="1873" t="s">
        <v>1652</v>
      </c>
      <c r="E2" s="2607">
        <f>SUM(E6:E13)</f>
        <v>87.89</v>
      </c>
      <c r="F2" s="2707"/>
      <c r="G2" s="1489"/>
      <c r="H2" s="1489"/>
      <c r="I2" s="1489"/>
      <c r="J2" s="1489"/>
      <c r="K2" s="1489"/>
      <c r="L2" s="1489"/>
      <c r="M2" s="1489"/>
      <c r="N2" s="1489"/>
      <c r="O2" s="1489"/>
      <c r="P2" s="1489"/>
      <c r="Q2" s="1489"/>
      <c r="R2" s="1489"/>
      <c r="S2" s="1489"/>
    </row>
    <row r="3" spans="1:22" ht="15.75">
      <c r="A3" s="1870" t="s">
        <v>686</v>
      </c>
      <c r="B3" s="2601">
        <f ca="1">ROUND(B2*10000/E2,0)</f>
        <v>21220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55" t="s">
        <v>1654</v>
      </c>
      <c r="C5" s="375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186.4991</v>
      </c>
      <c r="C6" s="1872" t="s">
        <v>1651</v>
      </c>
      <c r="D6" s="2709"/>
      <c r="E6" s="2606">
        <f>IF(OR(A6=0,F6="否"),0,'数据-取费表'!K6+'数据-取费表'!S6)</f>
        <v>87.89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126.25999999999999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704" t="s">
        <v>1771</v>
      </c>
      <c r="S4" s="3705"/>
      <c r="T4" s="3704" t="s">
        <v>1772</v>
      </c>
      <c r="U4" s="3705"/>
      <c r="V4" s="3710" t="s">
        <v>1773</v>
      </c>
      <c r="W4" s="3710"/>
      <c r="X4" s="1355"/>
      <c r="Y4" s="3704" t="s">
        <v>1775</v>
      </c>
      <c r="Z4" s="3705"/>
      <c r="AA4" s="3691" t="s">
        <v>1771</v>
      </c>
      <c r="AB4" s="3710" t="s">
        <v>1772</v>
      </c>
      <c r="AC4" s="3691" t="s">
        <v>1773</v>
      </c>
    </row>
    <row r="5" spans="1:29" ht="15">
      <c r="A5" s="358"/>
      <c r="B5" s="359"/>
      <c r="C5" s="3713" t="s">
        <v>1673</v>
      </c>
      <c r="D5" s="3714"/>
      <c r="E5" s="3720" t="s">
        <v>1674</v>
      </c>
      <c r="F5" s="3721"/>
      <c r="G5" s="3713" t="s">
        <v>1675</v>
      </c>
      <c r="H5" s="3714"/>
      <c r="I5" s="3713" t="s">
        <v>1676</v>
      </c>
      <c r="J5" s="3714"/>
      <c r="K5" s="559"/>
      <c r="L5" s="2715"/>
      <c r="M5" s="2716"/>
      <c r="N5" s="2716"/>
      <c r="O5" s="2716"/>
      <c r="P5" s="3700"/>
      <c r="Q5" s="3701"/>
      <c r="R5" s="3706"/>
      <c r="S5" s="3707"/>
      <c r="T5" s="3706"/>
      <c r="U5" s="3707"/>
      <c r="V5" s="3710"/>
      <c r="W5" s="3710"/>
      <c r="X5" s="1355"/>
      <c r="Y5" s="3706"/>
      <c r="Z5" s="3707"/>
      <c r="AA5" s="3692"/>
      <c r="AB5" s="3710"/>
      <c r="AC5" s="3692"/>
    </row>
    <row r="6" spans="1:29" ht="15.75" thickBot="1">
      <c r="A6" s="360"/>
      <c r="B6" s="361"/>
      <c r="C6" s="3711" t="s">
        <v>1677</v>
      </c>
      <c r="D6" s="3712"/>
      <c r="E6" s="3718" t="s">
        <v>1677</v>
      </c>
      <c r="F6" s="3719"/>
      <c r="G6" s="3711" t="s">
        <v>1677</v>
      </c>
      <c r="H6" s="3712"/>
      <c r="I6" s="3711" t="s">
        <v>1677</v>
      </c>
      <c r="J6" s="3712"/>
      <c r="K6" s="559" t="s">
        <v>1678</v>
      </c>
      <c r="L6" s="2715"/>
      <c r="M6" s="2716"/>
      <c r="N6" s="2716"/>
      <c r="O6" s="2716"/>
      <c r="P6" s="3702"/>
      <c r="Q6" s="3703"/>
      <c r="R6" s="3706"/>
      <c r="S6" s="3707"/>
      <c r="T6" s="3708"/>
      <c r="U6" s="3709"/>
      <c r="V6" s="3710"/>
      <c r="W6" s="3710"/>
      <c r="X6" s="1355"/>
      <c r="Y6" s="3708"/>
      <c r="Z6" s="3709"/>
      <c r="AA6" s="3693"/>
      <c r="AB6" s="3710"/>
      <c r="AC6" s="3693"/>
    </row>
    <row r="7" spans="1:29" s="108" customFormat="1" ht="15.75" thickBot="1">
      <c r="A7" s="362" t="s">
        <v>1679</v>
      </c>
      <c r="B7" s="363"/>
      <c r="C7" s="364">
        <f>'数据-取费表'!B2</f>
        <v>45162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5" t="s">
        <v>1683</v>
      </c>
      <c r="Q8" s="3716"/>
      <c r="R8" s="701" t="s">
        <v>14</v>
      </c>
      <c r="S8" s="702">
        <f t="shared" si="0"/>
        <v>100</v>
      </c>
      <c r="T8" s="701" t="s">
        <v>14</v>
      </c>
      <c r="U8" s="702">
        <f t="shared" si="1"/>
        <v>100</v>
      </c>
      <c r="V8" s="701" t="s">
        <v>14</v>
      </c>
      <c r="W8" s="702">
        <f t="shared" si="2"/>
        <v>100</v>
      </c>
      <c r="X8" s="703"/>
      <c r="Y8" s="3715" t="s">
        <v>1683</v>
      </c>
      <c r="Z8" s="371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0"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0"/>
      <c r="Q11" s="1343"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0"/>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8" t="s">
        <v>1691</v>
      </c>
      <c r="Q15" s="1352" t="str">
        <f t="shared" si="6"/>
        <v>商业繁华度</v>
      </c>
      <c r="R15" s="705" t="s">
        <v>14</v>
      </c>
      <c r="S15" s="706">
        <f t="shared" si="0"/>
        <v>100</v>
      </c>
      <c r="T15" s="705" t="s">
        <v>14</v>
      </c>
      <c r="U15" s="706">
        <f t="shared" si="1"/>
        <v>100</v>
      </c>
      <c r="V15" s="705" t="s">
        <v>14</v>
      </c>
      <c r="W15" s="706">
        <f t="shared" si="2"/>
        <v>100</v>
      </c>
      <c r="X15" s="1355"/>
      <c r="Y15" s="368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9"/>
      <c r="Q16" s="1352"/>
      <c r="R16" s="705"/>
      <c r="S16" s="706"/>
      <c r="T16" s="705"/>
      <c r="U16" s="706"/>
      <c r="V16" s="705"/>
      <c r="W16" s="706"/>
      <c r="X16" s="1355"/>
      <c r="Y16" s="368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9"/>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9"/>
      <c r="Q18" s="1352"/>
      <c r="R18" s="705"/>
      <c r="S18" s="706"/>
      <c r="T18" s="705"/>
      <c r="U18" s="706"/>
      <c r="V18" s="705"/>
      <c r="W18" s="706"/>
      <c r="X18" s="1355"/>
      <c r="Y18" s="368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9"/>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9"/>
      <c r="Q20" s="1352"/>
      <c r="R20" s="705"/>
      <c r="S20" s="706"/>
      <c r="T20" s="705"/>
      <c r="U20" s="706"/>
      <c r="V20" s="705"/>
      <c r="W20" s="706"/>
      <c r="X20" s="1355"/>
      <c r="Y20" s="368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9"/>
      <c r="Q22" s="1352"/>
      <c r="R22" s="705"/>
      <c r="S22" s="706"/>
      <c r="T22" s="705"/>
      <c r="U22" s="706"/>
      <c r="V22" s="705"/>
      <c r="W22" s="706"/>
      <c r="X22" s="1355"/>
      <c r="Y22" s="368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9"/>
      <c r="Q23" s="1352" t="str">
        <f>B23</f>
        <v>自然及人文环境</v>
      </c>
      <c r="R23" s="705" t="s">
        <v>14</v>
      </c>
      <c r="S23" s="706">
        <f>F23</f>
        <v>100</v>
      </c>
      <c r="T23" s="705" t="s">
        <v>14</v>
      </c>
      <c r="U23" s="706">
        <f>H23</f>
        <v>100</v>
      </c>
      <c r="V23" s="705" t="s">
        <v>14</v>
      </c>
      <c r="W23" s="706">
        <f>J23</f>
        <v>100</v>
      </c>
      <c r="X23" s="1355"/>
      <c r="Y23" s="368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9"/>
      <c r="Q24" s="1352"/>
      <c r="R24" s="705"/>
      <c r="S24" s="706"/>
      <c r="T24" s="705"/>
      <c r="U24" s="706"/>
      <c r="V24" s="705"/>
      <c r="W24" s="706"/>
      <c r="X24" s="1355"/>
      <c r="Y24" s="368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9"/>
      <c r="Q25" s="1352" t="str">
        <f t="shared" ref="Q25:Q46" si="11">B25</f>
        <v>临街状况</v>
      </c>
      <c r="R25" s="705" t="s">
        <v>14</v>
      </c>
      <c r="S25" s="706">
        <f>F25</f>
        <v>100</v>
      </c>
      <c r="T25" s="705" t="s">
        <v>14</v>
      </c>
      <c r="U25" s="706">
        <f>H25</f>
        <v>100</v>
      </c>
      <c r="V25" s="705" t="s">
        <v>14</v>
      </c>
      <c r="W25" s="706">
        <f>J25</f>
        <v>100</v>
      </c>
      <c r="X25" s="1355"/>
      <c r="Y25" s="368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9"/>
      <c r="Q26" s="1352" t="str">
        <f t="shared" si="11"/>
        <v>平面位置/可视性</v>
      </c>
      <c r="R26" s="705" t="s">
        <v>14</v>
      </c>
      <c r="S26" s="706">
        <f>F26</f>
        <v>100</v>
      </c>
      <c r="T26" s="705" t="s">
        <v>14</v>
      </c>
      <c r="U26" s="706">
        <f>H26</f>
        <v>100</v>
      </c>
      <c r="V26" s="705" t="s">
        <v>14</v>
      </c>
      <c r="W26" s="706">
        <f>J26</f>
        <v>100</v>
      </c>
      <c r="X26" s="1355"/>
      <c r="Y26" s="368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9"/>
      <c r="Q27" s="1343" t="str">
        <f t="shared" si="11"/>
        <v>人流量</v>
      </c>
      <c r="R27" s="701" t="s">
        <v>14</v>
      </c>
      <c r="S27" s="702">
        <f>F27</f>
        <v>100</v>
      </c>
      <c r="T27" s="701" t="s">
        <v>14</v>
      </c>
      <c r="U27" s="702">
        <f>H27</f>
        <v>100</v>
      </c>
      <c r="V27" s="701" t="s">
        <v>14</v>
      </c>
      <c r="W27" s="702">
        <f>J27</f>
        <v>100</v>
      </c>
      <c r="X27" s="703"/>
      <c r="Y27" s="368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9"/>
      <c r="Q29" s="1352">
        <f t="shared" si="11"/>
        <v>111</v>
      </c>
      <c r="R29" s="705" t="s">
        <v>14</v>
      </c>
      <c r="S29" s="706">
        <f t="shared" si="12"/>
        <v>100</v>
      </c>
      <c r="T29" s="705" t="s">
        <v>14</v>
      </c>
      <c r="U29" s="706">
        <f t="shared" si="13"/>
        <v>100</v>
      </c>
      <c r="V29" s="705" t="s">
        <v>14</v>
      </c>
      <c r="W29" s="706">
        <f t="shared" si="14"/>
        <v>100</v>
      </c>
      <c r="X29" s="1355"/>
      <c r="Y29" s="368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9"/>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9"/>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3" t="s">
        <v>1696</v>
      </c>
      <c r="Q32" s="1352" t="str">
        <f t="shared" si="11"/>
        <v>商业类型</v>
      </c>
      <c r="R32" s="705" t="s">
        <v>14</v>
      </c>
      <c r="S32" s="706">
        <f t="shared" si="12"/>
        <v>100</v>
      </c>
      <c r="T32" s="705" t="s">
        <v>14</v>
      </c>
      <c r="U32" s="706">
        <f t="shared" si="13"/>
        <v>100</v>
      </c>
      <c r="V32" s="705" t="s">
        <v>14</v>
      </c>
      <c r="W32" s="706">
        <f t="shared" si="14"/>
        <v>100</v>
      </c>
      <c r="X32" s="1355"/>
      <c r="Y32" s="368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4"/>
      <c r="Q33" s="707" t="str">
        <f t="shared" si="11"/>
        <v>项目建筑规模</v>
      </c>
      <c r="R33" s="708" t="s">
        <v>14</v>
      </c>
      <c r="S33" s="709" t="e">
        <f t="shared" si="12"/>
        <v>#N/A</v>
      </c>
      <c r="T33" s="708" t="s">
        <v>14</v>
      </c>
      <c r="U33" s="709" t="e">
        <f t="shared" si="13"/>
        <v>#N/A</v>
      </c>
      <c r="V33" s="708" t="s">
        <v>14</v>
      </c>
      <c r="W33" s="709" t="e">
        <f t="shared" si="14"/>
        <v>#N/A</v>
      </c>
      <c r="X33" s="710"/>
      <c r="Y33" s="368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4"/>
      <c r="Q34" s="1352" t="str">
        <f t="shared" si="11"/>
        <v>建筑结构</v>
      </c>
      <c r="R34" s="705" t="s">
        <v>14</v>
      </c>
      <c r="S34" s="706">
        <f t="shared" si="12"/>
        <v>100</v>
      </c>
      <c r="T34" s="705" t="s">
        <v>14</v>
      </c>
      <c r="U34" s="706">
        <f t="shared" si="13"/>
        <v>100</v>
      </c>
      <c r="V34" s="705" t="s">
        <v>14</v>
      </c>
      <c r="W34" s="706">
        <f t="shared" si="14"/>
        <v>100</v>
      </c>
      <c r="X34" s="1355"/>
      <c r="Y34" s="368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4"/>
      <c r="Q35" s="1352" t="str">
        <f t="shared" si="11"/>
        <v>公共部分装修</v>
      </c>
      <c r="R35" s="705" t="s">
        <v>14</v>
      </c>
      <c r="S35" s="706">
        <f t="shared" si="12"/>
        <v>100</v>
      </c>
      <c r="T35" s="705" t="s">
        <v>14</v>
      </c>
      <c r="U35" s="706">
        <f t="shared" si="13"/>
        <v>100</v>
      </c>
      <c r="V35" s="705" t="s">
        <v>14</v>
      </c>
      <c r="W35" s="706">
        <f t="shared" si="14"/>
        <v>100</v>
      </c>
      <c r="X35" s="1355"/>
      <c r="Y35" s="368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4"/>
      <c r="Q36" s="1352" t="str">
        <f t="shared" si="11"/>
        <v>成新度</v>
      </c>
      <c r="R36" s="705" t="s">
        <v>14</v>
      </c>
      <c r="S36" s="706" t="e">
        <f t="shared" si="12"/>
        <v>#N/A</v>
      </c>
      <c r="T36" s="705" t="s">
        <v>14</v>
      </c>
      <c r="U36" s="706" t="e">
        <f t="shared" si="13"/>
        <v>#N/A</v>
      </c>
      <c r="V36" s="705" t="s">
        <v>14</v>
      </c>
      <c r="W36" s="706" t="e">
        <f t="shared" si="14"/>
        <v>#N/A</v>
      </c>
      <c r="X36" s="1355"/>
      <c r="Y36" s="368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4"/>
      <c r="Q37" s="1343" t="str">
        <f t="shared" si="11"/>
        <v>市政基础设施</v>
      </c>
      <c r="R37" s="701" t="s">
        <v>14</v>
      </c>
      <c r="S37" s="702">
        <f t="shared" si="12"/>
        <v>100</v>
      </c>
      <c r="T37" s="701" t="s">
        <v>14</v>
      </c>
      <c r="U37" s="702">
        <f t="shared" si="13"/>
        <v>100</v>
      </c>
      <c r="V37" s="701" t="s">
        <v>14</v>
      </c>
      <c r="W37" s="702">
        <f t="shared" si="14"/>
        <v>100</v>
      </c>
      <c r="X37" s="703"/>
      <c r="Y37" s="368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4" t="s">
        <v>1696</v>
      </c>
      <c r="Q38" s="1352" t="str">
        <f t="shared" si="11"/>
        <v>业态</v>
      </c>
      <c r="R38" s="705" t="s">
        <v>14</v>
      </c>
      <c r="S38" s="706">
        <f t="shared" si="12"/>
        <v>100</v>
      </c>
      <c r="T38" s="705" t="s">
        <v>14</v>
      </c>
      <c r="U38" s="706">
        <f t="shared" si="13"/>
        <v>100</v>
      </c>
      <c r="V38" s="705" t="s">
        <v>14</v>
      </c>
      <c r="W38" s="706">
        <f t="shared" si="14"/>
        <v>100</v>
      </c>
      <c r="X38" s="1355"/>
      <c r="Y38" s="368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4"/>
      <c r="Q39" s="1352" t="str">
        <f t="shared" si="11"/>
        <v>层高</v>
      </c>
      <c r="R39" s="705" t="s">
        <v>14</v>
      </c>
      <c r="S39" s="706">
        <f t="shared" si="12"/>
        <v>100</v>
      </c>
      <c r="T39" s="705" t="s">
        <v>14</v>
      </c>
      <c r="U39" s="706">
        <f t="shared" si="13"/>
        <v>100</v>
      </c>
      <c r="V39" s="705" t="s">
        <v>14</v>
      </c>
      <c r="W39" s="706">
        <f t="shared" si="14"/>
        <v>100</v>
      </c>
      <c r="X39" s="1355"/>
      <c r="Y39" s="368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4"/>
      <c r="Q40" s="1352" t="str">
        <f t="shared" si="11"/>
        <v>单套建筑面积</v>
      </c>
      <c r="R40" s="705" t="s">
        <v>14</v>
      </c>
      <c r="S40" s="706">
        <f t="shared" si="12"/>
        <v>100</v>
      </c>
      <c r="T40" s="705" t="s">
        <v>14</v>
      </c>
      <c r="U40" s="706">
        <f t="shared" si="13"/>
        <v>100</v>
      </c>
      <c r="V40" s="705" t="s">
        <v>14</v>
      </c>
      <c r="W40" s="706">
        <f t="shared" si="14"/>
        <v>100</v>
      </c>
      <c r="X40" s="1355"/>
      <c r="Y40" s="368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4"/>
      <c r="Q41" s="707" t="str">
        <f t="shared" si="11"/>
        <v>进深比</v>
      </c>
      <c r="R41" s="708" t="s">
        <v>14</v>
      </c>
      <c r="S41" s="709">
        <f t="shared" si="12"/>
        <v>100</v>
      </c>
      <c r="T41" s="708" t="s">
        <v>14</v>
      </c>
      <c r="U41" s="709">
        <f t="shared" si="13"/>
        <v>100</v>
      </c>
      <c r="V41" s="708" t="s">
        <v>14</v>
      </c>
      <c r="W41" s="709">
        <f t="shared" si="14"/>
        <v>100</v>
      </c>
      <c r="X41" s="710"/>
      <c r="Y41" s="368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4"/>
      <c r="Q42" s="1352" t="str">
        <f t="shared" si="11"/>
        <v>内部装修</v>
      </c>
      <c r="R42" s="705" t="s">
        <v>14</v>
      </c>
      <c r="S42" s="706">
        <f t="shared" si="12"/>
        <v>100</v>
      </c>
      <c r="T42" s="705" t="s">
        <v>14</v>
      </c>
      <c r="U42" s="706">
        <f t="shared" si="13"/>
        <v>100</v>
      </c>
      <c r="V42" s="705" t="s">
        <v>14</v>
      </c>
      <c r="W42" s="706">
        <f t="shared" si="14"/>
        <v>100</v>
      </c>
      <c r="X42" s="1355"/>
      <c r="Y42" s="368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4"/>
      <c r="Q43" s="1352" t="str">
        <f t="shared" si="11"/>
        <v>内部装修维护情况</v>
      </c>
      <c r="R43" s="705" t="s">
        <v>14</v>
      </c>
      <c r="S43" s="706">
        <f t="shared" si="12"/>
        <v>100</v>
      </c>
      <c r="T43" s="705" t="s">
        <v>14</v>
      </c>
      <c r="U43" s="706">
        <f t="shared" si="13"/>
        <v>100</v>
      </c>
      <c r="V43" s="705" t="s">
        <v>14</v>
      </c>
      <c r="W43" s="706">
        <f t="shared" si="14"/>
        <v>100</v>
      </c>
      <c r="X43" s="1355"/>
      <c r="Y43" s="368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4"/>
      <c r="Q44" s="1343">
        <f t="shared" si="11"/>
        <v>111</v>
      </c>
      <c r="R44" s="701" t="s">
        <v>14</v>
      </c>
      <c r="S44" s="702">
        <f t="shared" si="12"/>
        <v>100</v>
      </c>
      <c r="T44" s="701" t="s">
        <v>14</v>
      </c>
      <c r="U44" s="702">
        <f t="shared" si="13"/>
        <v>100</v>
      </c>
      <c r="V44" s="701" t="s">
        <v>14</v>
      </c>
      <c r="W44" s="702">
        <f t="shared" si="14"/>
        <v>100</v>
      </c>
      <c r="X44" s="703"/>
      <c r="Y44" s="368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4"/>
      <c r="Q45" s="1352">
        <f t="shared" si="11"/>
        <v>111</v>
      </c>
      <c r="R45" s="705" t="s">
        <v>14</v>
      </c>
      <c r="S45" s="706">
        <f t="shared" si="12"/>
        <v>100</v>
      </c>
      <c r="T45" s="705" t="s">
        <v>14</v>
      </c>
      <c r="U45" s="706">
        <f t="shared" si="13"/>
        <v>100</v>
      </c>
      <c r="V45" s="705" t="s">
        <v>14</v>
      </c>
      <c r="W45" s="706">
        <f t="shared" si="14"/>
        <v>100</v>
      </c>
      <c r="X45" s="1355"/>
      <c r="Y45" s="368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5"/>
      <c r="Q46" s="1352">
        <f t="shared" si="11"/>
        <v>111</v>
      </c>
      <c r="R46" s="705" t="s">
        <v>14</v>
      </c>
      <c r="S46" s="706">
        <f t="shared" si="12"/>
        <v>100</v>
      </c>
      <c r="T46" s="705" t="s">
        <v>14</v>
      </c>
      <c r="U46" s="706">
        <f t="shared" si="13"/>
        <v>100</v>
      </c>
      <c r="V46" s="705" t="s">
        <v>14</v>
      </c>
      <c r="W46" s="706">
        <f t="shared" si="14"/>
        <v>100</v>
      </c>
      <c r="X46" s="1355"/>
      <c r="Y46" s="368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9" t="str">
        <f>A47</f>
        <v>成交单价（元/平方米）</v>
      </c>
      <c r="Q47" s="3679"/>
      <c r="R47" s="3710">
        <f>E47</f>
        <v>0</v>
      </c>
      <c r="S47" s="3710"/>
      <c r="T47" s="3710">
        <f>G47</f>
        <v>0</v>
      </c>
      <c r="U47" s="3710"/>
      <c r="V47" s="3710">
        <f>I47</f>
        <v>0</v>
      </c>
      <c r="W47" s="371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126.25999999999999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763" t="s">
        <v>1775</v>
      </c>
      <c r="Q4" s="3764"/>
      <c r="R4" s="3767" t="s">
        <v>1771</v>
      </c>
      <c r="S4" s="3768"/>
      <c r="T4" s="3767" t="s">
        <v>1772</v>
      </c>
      <c r="U4" s="3768"/>
      <c r="V4" s="3769" t="s">
        <v>1773</v>
      </c>
      <c r="W4" s="3769"/>
      <c r="X4" s="1958"/>
      <c r="Y4" s="3767" t="s">
        <v>1775</v>
      </c>
      <c r="Z4" s="3768"/>
      <c r="AA4" s="3771" t="s">
        <v>1771</v>
      </c>
      <c r="AB4" s="3771" t="s">
        <v>1772</v>
      </c>
      <c r="AC4" s="3760" t="s">
        <v>1773</v>
      </c>
    </row>
    <row r="5" spans="1:29" ht="15">
      <c r="A5" s="358"/>
      <c r="B5" s="359"/>
      <c r="C5" s="3713" t="s">
        <v>1673</v>
      </c>
      <c r="D5" s="3714"/>
      <c r="E5" s="3720" t="s">
        <v>1674</v>
      </c>
      <c r="F5" s="3721"/>
      <c r="G5" s="3713" t="s">
        <v>1675</v>
      </c>
      <c r="H5" s="3714"/>
      <c r="I5" s="3713" t="s">
        <v>1676</v>
      </c>
      <c r="J5" s="3714"/>
      <c r="K5" s="559"/>
      <c r="L5" s="2715"/>
      <c r="M5" s="2716"/>
      <c r="N5" s="2716"/>
      <c r="O5" s="2716"/>
      <c r="P5" s="3765"/>
      <c r="Q5" s="3701"/>
      <c r="R5" s="3706"/>
      <c r="S5" s="3707"/>
      <c r="T5" s="3706"/>
      <c r="U5" s="3707"/>
      <c r="V5" s="3710"/>
      <c r="W5" s="3710"/>
      <c r="X5" s="1355"/>
      <c r="Y5" s="3706"/>
      <c r="Z5" s="3707"/>
      <c r="AA5" s="3692"/>
      <c r="AB5" s="3692"/>
      <c r="AC5" s="3761"/>
    </row>
    <row r="6" spans="1:29" ht="15.75" thickBot="1">
      <c r="A6" s="360"/>
      <c r="B6" s="361"/>
      <c r="C6" s="3711" t="s">
        <v>1677</v>
      </c>
      <c r="D6" s="3712"/>
      <c r="E6" s="3718" t="s">
        <v>1677</v>
      </c>
      <c r="F6" s="3719"/>
      <c r="G6" s="3711" t="s">
        <v>1677</v>
      </c>
      <c r="H6" s="3712"/>
      <c r="I6" s="3711" t="s">
        <v>1677</v>
      </c>
      <c r="J6" s="3712"/>
      <c r="K6" s="559" t="s">
        <v>1678</v>
      </c>
      <c r="L6" s="2715"/>
      <c r="M6" s="2716"/>
      <c r="N6" s="2716"/>
      <c r="O6" s="2716"/>
      <c r="P6" s="3766"/>
      <c r="Q6" s="3703"/>
      <c r="R6" s="3706"/>
      <c r="S6" s="3707"/>
      <c r="T6" s="3708"/>
      <c r="U6" s="3709"/>
      <c r="V6" s="3710"/>
      <c r="W6" s="3710"/>
      <c r="X6" s="1355"/>
      <c r="Y6" s="3708"/>
      <c r="Z6" s="3709"/>
      <c r="AA6" s="3693"/>
      <c r="AB6" s="3693"/>
      <c r="AC6" s="3762"/>
    </row>
    <row r="7" spans="1:29" s="108" customFormat="1" ht="15.75" thickBot="1">
      <c r="A7" s="362" t="s">
        <v>1679</v>
      </c>
      <c r="B7" s="363"/>
      <c r="C7" s="364">
        <f>'数据-取费表'!B2</f>
        <v>45162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70"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70" t="s">
        <v>1683</v>
      </c>
      <c r="Q8" s="3716"/>
      <c r="R8" s="701" t="s">
        <v>14</v>
      </c>
      <c r="S8" s="702">
        <f t="shared" si="0"/>
        <v>100</v>
      </c>
      <c r="T8" s="701" t="s">
        <v>14</v>
      </c>
      <c r="U8" s="702">
        <f t="shared" si="1"/>
        <v>100</v>
      </c>
      <c r="V8" s="701" t="s">
        <v>14</v>
      </c>
      <c r="W8" s="702">
        <f t="shared" si="2"/>
        <v>100</v>
      </c>
      <c r="X8" s="703"/>
      <c r="Y8" s="3715" t="s">
        <v>1683</v>
      </c>
      <c r="Z8" s="371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0"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0"/>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0"/>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8" t="s">
        <v>1691</v>
      </c>
      <c r="Q15" s="1352" t="str">
        <f t="shared" si="6"/>
        <v>办公集聚程度</v>
      </c>
      <c r="R15" s="705" t="s">
        <v>14</v>
      </c>
      <c r="S15" s="706">
        <f t="shared" si="0"/>
        <v>100</v>
      </c>
      <c r="T15" s="705" t="s">
        <v>14</v>
      </c>
      <c r="U15" s="706">
        <f t="shared" si="1"/>
        <v>100</v>
      </c>
      <c r="V15" s="705" t="s">
        <v>14</v>
      </c>
      <c r="W15" s="706">
        <f t="shared" si="2"/>
        <v>100</v>
      </c>
      <c r="X15" s="1355"/>
      <c r="Y15" s="368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9"/>
      <c r="Q16" s="1352"/>
      <c r="R16" s="705"/>
      <c r="S16" s="706"/>
      <c r="T16" s="705"/>
      <c r="U16" s="706"/>
      <c r="V16" s="705"/>
      <c r="W16" s="706"/>
      <c r="X16" s="1355"/>
      <c r="Y16" s="368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9"/>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9"/>
      <c r="Q18" s="1352"/>
      <c r="R18" s="705"/>
      <c r="S18" s="706"/>
      <c r="T18" s="705"/>
      <c r="U18" s="706"/>
      <c r="V18" s="705"/>
      <c r="W18" s="706"/>
      <c r="X18" s="1355"/>
      <c r="Y18" s="368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9"/>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9"/>
      <c r="Q20" s="1352"/>
      <c r="R20" s="705"/>
      <c r="S20" s="706"/>
      <c r="T20" s="705"/>
      <c r="U20" s="706"/>
      <c r="V20" s="705"/>
      <c r="W20" s="706"/>
      <c r="X20" s="1355"/>
      <c r="Y20" s="368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9"/>
      <c r="Q22" s="1352"/>
      <c r="R22" s="705"/>
      <c r="S22" s="706"/>
      <c r="T22" s="705"/>
      <c r="U22" s="706"/>
      <c r="V22" s="705"/>
      <c r="W22" s="706"/>
      <c r="X22" s="1355"/>
      <c r="Y22" s="368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9"/>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9"/>
      <c r="Q24" s="1352"/>
      <c r="R24" s="705"/>
      <c r="S24" s="706"/>
      <c r="T24" s="705"/>
      <c r="U24" s="706"/>
      <c r="V24" s="705"/>
      <c r="W24" s="706"/>
      <c r="X24" s="1355"/>
      <c r="Y24" s="368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9"/>
      <c r="Q25" s="1352" t="str">
        <f>B25</f>
        <v>毗邻道路的类型与等级</v>
      </c>
      <c r="R25" s="705" t="s">
        <v>14</v>
      </c>
      <c r="S25" s="706">
        <f>F25</f>
        <v>100</v>
      </c>
      <c r="T25" s="705" t="s">
        <v>14</v>
      </c>
      <c r="U25" s="706">
        <f>H25</f>
        <v>100</v>
      </c>
      <c r="V25" s="705" t="s">
        <v>14</v>
      </c>
      <c r="W25" s="706">
        <f>J25</f>
        <v>100</v>
      </c>
      <c r="X25" s="1355"/>
      <c r="Y25" s="368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9"/>
      <c r="Q26" s="1352"/>
      <c r="R26" s="705"/>
      <c r="S26" s="706"/>
      <c r="T26" s="705"/>
      <c r="U26" s="706"/>
      <c r="V26" s="705"/>
      <c r="W26" s="706"/>
      <c r="X26" s="1355"/>
      <c r="Y26" s="368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9"/>
      <c r="Q27" s="1352" t="str">
        <f t="shared" ref="Q27:Q47" si="11">B27</f>
        <v>楼层</v>
      </c>
      <c r="R27" s="705" t="s">
        <v>14</v>
      </c>
      <c r="S27" s="706">
        <f>F27</f>
        <v>100</v>
      </c>
      <c r="T27" s="705" t="s">
        <v>14</v>
      </c>
      <c r="U27" s="706">
        <f>H27</f>
        <v>100</v>
      </c>
      <c r="V27" s="705" t="s">
        <v>14</v>
      </c>
      <c r="W27" s="706">
        <f>J27</f>
        <v>100</v>
      </c>
      <c r="X27" s="1355"/>
      <c r="Y27" s="368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9"/>
      <c r="Q28" s="1343" t="str">
        <f t="shared" si="11"/>
        <v>朝向</v>
      </c>
      <c r="R28" s="701" t="s">
        <v>14</v>
      </c>
      <c r="S28" s="702">
        <f>F28</f>
        <v>100</v>
      </c>
      <c r="T28" s="701" t="s">
        <v>14</v>
      </c>
      <c r="U28" s="702">
        <f>H28</f>
        <v>100</v>
      </c>
      <c r="V28" s="701" t="s">
        <v>14</v>
      </c>
      <c r="W28" s="702">
        <f>J28</f>
        <v>100</v>
      </c>
      <c r="X28" s="703"/>
      <c r="Y28" s="368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9"/>
      <c r="Q29" s="1352">
        <f t="shared" si="11"/>
        <v>111</v>
      </c>
      <c r="R29" s="705" t="s">
        <v>14</v>
      </c>
      <c r="S29" s="706">
        <f t="shared" ref="S29:S47" si="12">F29</f>
        <v>100</v>
      </c>
      <c r="T29" s="705" t="s">
        <v>14</v>
      </c>
      <c r="U29" s="706">
        <f t="shared" ref="U29:U47" si="13">H29</f>
        <v>100</v>
      </c>
      <c r="V29" s="705" t="s">
        <v>14</v>
      </c>
      <c r="W29" s="706">
        <f t="shared" ref="W29:W47" si="14">J29</f>
        <v>100</v>
      </c>
      <c r="X29" s="1355"/>
      <c r="Y29" s="368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9"/>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9"/>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9"/>
      <c r="Q32" s="1352">
        <f t="shared" si="11"/>
        <v>111</v>
      </c>
      <c r="R32" s="705" t="s">
        <v>14</v>
      </c>
      <c r="S32" s="706">
        <f t="shared" si="12"/>
        <v>100</v>
      </c>
      <c r="T32" s="705" t="s">
        <v>14</v>
      </c>
      <c r="U32" s="706">
        <f t="shared" si="13"/>
        <v>100</v>
      </c>
      <c r="V32" s="705" t="s">
        <v>14</v>
      </c>
      <c r="W32" s="706">
        <f t="shared" si="14"/>
        <v>100</v>
      </c>
      <c r="X32" s="1355"/>
      <c r="Y32" s="368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3" t="s">
        <v>1696</v>
      </c>
      <c r="Q33" s="1352" t="str">
        <f t="shared" si="11"/>
        <v>建筑类型</v>
      </c>
      <c r="R33" s="705" t="s">
        <v>14</v>
      </c>
      <c r="S33" s="706">
        <f t="shared" si="12"/>
        <v>100</v>
      </c>
      <c r="T33" s="705" t="s">
        <v>14</v>
      </c>
      <c r="U33" s="706">
        <f t="shared" si="13"/>
        <v>100</v>
      </c>
      <c r="V33" s="705" t="s">
        <v>14</v>
      </c>
      <c r="W33" s="706">
        <f t="shared" si="14"/>
        <v>100</v>
      </c>
      <c r="X33" s="1355"/>
      <c r="Y33" s="368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4"/>
      <c r="Q34" s="707" t="str">
        <f t="shared" si="11"/>
        <v>项目建筑规模</v>
      </c>
      <c r="R34" s="708" t="s">
        <v>14</v>
      </c>
      <c r="S34" s="709" t="e">
        <f t="shared" si="12"/>
        <v>#N/A</v>
      </c>
      <c r="T34" s="708" t="s">
        <v>14</v>
      </c>
      <c r="U34" s="709" t="e">
        <f t="shared" si="13"/>
        <v>#N/A</v>
      </c>
      <c r="V34" s="708" t="s">
        <v>14</v>
      </c>
      <c r="W34" s="709" t="e">
        <f t="shared" si="14"/>
        <v>#N/A</v>
      </c>
      <c r="X34" s="710"/>
      <c r="Y34" s="368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4"/>
      <c r="Q35" s="1352" t="str">
        <f t="shared" si="11"/>
        <v>建筑结构</v>
      </c>
      <c r="R35" s="705" t="s">
        <v>14</v>
      </c>
      <c r="S35" s="706">
        <f t="shared" si="12"/>
        <v>100</v>
      </c>
      <c r="T35" s="705" t="s">
        <v>14</v>
      </c>
      <c r="U35" s="706">
        <f t="shared" si="13"/>
        <v>100</v>
      </c>
      <c r="V35" s="705" t="s">
        <v>14</v>
      </c>
      <c r="W35" s="706">
        <f t="shared" si="14"/>
        <v>100</v>
      </c>
      <c r="X35" s="1355"/>
      <c r="Y35" s="368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4"/>
      <c r="Q36" s="1352" t="str">
        <f t="shared" si="11"/>
        <v>公共部分装修</v>
      </c>
      <c r="R36" s="705" t="s">
        <v>14</v>
      </c>
      <c r="S36" s="706">
        <f t="shared" si="12"/>
        <v>100</v>
      </c>
      <c r="T36" s="705" t="s">
        <v>14</v>
      </c>
      <c r="U36" s="706">
        <f t="shared" si="13"/>
        <v>100</v>
      </c>
      <c r="V36" s="705" t="s">
        <v>14</v>
      </c>
      <c r="W36" s="706">
        <f t="shared" si="14"/>
        <v>100</v>
      </c>
      <c r="X36" s="1355"/>
      <c r="Y36" s="368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4"/>
      <c r="Q37" s="1352" t="str">
        <f t="shared" si="11"/>
        <v>成新度</v>
      </c>
      <c r="R37" s="705" t="s">
        <v>14</v>
      </c>
      <c r="S37" s="706" t="e">
        <f t="shared" si="12"/>
        <v>#N/A</v>
      </c>
      <c r="T37" s="705" t="s">
        <v>14</v>
      </c>
      <c r="U37" s="706" t="e">
        <f t="shared" si="13"/>
        <v>#N/A</v>
      </c>
      <c r="V37" s="705" t="s">
        <v>14</v>
      </c>
      <c r="W37" s="706" t="e">
        <f t="shared" si="14"/>
        <v>#N/A</v>
      </c>
      <c r="X37" s="1355"/>
      <c r="Y37" s="368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4"/>
      <c r="Q38" s="1343" t="str">
        <f t="shared" si="11"/>
        <v>写字楼等级</v>
      </c>
      <c r="R38" s="701" t="s">
        <v>14</v>
      </c>
      <c r="S38" s="702">
        <f t="shared" si="12"/>
        <v>100</v>
      </c>
      <c r="T38" s="701" t="s">
        <v>14</v>
      </c>
      <c r="U38" s="702">
        <f t="shared" si="13"/>
        <v>100</v>
      </c>
      <c r="V38" s="701" t="s">
        <v>14</v>
      </c>
      <c r="W38" s="702">
        <f t="shared" si="14"/>
        <v>100</v>
      </c>
      <c r="X38" s="703"/>
      <c r="Y38" s="368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4" t="s">
        <v>1696</v>
      </c>
      <c r="Q39" s="1352" t="str">
        <f t="shared" si="11"/>
        <v>物业管理</v>
      </c>
      <c r="R39" s="705" t="s">
        <v>14</v>
      </c>
      <c r="S39" s="706">
        <f t="shared" si="12"/>
        <v>100</v>
      </c>
      <c r="T39" s="705" t="s">
        <v>14</v>
      </c>
      <c r="U39" s="706">
        <f t="shared" si="13"/>
        <v>100</v>
      </c>
      <c r="V39" s="705" t="s">
        <v>14</v>
      </c>
      <c r="W39" s="706">
        <f t="shared" si="14"/>
        <v>100</v>
      </c>
      <c r="X39" s="1355"/>
      <c r="Y39" s="368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4"/>
      <c r="Q40" s="1352" t="str">
        <f t="shared" si="11"/>
        <v>市政基础设施</v>
      </c>
      <c r="R40" s="705" t="s">
        <v>14</v>
      </c>
      <c r="S40" s="706">
        <f t="shared" si="12"/>
        <v>100</v>
      </c>
      <c r="T40" s="705" t="s">
        <v>14</v>
      </c>
      <c r="U40" s="706">
        <f t="shared" si="13"/>
        <v>100</v>
      </c>
      <c r="V40" s="705" t="s">
        <v>14</v>
      </c>
      <c r="W40" s="706">
        <f t="shared" si="14"/>
        <v>100</v>
      </c>
      <c r="X40" s="1355"/>
      <c r="Y40" s="368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4"/>
      <c r="Q41" s="1352" t="str">
        <f t="shared" si="11"/>
        <v>层高</v>
      </c>
      <c r="R41" s="705" t="s">
        <v>14</v>
      </c>
      <c r="S41" s="706">
        <f t="shared" si="12"/>
        <v>100</v>
      </c>
      <c r="T41" s="705" t="s">
        <v>14</v>
      </c>
      <c r="U41" s="706">
        <f t="shared" si="13"/>
        <v>100</v>
      </c>
      <c r="V41" s="705" t="s">
        <v>14</v>
      </c>
      <c r="W41" s="706">
        <f t="shared" si="14"/>
        <v>100</v>
      </c>
      <c r="X41" s="1355"/>
      <c r="Y41" s="368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4"/>
      <c r="Q42" s="707" t="str">
        <f t="shared" si="11"/>
        <v>单套建筑面积</v>
      </c>
      <c r="R42" s="708" t="s">
        <v>14</v>
      </c>
      <c r="S42" s="709">
        <f t="shared" si="12"/>
        <v>100</v>
      </c>
      <c r="T42" s="708" t="s">
        <v>14</v>
      </c>
      <c r="U42" s="709">
        <f t="shared" si="13"/>
        <v>100</v>
      </c>
      <c r="V42" s="708" t="s">
        <v>14</v>
      </c>
      <c r="W42" s="709">
        <f t="shared" si="14"/>
        <v>100</v>
      </c>
      <c r="X42" s="710"/>
      <c r="Y42" s="368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4"/>
      <c r="Q43" s="1352" t="str">
        <f t="shared" si="11"/>
        <v>内部装修</v>
      </c>
      <c r="R43" s="705" t="s">
        <v>14</v>
      </c>
      <c r="S43" s="706">
        <f t="shared" si="12"/>
        <v>100</v>
      </c>
      <c r="T43" s="705" t="s">
        <v>14</v>
      </c>
      <c r="U43" s="706">
        <f t="shared" si="13"/>
        <v>100</v>
      </c>
      <c r="V43" s="705" t="s">
        <v>14</v>
      </c>
      <c r="W43" s="706">
        <f t="shared" si="14"/>
        <v>100</v>
      </c>
      <c r="X43" s="1355"/>
      <c r="Y43" s="368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4"/>
      <c r="Q44" s="1352" t="str">
        <f t="shared" si="11"/>
        <v>内部装修维护情况</v>
      </c>
      <c r="R44" s="705" t="s">
        <v>14</v>
      </c>
      <c r="S44" s="706">
        <f t="shared" si="12"/>
        <v>100</v>
      </c>
      <c r="T44" s="705" t="s">
        <v>14</v>
      </c>
      <c r="U44" s="706">
        <f t="shared" si="13"/>
        <v>100</v>
      </c>
      <c r="V44" s="705" t="s">
        <v>14</v>
      </c>
      <c r="W44" s="706">
        <f t="shared" si="14"/>
        <v>100</v>
      </c>
      <c r="X44" s="1355"/>
      <c r="Y44" s="368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4"/>
      <c r="Q45" s="1343">
        <f t="shared" si="11"/>
        <v>111</v>
      </c>
      <c r="R45" s="701" t="s">
        <v>14</v>
      </c>
      <c r="S45" s="702">
        <f t="shared" si="12"/>
        <v>100</v>
      </c>
      <c r="T45" s="701" t="s">
        <v>14</v>
      </c>
      <c r="U45" s="702">
        <f t="shared" si="13"/>
        <v>100</v>
      </c>
      <c r="V45" s="701" t="s">
        <v>14</v>
      </c>
      <c r="W45" s="702">
        <f t="shared" si="14"/>
        <v>100</v>
      </c>
      <c r="X45" s="703"/>
      <c r="Y45" s="368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4"/>
      <c r="Q46" s="1352">
        <f t="shared" si="11"/>
        <v>111</v>
      </c>
      <c r="R46" s="705" t="s">
        <v>14</v>
      </c>
      <c r="S46" s="706">
        <f t="shared" si="12"/>
        <v>100</v>
      </c>
      <c r="T46" s="705" t="s">
        <v>14</v>
      </c>
      <c r="U46" s="706">
        <f t="shared" si="13"/>
        <v>100</v>
      </c>
      <c r="V46" s="705" t="s">
        <v>14</v>
      </c>
      <c r="W46" s="706">
        <f t="shared" si="14"/>
        <v>100</v>
      </c>
      <c r="X46" s="1355"/>
      <c r="Y46" s="368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5"/>
      <c r="Q47" s="1352">
        <f t="shared" si="11"/>
        <v>111</v>
      </c>
      <c r="R47" s="705" t="s">
        <v>14</v>
      </c>
      <c r="S47" s="706">
        <f t="shared" si="12"/>
        <v>100</v>
      </c>
      <c r="T47" s="705" t="s">
        <v>14</v>
      </c>
      <c r="U47" s="706">
        <f t="shared" si="13"/>
        <v>100</v>
      </c>
      <c r="V47" s="705" t="s">
        <v>14</v>
      </c>
      <c r="W47" s="706">
        <f t="shared" si="14"/>
        <v>100</v>
      </c>
      <c r="X47" s="1355"/>
      <c r="Y47" s="368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0" t="str">
        <f>A48</f>
        <v>成交单价（元/平方米）</v>
      </c>
      <c r="Q48" s="3679"/>
      <c r="R48" s="3680">
        <f>E48</f>
        <v>0</v>
      </c>
      <c r="S48" s="3680"/>
      <c r="T48" s="3680">
        <f>G48</f>
        <v>0</v>
      </c>
      <c r="U48" s="3680"/>
      <c r="V48" s="3680">
        <f>I48</f>
        <v>0</v>
      </c>
      <c r="W48" s="368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0"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7" t="str">
        <f>A50</f>
        <v>估价对象XX用房的比较价值（楼面单价，元/平方米）</v>
      </c>
      <c r="Q50" s="3758"/>
      <c r="R50" s="3759" t="e">
        <f>IF(F1="售价",ROUND(IF(D49="简单平均",AVERAGE(R49:V49),R49*F49+T49*H49+V49*J49),0),ROUND(IF(D49="简单平均",AVERAGE(R49:V49),R49*F49+T49*H49+V49*J49),1))</f>
        <v>#DIV/0!</v>
      </c>
      <c r="S50" s="3759"/>
      <c r="T50" s="3759"/>
      <c r="U50" s="3759"/>
      <c r="V50" s="3759"/>
      <c r="W50" s="375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126.25999999999999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913"/>
      <c r="M4" s="914"/>
      <c r="N4" s="914"/>
      <c r="O4" s="914"/>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29" ht="15">
      <c r="A5" s="358"/>
      <c r="B5" s="359"/>
      <c r="C5" s="3713" t="s">
        <v>1673</v>
      </c>
      <c r="D5" s="3714"/>
      <c r="E5" s="3720" t="s">
        <v>1674</v>
      </c>
      <c r="F5" s="3721"/>
      <c r="G5" s="3713" t="s">
        <v>1675</v>
      </c>
      <c r="H5" s="3714"/>
      <c r="I5" s="3713" t="s">
        <v>1676</v>
      </c>
      <c r="J5" s="3714"/>
      <c r="K5" s="559"/>
      <c r="L5" s="913"/>
      <c r="M5" s="914"/>
      <c r="N5" s="914"/>
      <c r="O5" s="914"/>
      <c r="P5" s="3700"/>
      <c r="Q5" s="3701"/>
      <c r="R5" s="3706"/>
      <c r="S5" s="3707"/>
      <c r="T5" s="3706"/>
      <c r="U5" s="3707"/>
      <c r="V5" s="3710"/>
      <c r="W5" s="3710"/>
      <c r="X5" s="1355"/>
      <c r="Y5" s="3706"/>
      <c r="Z5" s="3707"/>
      <c r="AA5" s="3692"/>
      <c r="AB5" s="3692"/>
      <c r="AC5" s="3692"/>
    </row>
    <row r="6" spans="1:29" ht="15.75" thickBot="1">
      <c r="A6" s="360"/>
      <c r="B6" s="361"/>
      <c r="C6" s="3711" t="s">
        <v>1677</v>
      </c>
      <c r="D6" s="3712"/>
      <c r="E6" s="3718" t="s">
        <v>1677</v>
      </c>
      <c r="F6" s="3719"/>
      <c r="G6" s="3711" t="s">
        <v>1677</v>
      </c>
      <c r="H6" s="3712"/>
      <c r="I6" s="3711" t="s">
        <v>1677</v>
      </c>
      <c r="J6" s="3712"/>
      <c r="K6" s="559" t="s">
        <v>1678</v>
      </c>
      <c r="L6" s="913"/>
      <c r="M6" s="914"/>
      <c r="N6" s="914"/>
      <c r="O6" s="914"/>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45162</v>
      </c>
      <c r="D7" s="365">
        <v>100</v>
      </c>
      <c r="E7" s="366"/>
      <c r="F7" s="367">
        <f>SUMIF(52:52,YEAR(E7)&amp;"-"&amp;MONTH(E7),53:53)</f>
        <v>0</v>
      </c>
      <c r="G7" s="366"/>
      <c r="H7" s="365">
        <f>SUMIF(52:52,YEAR(G7)&amp;"-"&amp;MONTH(G7),53:53)</f>
        <v>0</v>
      </c>
      <c r="I7" s="366"/>
      <c r="J7" s="365">
        <f>SUMIF(52:52,YEAR(I7)&amp;"-"&amp;MONTH(I7),53:53)</f>
        <v>0</v>
      </c>
      <c r="K7" s="560"/>
      <c r="L7" s="915"/>
      <c r="M7" s="916"/>
      <c r="N7" s="916"/>
      <c r="O7" s="916"/>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5" t="s">
        <v>1683</v>
      </c>
      <c r="Q8" s="3716"/>
      <c r="R8" s="701" t="s">
        <v>14</v>
      </c>
      <c r="S8" s="702">
        <f t="shared" si="0"/>
        <v>100</v>
      </c>
      <c r="T8" s="701" t="s">
        <v>14</v>
      </c>
      <c r="U8" s="702">
        <f t="shared" si="1"/>
        <v>100</v>
      </c>
      <c r="V8" s="701" t="s">
        <v>14</v>
      </c>
      <c r="W8" s="702">
        <f t="shared" si="2"/>
        <v>100</v>
      </c>
      <c r="X8" s="703"/>
      <c r="Y8" s="3715" t="s">
        <v>1683</v>
      </c>
      <c r="Z8" s="371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9"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9"/>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9"/>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9"/>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9"/>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9"/>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1" t="s">
        <v>1691</v>
      </c>
      <c r="Q15" s="1352" t="str">
        <f t="shared" si="6"/>
        <v>产业集聚程度</v>
      </c>
      <c r="R15" s="705" t="s">
        <v>14</v>
      </c>
      <c r="S15" s="706">
        <f t="shared" si="0"/>
        <v>100</v>
      </c>
      <c r="T15" s="705" t="s">
        <v>14</v>
      </c>
      <c r="U15" s="706">
        <f t="shared" si="1"/>
        <v>100</v>
      </c>
      <c r="V15" s="705" t="s">
        <v>14</v>
      </c>
      <c r="W15" s="706">
        <f t="shared" si="2"/>
        <v>100</v>
      </c>
      <c r="X15" s="1355"/>
      <c r="Y15" s="368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2"/>
      <c r="Q16" s="1352"/>
      <c r="R16" s="705"/>
      <c r="S16" s="706"/>
      <c r="T16" s="705"/>
      <c r="U16" s="706"/>
      <c r="V16" s="705"/>
      <c r="W16" s="706"/>
      <c r="X16" s="1355"/>
      <c r="Y16" s="368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2"/>
      <c r="Q18" s="1352"/>
      <c r="R18" s="705"/>
      <c r="S18" s="706"/>
      <c r="T18" s="705"/>
      <c r="U18" s="706"/>
      <c r="V18" s="705"/>
      <c r="W18" s="706"/>
      <c r="X18" s="1355"/>
      <c r="Y18" s="368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2"/>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2"/>
      <c r="Q20" s="1352"/>
      <c r="R20" s="705"/>
      <c r="S20" s="706"/>
      <c r="T20" s="705"/>
      <c r="U20" s="706"/>
      <c r="V20" s="705"/>
      <c r="W20" s="706"/>
      <c r="X20" s="1355"/>
      <c r="Y20" s="368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2"/>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2"/>
      <c r="Q22" s="1352"/>
      <c r="R22" s="705"/>
      <c r="S22" s="706"/>
      <c r="T22" s="705"/>
      <c r="U22" s="706"/>
      <c r="V22" s="705"/>
      <c r="W22" s="706"/>
      <c r="X22" s="1355"/>
      <c r="Y22" s="368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2"/>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2"/>
      <c r="Q24" s="1352"/>
      <c r="R24" s="705"/>
      <c r="S24" s="706"/>
      <c r="T24" s="705"/>
      <c r="U24" s="706"/>
      <c r="V24" s="705"/>
      <c r="W24" s="706"/>
      <c r="X24" s="1355"/>
      <c r="Y24" s="368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2"/>
      <c r="Q25" s="1352">
        <f>B25</f>
        <v>111</v>
      </c>
      <c r="R25" s="705" t="s">
        <v>14</v>
      </c>
      <c r="S25" s="706">
        <f>F25</f>
        <v>100</v>
      </c>
      <c r="T25" s="705" t="s">
        <v>14</v>
      </c>
      <c r="U25" s="706">
        <f>H25</f>
        <v>100</v>
      </c>
      <c r="V25" s="705" t="s">
        <v>14</v>
      </c>
      <c r="W25" s="706">
        <f>J25</f>
        <v>100</v>
      </c>
      <c r="X25" s="1355"/>
      <c r="Y25" s="368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2"/>
      <c r="Q26" s="1352">
        <f t="shared" ref="Q26:Q40" si="11">B26</f>
        <v>111</v>
      </c>
      <c r="R26" s="705" t="s">
        <v>14</v>
      </c>
      <c r="S26" s="706">
        <f>F26</f>
        <v>100</v>
      </c>
      <c r="T26" s="705" t="s">
        <v>14</v>
      </c>
      <c r="U26" s="706">
        <f>H26</f>
        <v>100</v>
      </c>
      <c r="V26" s="705" t="s">
        <v>14</v>
      </c>
      <c r="W26" s="706">
        <f>J26</f>
        <v>100</v>
      </c>
      <c r="X26" s="1355"/>
      <c r="Y26" s="368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2"/>
      <c r="Q27" s="1343">
        <f t="shared" si="11"/>
        <v>111</v>
      </c>
      <c r="R27" s="701" t="s">
        <v>14</v>
      </c>
      <c r="S27" s="702">
        <f>F27</f>
        <v>100</v>
      </c>
      <c r="T27" s="701" t="s">
        <v>14</v>
      </c>
      <c r="U27" s="702">
        <f>H27</f>
        <v>100</v>
      </c>
      <c r="V27" s="701" t="s">
        <v>14</v>
      </c>
      <c r="W27" s="702">
        <f>J27</f>
        <v>100</v>
      </c>
      <c r="X27" s="703"/>
      <c r="Y27" s="368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2"/>
      <c r="Q28" s="1352">
        <f t="shared" si="11"/>
        <v>111</v>
      </c>
      <c r="R28" s="705" t="s">
        <v>14</v>
      </c>
      <c r="S28" s="706">
        <f t="shared" ref="S28:S40" si="12">F28</f>
        <v>100</v>
      </c>
      <c r="T28" s="705" t="s">
        <v>14</v>
      </c>
      <c r="U28" s="706">
        <f t="shared" ref="U28:U40" si="13">H28</f>
        <v>100</v>
      </c>
      <c r="V28" s="705" t="s">
        <v>14</v>
      </c>
      <c r="W28" s="706">
        <f t="shared" ref="W28:W40" si="14">J28</f>
        <v>100</v>
      </c>
      <c r="X28" s="1355"/>
      <c r="Y28" s="368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5" t="s">
        <v>1696</v>
      </c>
      <c r="Q29" s="1352" t="str">
        <f t="shared" si="11"/>
        <v>建筑类型</v>
      </c>
      <c r="R29" s="705" t="s">
        <v>14</v>
      </c>
      <c r="S29" s="706">
        <f t="shared" si="12"/>
        <v>100</v>
      </c>
      <c r="T29" s="705" t="s">
        <v>14</v>
      </c>
      <c r="U29" s="706">
        <f t="shared" si="13"/>
        <v>100</v>
      </c>
      <c r="V29" s="705" t="s">
        <v>14</v>
      </c>
      <c r="W29" s="706">
        <f t="shared" si="14"/>
        <v>100</v>
      </c>
      <c r="X29" s="1355"/>
      <c r="Y29" s="368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6"/>
      <c r="Q30" s="707" t="str">
        <f t="shared" si="11"/>
        <v>项目建筑规模</v>
      </c>
      <c r="R30" s="708" t="s">
        <v>14</v>
      </c>
      <c r="S30" s="709" t="e">
        <f t="shared" si="12"/>
        <v>#N/A</v>
      </c>
      <c r="T30" s="708" t="s">
        <v>14</v>
      </c>
      <c r="U30" s="709" t="e">
        <f t="shared" si="13"/>
        <v>#N/A</v>
      </c>
      <c r="V30" s="708" t="s">
        <v>14</v>
      </c>
      <c r="W30" s="709" t="e">
        <f t="shared" si="14"/>
        <v>#N/A</v>
      </c>
      <c r="X30" s="710"/>
      <c r="Y30" s="368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6"/>
      <c r="Q31" s="1352" t="str">
        <f t="shared" si="11"/>
        <v>建筑结构</v>
      </c>
      <c r="R31" s="705" t="s">
        <v>14</v>
      </c>
      <c r="S31" s="706">
        <f t="shared" si="12"/>
        <v>100</v>
      </c>
      <c r="T31" s="705" t="s">
        <v>14</v>
      </c>
      <c r="U31" s="706">
        <f t="shared" si="13"/>
        <v>100</v>
      </c>
      <c r="V31" s="705" t="s">
        <v>14</v>
      </c>
      <c r="W31" s="706">
        <f t="shared" si="14"/>
        <v>100</v>
      </c>
      <c r="X31" s="1355"/>
      <c r="Y31" s="368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6"/>
      <c r="Q32" s="1352" t="str">
        <f t="shared" si="11"/>
        <v>公共部分装修</v>
      </c>
      <c r="R32" s="705" t="s">
        <v>14</v>
      </c>
      <c r="S32" s="706">
        <f t="shared" si="12"/>
        <v>100</v>
      </c>
      <c r="T32" s="705" t="s">
        <v>14</v>
      </c>
      <c r="U32" s="706">
        <f t="shared" si="13"/>
        <v>100</v>
      </c>
      <c r="V32" s="705" t="s">
        <v>14</v>
      </c>
      <c r="W32" s="706">
        <f t="shared" si="14"/>
        <v>100</v>
      </c>
      <c r="X32" s="1355"/>
      <c r="Y32" s="368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6"/>
      <c r="Q33" s="1352" t="str">
        <f t="shared" si="11"/>
        <v>成新度</v>
      </c>
      <c r="R33" s="705" t="s">
        <v>14</v>
      </c>
      <c r="S33" s="706" t="e">
        <f t="shared" si="12"/>
        <v>#N/A</v>
      </c>
      <c r="T33" s="705" t="s">
        <v>14</v>
      </c>
      <c r="U33" s="706" t="e">
        <f t="shared" si="13"/>
        <v>#N/A</v>
      </c>
      <c r="V33" s="705" t="s">
        <v>14</v>
      </c>
      <c r="W33" s="706" t="e">
        <f t="shared" si="14"/>
        <v>#N/A</v>
      </c>
      <c r="X33" s="1355"/>
      <c r="Y33" s="368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6"/>
      <c r="Q34" s="1343" t="str">
        <f t="shared" si="11"/>
        <v>物业管理</v>
      </c>
      <c r="R34" s="701" t="s">
        <v>14</v>
      </c>
      <c r="S34" s="702">
        <f t="shared" si="12"/>
        <v>100</v>
      </c>
      <c r="T34" s="701" t="s">
        <v>14</v>
      </c>
      <c r="U34" s="702">
        <f t="shared" si="13"/>
        <v>100</v>
      </c>
      <c r="V34" s="701" t="s">
        <v>14</v>
      </c>
      <c r="W34" s="702">
        <f t="shared" si="14"/>
        <v>100</v>
      </c>
      <c r="X34" s="703"/>
      <c r="Y34" s="368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6" t="s">
        <v>1696</v>
      </c>
      <c r="Q35" s="1352" t="str">
        <f t="shared" si="11"/>
        <v>市政基础设施</v>
      </c>
      <c r="R35" s="705" t="s">
        <v>14</v>
      </c>
      <c r="S35" s="706">
        <f t="shared" si="12"/>
        <v>100</v>
      </c>
      <c r="T35" s="705" t="s">
        <v>14</v>
      </c>
      <c r="U35" s="706">
        <f t="shared" si="13"/>
        <v>100</v>
      </c>
      <c r="V35" s="705" t="s">
        <v>14</v>
      </c>
      <c r="W35" s="706">
        <f t="shared" si="14"/>
        <v>100</v>
      </c>
      <c r="X35" s="1355"/>
      <c r="Y35" s="368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6"/>
      <c r="Q36" s="1352" t="str">
        <f t="shared" si="11"/>
        <v>内部装修</v>
      </c>
      <c r="R36" s="705" t="s">
        <v>14</v>
      </c>
      <c r="S36" s="706">
        <f t="shared" si="12"/>
        <v>100</v>
      </c>
      <c r="T36" s="705" t="s">
        <v>14</v>
      </c>
      <c r="U36" s="706">
        <f t="shared" si="13"/>
        <v>100</v>
      </c>
      <c r="V36" s="705" t="s">
        <v>14</v>
      </c>
      <c r="W36" s="706">
        <f t="shared" si="14"/>
        <v>100</v>
      </c>
      <c r="X36" s="1355"/>
      <c r="Y36" s="368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6"/>
      <c r="Q37" s="1352" t="str">
        <f t="shared" si="11"/>
        <v>内部装修状况</v>
      </c>
      <c r="R37" s="705" t="s">
        <v>14</v>
      </c>
      <c r="S37" s="706">
        <f t="shared" si="12"/>
        <v>100</v>
      </c>
      <c r="T37" s="705" t="s">
        <v>14</v>
      </c>
      <c r="U37" s="706">
        <f t="shared" si="13"/>
        <v>100</v>
      </c>
      <c r="V37" s="705" t="s">
        <v>14</v>
      </c>
      <c r="W37" s="706">
        <f t="shared" si="14"/>
        <v>100</v>
      </c>
      <c r="X37" s="1355"/>
      <c r="Y37" s="368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6"/>
      <c r="Q38" s="707">
        <f t="shared" si="11"/>
        <v>111</v>
      </c>
      <c r="R38" s="708" t="s">
        <v>14</v>
      </c>
      <c r="S38" s="709">
        <f t="shared" si="12"/>
        <v>100</v>
      </c>
      <c r="T38" s="708" t="s">
        <v>14</v>
      </c>
      <c r="U38" s="709">
        <f t="shared" si="13"/>
        <v>100</v>
      </c>
      <c r="V38" s="708" t="s">
        <v>14</v>
      </c>
      <c r="W38" s="709">
        <f t="shared" si="14"/>
        <v>100</v>
      </c>
      <c r="X38" s="710"/>
      <c r="Y38" s="368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6"/>
      <c r="Q39" s="1352">
        <f t="shared" si="11"/>
        <v>111</v>
      </c>
      <c r="R39" s="705" t="s">
        <v>14</v>
      </c>
      <c r="S39" s="706">
        <f t="shared" si="12"/>
        <v>100</v>
      </c>
      <c r="T39" s="705" t="s">
        <v>14</v>
      </c>
      <c r="U39" s="706">
        <f t="shared" si="13"/>
        <v>100</v>
      </c>
      <c r="V39" s="705" t="s">
        <v>14</v>
      </c>
      <c r="W39" s="706">
        <f t="shared" si="14"/>
        <v>100</v>
      </c>
      <c r="X39" s="1355"/>
      <c r="Y39" s="368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7"/>
      <c r="Q40" s="1352">
        <f t="shared" si="11"/>
        <v>111</v>
      </c>
      <c r="R40" s="705" t="s">
        <v>14</v>
      </c>
      <c r="S40" s="706">
        <f t="shared" si="12"/>
        <v>100</v>
      </c>
      <c r="T40" s="705" t="s">
        <v>14</v>
      </c>
      <c r="U40" s="706">
        <f t="shared" si="13"/>
        <v>100</v>
      </c>
      <c r="V40" s="705" t="s">
        <v>14</v>
      </c>
      <c r="W40" s="706">
        <f t="shared" si="14"/>
        <v>100</v>
      </c>
      <c r="X40" s="1355"/>
      <c r="Y40" s="368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9" t="str">
        <f>A41</f>
        <v>成交单价（元/平方米）</v>
      </c>
      <c r="Q41" s="3679"/>
      <c r="R41" s="3680">
        <f>E41</f>
        <v>0</v>
      </c>
      <c r="S41" s="3680"/>
      <c r="T41" s="3680">
        <f>G41</f>
        <v>0</v>
      </c>
      <c r="U41" s="3680"/>
      <c r="V41" s="3680">
        <f>I41</f>
        <v>0</v>
      </c>
      <c r="W41" s="368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6" t="str">
        <f>A43</f>
        <v>估价对象XX用房的比较价值（楼面单价，元/平方米）</v>
      </c>
      <c r="Q43" s="3677"/>
      <c r="R43" s="3678" t="e">
        <f>IF(F1="售价",ROUND(IF(D42="简单平均",AVERAGE(R42:V42),R42*F42+T42*H42+V42*J42),0),ROUND(IF(D42="简单平均",AVERAGE(R42:V42),R42*F42+T42*H42+V42*J42),1))</f>
        <v>#DIV/0!</v>
      </c>
      <c r="S43" s="3678"/>
      <c r="T43" s="3678"/>
      <c r="U43" s="3678"/>
      <c r="V43" s="3678"/>
      <c r="W43" s="367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48C4A-C5B8-4FAA-946E-48238773AC62}">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3338</v>
      </c>
      <c r="C1" s="1859" t="s">
        <v>1563</v>
      </c>
      <c r="D1" s="198"/>
      <c r="E1" s="198"/>
      <c r="F1" s="198"/>
      <c r="G1" s="1126">
        <f>MATCH(B1,'数据-取费表'!A6:A16,0)+5</f>
        <v>7</v>
      </c>
      <c r="H1" s="1061" t="str">
        <f>IF(ISERROR(FIND("住宅",B1)),"非住宅","住宅")</f>
        <v>非住宅</v>
      </c>
    </row>
    <row r="2" spans="1:8" s="200" customFormat="1" ht="18" customHeight="1">
      <c r="A2" s="201" t="s">
        <v>685</v>
      </c>
      <c r="B2" s="3424">
        <f ca="1">ROUND(IF(D2="——",C52/10000,C52/10000-E2),4)</f>
        <v>31.493200000000002</v>
      </c>
      <c r="C2" s="199" t="s">
        <v>1463</v>
      </c>
      <c r="D2" s="1853" t="s">
        <v>43</v>
      </c>
      <c r="E2" s="1169" t="e">
        <f ca="1">SUMIF(INDIRECT("'"&amp;G2&amp;"'"&amp;"!A:A"),"承租人权益价值",INDIRECT("'"&amp;G2&amp;"'"&amp;"!c:c"))</f>
        <v>#REF!</v>
      </c>
      <c r="F2" s="1854" t="s">
        <v>1463</v>
      </c>
      <c r="G2" s="1855"/>
    </row>
    <row r="3" spans="1:8" s="200" customFormat="1" ht="18" customHeight="1" thickBot="1">
      <c r="A3" s="203" t="s">
        <v>686</v>
      </c>
      <c r="B3" s="204">
        <f ca="1">ROUND(B2*10000/(IF(B1="",'数据-汇总表'!E3,INDIRECT("'数据-取费表'!k"&amp;$G$1))),0)</f>
        <v>8208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337</v>
      </c>
      <c r="B5" s="210" t="s">
        <v>1468</v>
      </c>
      <c r="C5" s="211">
        <f ca="1">C6+C7+C8</f>
        <v>80943</v>
      </c>
      <c r="D5" s="211" t="s">
        <v>1469</v>
      </c>
      <c r="E5" s="212" t="s">
        <v>1470</v>
      </c>
      <c r="F5" s="212" t="s">
        <v>1471</v>
      </c>
      <c r="G5" s="213"/>
    </row>
    <row r="6" spans="1:8" s="214" customFormat="1" ht="13.5" customHeight="1">
      <c r="A6" s="778" t="s">
        <v>346</v>
      </c>
      <c r="B6" s="215" t="s">
        <v>1473</v>
      </c>
      <c r="C6" s="216">
        <f>ROUND(基准地价修正!C42*基准地价修正!D42,0)</f>
        <v>71100</v>
      </c>
      <c r="D6" s="217"/>
      <c r="E6" s="218"/>
      <c r="F6" s="218"/>
      <c r="G6" s="219"/>
    </row>
    <row r="7" spans="1:8" s="214" customFormat="1" ht="13.5" customHeight="1">
      <c r="A7" s="778" t="s">
        <v>347</v>
      </c>
      <c r="B7" s="215" t="s">
        <v>1475</v>
      </c>
      <c r="C7" s="220">
        <f>ROUND(C6*F7,0)</f>
        <v>2169</v>
      </c>
      <c r="D7" s="220"/>
      <c r="E7" s="218"/>
      <c r="F7" s="221">
        <f>IF(项目基本情况!B8="出让",0,'数据-取费表'!B48+'数据-取费表'!B49)</f>
        <v>3.0499999999999999E-2</v>
      </c>
      <c r="G7" s="219"/>
    </row>
    <row r="8" spans="1:8" s="223" customFormat="1">
      <c r="A8" s="778" t="s">
        <v>348</v>
      </c>
      <c r="B8" s="215" t="s">
        <v>1477</v>
      </c>
      <c r="C8" s="220">
        <f ca="1">IF(G8="已包含在土地购买价格中",0,C9+C10)</f>
        <v>7674</v>
      </c>
      <c r="D8" s="222"/>
      <c r="E8" s="220"/>
      <c r="F8" s="221"/>
      <c r="G8" s="1856" t="s">
        <v>3399</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7674</v>
      </c>
      <c r="D10" s="845">
        <f ca="1">IF(B1="",'数据-汇总表'!E6,IF(INDIRECT("'数据-取费表'!c"&amp;$G$1)="住宅",INDIRECT("'数据-取费表'!s"&amp;$G$1),INDIRECT("'数据-取费表'!k"&amp;$G$1)+INDIRECT("'数据-取费表'!s"&amp;$G$1)))</f>
        <v>38.369999999999997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1482</v>
      </c>
      <c r="C12" s="211">
        <v>0</v>
      </c>
      <c r="D12" s="847"/>
      <c r="E12" s="228"/>
      <c r="F12" s="221">
        <v>3.0499999999999999E-2</v>
      </c>
      <c r="G12" s="219"/>
    </row>
    <row r="13" spans="1:8" s="214" customFormat="1" ht="13.5" hidden="1" customHeight="1">
      <c r="A13" s="227" t="s">
        <v>6</v>
      </c>
      <c r="B13" s="215" t="s">
        <v>1483</v>
      </c>
      <c r="C13" s="211"/>
      <c r="D13" s="847"/>
      <c r="E13" s="218"/>
      <c r="F13" s="218"/>
      <c r="G13" s="219"/>
    </row>
    <row r="14" spans="1:8" s="214" customFormat="1" ht="13.5" hidden="1" customHeight="1">
      <c r="A14" s="227" t="s">
        <v>7</v>
      </c>
      <c r="B14" s="215" t="s">
        <v>1477</v>
      </c>
      <c r="C14" s="211"/>
      <c r="D14" s="847"/>
      <c r="E14" s="218"/>
      <c r="F14" s="218"/>
      <c r="G14" s="219" t="s">
        <v>1485</v>
      </c>
    </row>
    <row r="15" spans="1:8" s="214" customFormat="1" ht="13.5" hidden="1" customHeight="1">
      <c r="A15" s="227" t="s">
        <v>8</v>
      </c>
      <c r="B15" s="215" t="s">
        <v>1486</v>
      </c>
      <c r="C15" s="220"/>
      <c r="D15" s="847"/>
      <c r="E15" s="218"/>
      <c r="F15" s="218"/>
      <c r="G15" s="219" t="s">
        <v>1487</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IF(G19="已包含在土地取得成本中","0",ROUND(D19*E19,0))</f>
        <v>0</v>
      </c>
      <c r="D19" s="849">
        <f ca="1">D9+D10</f>
        <v>38.369999999999997</v>
      </c>
      <c r="E19" s="211">
        <f>'数据-取费表'!B31</f>
        <v>200</v>
      </c>
      <c r="F19" s="231"/>
      <c r="G19" s="1856" t="s">
        <v>3400</v>
      </c>
    </row>
    <row r="20" spans="1:7" s="214" customFormat="1" ht="13.5" customHeight="1">
      <c r="A20" s="255" t="s">
        <v>1493</v>
      </c>
      <c r="B20" s="210" t="s">
        <v>1494</v>
      </c>
      <c r="C20" s="232">
        <f ca="1">ROUND((C5+C19)*F20,0)</f>
        <v>2428</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27">
        <f ca="1">ROUND(SUM(C23:C25),0)</f>
        <v>7987</v>
      </c>
      <c r="D22" s="235">
        <f ca="1">C26</f>
        <v>1E-3</v>
      </c>
      <c r="E22" s="236" t="s">
        <v>1498</v>
      </c>
      <c r="F22" s="237">
        <f ca="1">'数据-取费表'!B40</f>
        <v>4.7500000000000001E-2</v>
      </c>
      <c r="G22" s="234" t="str">
        <f>IF('数据-取费表'!B22&lt;=1,"单利计息","复利计息")</f>
        <v>复利计息</v>
      </c>
    </row>
    <row r="23" spans="1:7" s="214" customFormat="1" ht="13.5" customHeight="1">
      <c r="A23" s="780" t="s">
        <v>346</v>
      </c>
      <c r="B23" s="215" t="s">
        <v>1503</v>
      </c>
      <c r="C23" s="1128">
        <f ca="1">ROUND(IF('数据-取费表'!B22&lt;=1,C5*F22*'数据-取费表'!B22,C5*(POWER((1+F22),'数据-取费表'!B22)-1)),0)</f>
        <v>7872</v>
      </c>
      <c r="D23" s="238"/>
      <c r="E23" s="238"/>
      <c r="F23" s="239"/>
      <c r="G23" s="240" t="s">
        <v>1504</v>
      </c>
    </row>
    <row r="24" spans="1:7" s="214" customFormat="1" ht="13.5" customHeight="1">
      <c r="A24" s="780" t="s">
        <v>347</v>
      </c>
      <c r="B24" s="215" t="s">
        <v>1506</v>
      </c>
      <c r="C24" s="1128">
        <f ca="1">ROUND(IF('数据-取费表'!B22&lt;=1,C19*F22*('数据-取费表'!B19/2+'数据-取费表'!B20),C19*(POWER((1+F22),('数据-取费表'!B19/2+'数据-取费表'!B20))-1)),0)</f>
        <v>0</v>
      </c>
      <c r="D24" s="238"/>
      <c r="E24" s="238"/>
      <c r="F24" s="239"/>
      <c r="G24" s="240" t="s">
        <v>1507</v>
      </c>
    </row>
    <row r="25" spans="1:7" s="214" customFormat="1" ht="24">
      <c r="A25" s="780" t="s">
        <v>348</v>
      </c>
      <c r="B25" s="215" t="s">
        <v>1509</v>
      </c>
      <c r="C25" s="1128">
        <f ca="1">ROUND(IF('数据-取费表'!B22&lt;=1,C20*F22*'数据-取费表'!B22/2,C20*(POWER((1+F22),'数据-取费表'!B22/2)-1)),0)</f>
        <v>115</v>
      </c>
      <c r="D25" s="238"/>
      <c r="E25" s="241"/>
      <c r="F25" s="239"/>
      <c r="G25" s="242" t="s">
        <v>1510</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16674</v>
      </c>
      <c r="D27" s="235">
        <f ca="1">C29</f>
        <v>4.0000000000000001E-3</v>
      </c>
      <c r="E27" s="236" t="s">
        <v>1498</v>
      </c>
      <c r="F27" s="246">
        <f ca="1">IF(B1="",'数据-取费表'!Q16,INDIRECT("'数据-取费表'!q"&amp;$G$1))</f>
        <v>0.2</v>
      </c>
      <c r="G27" s="247" t="s">
        <v>1515</v>
      </c>
    </row>
    <row r="28" spans="1:7" s="214" customFormat="1" ht="13.5" customHeight="1">
      <c r="A28" s="780" t="s">
        <v>346</v>
      </c>
      <c r="B28" s="248" t="s">
        <v>1516</v>
      </c>
      <c r="C28" s="249">
        <f ca="1">ROUND((C5+C19+C20)*F27,0)</f>
        <v>16674</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1498</v>
      </c>
      <c r="E30" s="241"/>
      <c r="F30" s="237">
        <f>'数据-取费表'!B41</f>
        <v>5.6000000000000001E-2</v>
      </c>
      <c r="G30" s="234" t="s">
        <v>1520</v>
      </c>
    </row>
    <row r="31" spans="1:7" ht="16.5" customHeight="1">
      <c r="A31" s="209">
        <v>1</v>
      </c>
      <c r="B31" s="210" t="s">
        <v>1521</v>
      </c>
      <c r="C31" s="211">
        <f ca="1">ROUND((C5+C19+C20+C22+C27)/(1-C21-D22-D27-C30),0)</f>
        <v>117210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146669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134295</v>
      </c>
      <c r="D34" s="217"/>
      <c r="E34" s="220"/>
      <c r="F34" s="257"/>
      <c r="G34" s="219"/>
    </row>
    <row r="35" spans="1:7" ht="13.5" customHeight="1">
      <c r="A35" s="780" t="s">
        <v>351</v>
      </c>
      <c r="B35" s="215" t="s">
        <v>1527</v>
      </c>
      <c r="C35" s="220">
        <f ca="1">ROUND(C34*F35,0)</f>
        <v>2686</v>
      </c>
      <c r="D35" s="220"/>
      <c r="E35" s="220"/>
      <c r="F35" s="259">
        <f>'数据-取费表'!B33</f>
        <v>0.02</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0.02</v>
      </c>
      <c r="G36" s="260" t="s">
        <v>1530</v>
      </c>
    </row>
    <row r="37" spans="1:7" s="258" customFormat="1" ht="13.5" customHeight="1">
      <c r="A37" s="780" t="s">
        <v>353</v>
      </c>
      <c r="B37" s="215" t="s">
        <v>1531</v>
      </c>
      <c r="C37" s="249">
        <f ca="1">ROUND(E37*D37,0)</f>
        <v>7674</v>
      </c>
      <c r="D37" s="217">
        <f ca="1">D19</f>
        <v>38.369999999999997</v>
      </c>
      <c r="E37" s="249">
        <f>'数据-取费表'!B35</f>
        <v>200</v>
      </c>
      <c r="F37" s="259"/>
      <c r="G37" s="261"/>
    </row>
    <row r="38" spans="1:7" ht="13.5" customHeight="1">
      <c r="A38" s="780" t="s">
        <v>354</v>
      </c>
      <c r="B38" s="215" t="s">
        <v>1533</v>
      </c>
      <c r="C38" s="220">
        <f ca="1">ROUND(C34*F38,0)</f>
        <v>2014</v>
      </c>
      <c r="D38" s="220"/>
      <c r="E38" s="220"/>
      <c r="F38" s="259">
        <f>'数据-取费表'!B36</f>
        <v>1.4999999999999999E-2</v>
      </c>
      <c r="G38" s="219" t="s">
        <v>1528</v>
      </c>
    </row>
    <row r="39" spans="1:7" s="214" customFormat="1" ht="13.5" customHeight="1">
      <c r="A39" s="255" t="s">
        <v>1491</v>
      </c>
      <c r="B39" s="210" t="s">
        <v>1494</v>
      </c>
      <c r="C39" s="232">
        <f ca="1">ROUND(C33*F20,0)</f>
        <v>4400</v>
      </c>
      <c r="D39" s="232"/>
      <c r="E39" s="232"/>
      <c r="F39" s="233">
        <f>F20</f>
        <v>0.03</v>
      </c>
      <c r="G39" s="234" t="s">
        <v>1536</v>
      </c>
    </row>
    <row r="40" spans="1:7" s="214" customFormat="1" ht="13.5" customHeight="1">
      <c r="A40" s="255" t="s">
        <v>1493</v>
      </c>
      <c r="B40" s="210" t="s">
        <v>1497</v>
      </c>
      <c r="C40" s="1327">
        <f>F21</f>
        <v>0.02</v>
      </c>
      <c r="D40" s="236" t="s">
        <v>1539</v>
      </c>
      <c r="E40" s="232"/>
      <c r="F40" s="233">
        <f>F21</f>
        <v>0.02</v>
      </c>
      <c r="G40" s="234" t="s">
        <v>1540</v>
      </c>
    </row>
    <row r="41" spans="1:7" s="214" customFormat="1" ht="13.5" customHeight="1">
      <c r="A41" s="255" t="s">
        <v>1496</v>
      </c>
      <c r="B41" s="210" t="s">
        <v>1501</v>
      </c>
      <c r="C41" s="232">
        <f ca="1">ROUND(SUM(C42:C43),0)</f>
        <v>7176</v>
      </c>
      <c r="D41" s="235">
        <f ca="1">C44</f>
        <v>1E-3</v>
      </c>
      <c r="E41" s="236" t="s">
        <v>1539</v>
      </c>
      <c r="F41" s="237">
        <f ca="1">F22</f>
        <v>4.7500000000000001E-2</v>
      </c>
      <c r="G41" s="234" t="str">
        <f>IF('数据-取费表'!B22&lt;=1,"单利计息","复利计息")</f>
        <v>复利计息</v>
      </c>
    </row>
    <row r="42" spans="1:7" ht="13.5" customHeight="1">
      <c r="A42" s="780" t="s">
        <v>346</v>
      </c>
      <c r="B42" s="215" t="s">
        <v>1503</v>
      </c>
      <c r="C42" s="238">
        <f ca="1">ROUND(IF('数据-取费表'!B22&lt;=1,C33*F22*'数据-取费表'!B20/2,C33*(POWER((1+F22),'数据-取费表'!B20/2)-1)),0)</f>
        <v>6967</v>
      </c>
      <c r="D42" s="238"/>
      <c r="E42" s="238"/>
      <c r="F42" s="239"/>
      <c r="G42" s="3668" t="s">
        <v>1591</v>
      </c>
    </row>
    <row r="43" spans="1:7" ht="13.5" customHeight="1">
      <c r="A43" s="780" t="s">
        <v>347</v>
      </c>
      <c r="B43" s="215" t="s">
        <v>1506</v>
      </c>
      <c r="C43" s="238">
        <f ca="1">ROUND(IF('数据-取费表'!B22&lt;=1,C39*F22*'数据-取费表'!B20/2,C39*(POWER((1+F22),'数据-取费表'!B20/2)-1)),0)</f>
        <v>209</v>
      </c>
      <c r="D43" s="238"/>
      <c r="E43" s="238"/>
      <c r="F43" s="239"/>
      <c r="G43" s="3669"/>
    </row>
    <row r="44" spans="1:7" ht="13.5" customHeight="1">
      <c r="A44" s="780" t="s">
        <v>348</v>
      </c>
      <c r="B44" s="215" t="s">
        <v>1509</v>
      </c>
      <c r="C44" s="238">
        <f ca="1">ROUND(IF('数据-取费表'!B22&lt;=1,C40*F22*'数据-取费表'!B20/2,C40*(POWER((1+F22),'数据-取费表'!B20/2)-1)),4)</f>
        <v>1E-3</v>
      </c>
      <c r="D44" s="238"/>
      <c r="E44" s="238"/>
      <c r="F44" s="239"/>
      <c r="G44" s="3670"/>
    </row>
    <row r="45" spans="1:7" s="214" customFormat="1" ht="13.5" customHeight="1">
      <c r="A45" s="255" t="s">
        <v>1500</v>
      </c>
      <c r="B45" s="244" t="s">
        <v>1513</v>
      </c>
      <c r="C45" s="245">
        <f ca="1">C46</f>
        <v>30214</v>
      </c>
      <c r="D45" s="235">
        <f ca="1">C47</f>
        <v>4.0000000000000001E-3</v>
      </c>
      <c r="E45" s="236" t="s">
        <v>1539</v>
      </c>
      <c r="F45" s="246">
        <f ca="1">F27</f>
        <v>0.2</v>
      </c>
      <c r="G45" s="247" t="s">
        <v>1548</v>
      </c>
    </row>
    <row r="46" spans="1:7" s="214" customFormat="1" ht="13.5" customHeight="1">
      <c r="A46" s="780" t="s">
        <v>346</v>
      </c>
      <c r="B46" s="248" t="s">
        <v>1549</v>
      </c>
      <c r="C46" s="249">
        <f ca="1">ROUND((C33+C39)*F27,0)</f>
        <v>30214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204469</v>
      </c>
      <c r="D49" s="232"/>
      <c r="E49" s="232"/>
      <c r="F49" s="264"/>
      <c r="G49" s="234" t="s">
        <v>1554</v>
      </c>
    </row>
    <row r="50" spans="1:7" s="258" customFormat="1">
      <c r="A50" s="255" t="s">
        <v>1555</v>
      </c>
      <c r="B50" s="210" t="s">
        <v>1556</v>
      </c>
      <c r="C50" s="232"/>
      <c r="D50" s="232"/>
      <c r="E50" s="232"/>
      <c r="F50" s="264">
        <f>IF('数据-取费表'!B24=0,'数据-取费表'!N16,1)</f>
        <v>0.96699999999999997</v>
      </c>
      <c r="G50" s="247"/>
    </row>
    <row r="51" spans="1:7" ht="16.5" customHeight="1">
      <c r="A51" s="255" t="s">
        <v>1558</v>
      </c>
      <c r="B51" s="210" t="s">
        <v>1593</v>
      </c>
      <c r="C51" s="232">
        <f ca="1">ROUND(C49*F50,0)</f>
        <v>197722</v>
      </c>
      <c r="D51" s="232"/>
      <c r="E51" s="232"/>
      <c r="F51" s="264"/>
      <c r="G51" s="234" t="s">
        <v>1560</v>
      </c>
    </row>
    <row r="52" spans="1:7" s="208" customFormat="1" ht="16.5" thickBot="1">
      <c r="A52" s="265" t="s">
        <v>1561</v>
      </c>
      <c r="B52" s="266"/>
      <c r="C52" s="267">
        <f ca="1">C31+C51</f>
        <v>314932</v>
      </c>
      <c r="D52" s="266"/>
      <c r="E52" s="266"/>
      <c r="F52" s="266"/>
      <c r="G52" s="268"/>
    </row>
    <row r="55" spans="1:7" ht="15">
      <c r="B55" s="270" t="s">
        <v>1562</v>
      </c>
      <c r="C55" s="271"/>
    </row>
    <row r="56" spans="1:7">
      <c r="B56" s="273" t="s">
        <v>802</v>
      </c>
      <c r="C56" s="275">
        <f ca="1">1-C57</f>
        <v>0.372</v>
      </c>
    </row>
    <row r="57" spans="1:7">
      <c r="B57" s="273" t="s">
        <v>803</v>
      </c>
      <c r="C57" s="274">
        <f ca="1">ROUND(C51/C52,3)</f>
        <v>0.628</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F7C9DF9D-068D-473A-8BB4-DB906A85B2C6}">
      <formula1>"需扣减承租人权益,——"</formula1>
    </dataValidation>
    <dataValidation type="list" allowBlank="1" showInputMessage="1" showErrorMessage="1" sqref="G2" xr:uid="{1E1CEF77-4A3C-4370-B275-38546FC3AD86}">
      <formula1>估价方法</formula1>
    </dataValidation>
    <dataValidation type="list" allowBlank="1" showInputMessage="1" showErrorMessage="1" sqref="B1" xr:uid="{46E20CD4-7D38-4AE1-AFC5-DB4ADC747D9B}">
      <formula1>项目类型</formula1>
    </dataValidation>
    <dataValidation type="list" allowBlank="1" showInputMessage="1" showErrorMessage="1" sqref="G19" xr:uid="{3575C4CD-4619-446B-8855-DC6A98964725}">
      <formula1>"已包含在土地取得成本中,未包含在土地取得成本中"</formula1>
    </dataValidation>
    <dataValidation type="list" allowBlank="1" showInputMessage="1" showErrorMessage="1" sqref="G8" xr:uid="{7AA25D3F-A14C-4CD6-BD57-E738F1951686}">
      <formula1>"已包含在土地购买价格中,未包含在土地购买价格中"</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21" zoomScale="80" zoomScaleNormal="60" zoomScaleSheetLayoutView="80" workbookViewId="0">
      <selection activeCell="E49" sqref="D49:E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t="s">
        <v>3338</v>
      </c>
      <c r="E1" s="3433" t="s">
        <v>3403</v>
      </c>
      <c r="F1" s="1879" t="s">
        <v>3404</v>
      </c>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IF(B37="元/平方米",ROUND(C39*D3/10000,0),ROUND(F3*C39/10000,0)),IF(B37="元/平方米",ROUND(C39*D3/10000,0),ROUND(F3*C39/10000,0))-D2),IF(E1="单套模式",IF(C2="——",IF(B37="元/平方米",ROUND(C39*D3/10000,0),ROUND(F3*C39/10000,0)),IF(B37="元/平方米",ROUND(C39*D3/10000,0),ROUND(F3*C39/10000,0))-D2)))</f>
        <v>24</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6319</v>
      </c>
      <c r="C3" s="354" t="s">
        <v>1768</v>
      </c>
      <c r="D3" s="353">
        <f>SUMIF('数据-汇总表'!$C19:$C33,D1,'数据-汇总表'!$E19:$E33)</f>
        <v>38.369999999999997</v>
      </c>
      <c r="E3" s="354" t="s">
        <v>1832</v>
      </c>
      <c r="F3" s="353">
        <f>SUMIF('数据-取费表'!A5:A15,D1,'数据-取费表'!AH5:AH15)</f>
        <v>0</v>
      </c>
      <c r="G3" s="908"/>
      <c r="H3" s="908"/>
      <c r="I3" s="908"/>
      <c r="J3" s="908"/>
      <c r="K3" s="910"/>
      <c r="L3" s="2734"/>
      <c r="M3" s="2735">
        <f>IF(C2="——",IF(B37="元/平方米",ROUND(C39*D3/10000,0),ROUND(F3*C39/10000,0)),IF(B37="元/平方米",ROUND(C39*D3/10000,0),ROUND(F3*C39/10000,0))-D2)</f>
        <v>24</v>
      </c>
      <c r="N3" s="2735"/>
      <c r="O3" s="2735"/>
      <c r="P3" s="1165"/>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29" ht="15">
      <c r="A5" s="358"/>
      <c r="B5" s="359"/>
      <c r="C5" s="3713" t="s">
        <v>1673</v>
      </c>
      <c r="D5" s="3714"/>
      <c r="E5" s="3720" t="s">
        <v>1674</v>
      </c>
      <c r="F5" s="3721"/>
      <c r="G5" s="3713" t="s">
        <v>1675</v>
      </c>
      <c r="H5" s="3714"/>
      <c r="I5" s="3713" t="s">
        <v>1676</v>
      </c>
      <c r="J5" s="3714"/>
      <c r="K5" s="559"/>
      <c r="L5" s="2715"/>
      <c r="M5" s="2716"/>
      <c r="N5" s="2716"/>
      <c r="O5" s="2716"/>
      <c r="P5" s="3700"/>
      <c r="Q5" s="3701"/>
      <c r="R5" s="3706"/>
      <c r="S5" s="3707"/>
      <c r="T5" s="3706"/>
      <c r="U5" s="3707"/>
      <c r="V5" s="3710"/>
      <c r="W5" s="3710"/>
      <c r="X5" s="1355"/>
      <c r="Y5" s="3706"/>
      <c r="Z5" s="3707"/>
      <c r="AA5" s="3692"/>
      <c r="AB5" s="3692"/>
      <c r="AC5" s="3692"/>
    </row>
    <row r="6" spans="1:29" ht="15.75" thickBot="1">
      <c r="A6" s="360"/>
      <c r="B6" s="361"/>
      <c r="C6" s="3711" t="s">
        <v>1677</v>
      </c>
      <c r="D6" s="3712"/>
      <c r="E6" s="3718" t="s">
        <v>1677</v>
      </c>
      <c r="F6" s="3719"/>
      <c r="G6" s="3711" t="s">
        <v>1677</v>
      </c>
      <c r="H6" s="3712"/>
      <c r="I6" s="3711" t="s">
        <v>1677</v>
      </c>
      <c r="J6" s="3712"/>
      <c r="K6" s="559" t="s">
        <v>1678</v>
      </c>
      <c r="L6" s="2715"/>
      <c r="M6" s="2716"/>
      <c r="N6" s="2716"/>
      <c r="O6" s="2716"/>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45162</v>
      </c>
      <c r="D7" s="365">
        <v>100</v>
      </c>
      <c r="E7" s="366">
        <v>45108</v>
      </c>
      <c r="F7" s="367">
        <f>SUMIF(48:48,YEAR(E7)&amp;"-"&amp;MONTH(E7),49:49)</f>
        <v>100</v>
      </c>
      <c r="G7" s="366">
        <v>45078</v>
      </c>
      <c r="H7" s="365">
        <f>SUMIF(48:48,YEAR(G7)&amp;"-"&amp;MONTH(G7),49:49)</f>
        <v>100</v>
      </c>
      <c r="I7" s="366">
        <v>45078</v>
      </c>
      <c r="J7" s="365">
        <f>SUMIF(48:48,YEAR(I7)&amp;"-"&amp;MONTH(I7),49:49)</f>
        <v>100</v>
      </c>
      <c r="K7" s="560"/>
      <c r="L7" s="2717"/>
      <c r="M7" s="2718"/>
      <c r="N7" s="2718"/>
      <c r="O7" s="2718"/>
      <c r="P7" s="3715" t="s">
        <v>1680</v>
      </c>
      <c r="Q7" s="3717"/>
      <c r="R7" s="701" t="s">
        <v>14</v>
      </c>
      <c r="S7" s="702">
        <f t="shared" ref="S7:S14" si="0">F7</f>
        <v>100</v>
      </c>
      <c r="T7" s="701" t="s">
        <v>14</v>
      </c>
      <c r="U7" s="702">
        <f t="shared" ref="U7:U14" si="1">H7</f>
        <v>100</v>
      </c>
      <c r="V7" s="701" t="s">
        <v>14</v>
      </c>
      <c r="W7" s="702">
        <f t="shared" ref="W7:W14" si="2">J7</f>
        <v>100</v>
      </c>
      <c r="X7" s="703"/>
      <c r="Y7" s="3715" t="s">
        <v>1680</v>
      </c>
      <c r="Z7" s="3716"/>
      <c r="AA7" s="704">
        <f>D7/F7</f>
        <v>1</v>
      </c>
      <c r="AB7" s="704">
        <f>D7/H7</f>
        <v>1</v>
      </c>
      <c r="AC7" s="704">
        <f>D7/J7</f>
        <v>1</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5" t="s">
        <v>1683</v>
      </c>
      <c r="Q8" s="3716"/>
      <c r="R8" s="701" t="s">
        <v>14</v>
      </c>
      <c r="S8" s="702">
        <f t="shared" si="0"/>
        <v>100</v>
      </c>
      <c r="T8" s="701" t="s">
        <v>14</v>
      </c>
      <c r="U8" s="702">
        <f t="shared" si="1"/>
        <v>100</v>
      </c>
      <c r="V8" s="701" t="s">
        <v>14</v>
      </c>
      <c r="W8" s="702">
        <f t="shared" si="2"/>
        <v>100</v>
      </c>
      <c r="X8" s="703"/>
      <c r="Y8" s="3715" t="s">
        <v>1683</v>
      </c>
      <c r="Z8" s="371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9" t="s">
        <v>1686</v>
      </c>
      <c r="Q9" s="1343" t="str">
        <f t="shared" ref="Q9:Q14" si="6">B9</f>
        <v>用途</v>
      </c>
      <c r="R9" s="701" t="s">
        <v>14</v>
      </c>
      <c r="S9" s="702">
        <f t="shared" si="0"/>
        <v>100</v>
      </c>
      <c r="T9" s="701" t="s">
        <v>14</v>
      </c>
      <c r="U9" s="702">
        <f t="shared" si="1"/>
        <v>100</v>
      </c>
      <c r="V9" s="701" t="s">
        <v>14</v>
      </c>
      <c r="W9" s="702">
        <f t="shared" si="2"/>
        <v>100</v>
      </c>
      <c r="X9" s="703"/>
      <c r="Y9" s="357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9"/>
      <c r="Q11" s="1343">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1" t="s">
        <v>1691</v>
      </c>
      <c r="Q14" s="1352" t="str">
        <f t="shared" si="6"/>
        <v>交通便捷度</v>
      </c>
      <c r="R14" s="705" t="s">
        <v>14</v>
      </c>
      <c r="S14" s="706">
        <f t="shared" si="0"/>
        <v>100</v>
      </c>
      <c r="T14" s="705" t="s">
        <v>14</v>
      </c>
      <c r="U14" s="706">
        <f t="shared" si="1"/>
        <v>100</v>
      </c>
      <c r="V14" s="705" t="s">
        <v>14</v>
      </c>
      <c r="W14" s="706">
        <f t="shared" si="2"/>
        <v>100</v>
      </c>
      <c r="X14" s="1355"/>
      <c r="Y14" s="368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2"/>
      <c r="Q15" s="1352"/>
      <c r="R15" s="705"/>
      <c r="S15" s="706"/>
      <c r="T15" s="705"/>
      <c r="U15" s="706"/>
      <c r="V15" s="705"/>
      <c r="W15" s="706"/>
      <c r="X15" s="1355"/>
      <c r="Y15" s="368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2"/>
      <c r="Q17" s="1352"/>
      <c r="R17" s="705"/>
      <c r="S17" s="706"/>
      <c r="T17" s="705"/>
      <c r="U17" s="706"/>
      <c r="V17" s="705"/>
      <c r="W17" s="706"/>
      <c r="X17" s="1355"/>
      <c r="Y17" s="368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2"/>
      <c r="Q19" s="1352"/>
      <c r="R19" s="705"/>
      <c r="S19" s="706"/>
      <c r="T19" s="705"/>
      <c r="U19" s="706"/>
      <c r="V19" s="705"/>
      <c r="W19" s="706"/>
      <c r="X19" s="1355"/>
      <c r="Y19" s="368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2"/>
      <c r="Q21" s="1352"/>
      <c r="R21" s="705"/>
      <c r="S21" s="706"/>
      <c r="T21" s="705"/>
      <c r="U21" s="706"/>
      <c r="V21" s="705"/>
      <c r="W21" s="706"/>
      <c r="X21" s="1355"/>
      <c r="Y21" s="368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2"/>
      <c r="Q24" s="1352">
        <f t="shared" ref="Q24:Q36"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28.5">
      <c r="A26" s="600" t="s">
        <v>1694</v>
      </c>
      <c r="B26" s="62" t="s">
        <v>1836</v>
      </c>
      <c r="C26" s="1972" t="str">
        <f>B1</f>
        <v>车库</v>
      </c>
      <c r="D26" s="399">
        <v>100</v>
      </c>
      <c r="E26" s="398" t="s">
        <v>3338</v>
      </c>
      <c r="F26" s="400">
        <f>SUMIF(79:79,E26,80:80)-SUMIF(79:79,C26,80:80)+100</f>
        <v>100</v>
      </c>
      <c r="G26" s="398" t="s">
        <v>3338</v>
      </c>
      <c r="H26" s="399">
        <f>SUMIF(79:79,G26,80:80)-SUMIF(79:79,C26,80:80)+100</f>
        <v>100</v>
      </c>
      <c r="I26" s="398" t="s">
        <v>3338</v>
      </c>
      <c r="J26" s="399">
        <f>SUMIF(79:79,I26,80:80)-SUMIF(79:79,C26,80:80)+100</f>
        <v>100</v>
      </c>
      <c r="K26" s="561"/>
      <c r="L26" s="2722"/>
      <c r="M26" s="2716"/>
      <c r="N26" s="2716"/>
      <c r="O26" s="2716"/>
      <c r="P26" s="3725" t="s">
        <v>1696</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686" t="s">
        <v>1696</v>
      </c>
      <c r="Z26" s="1356" t="str">
        <f t="shared" ref="Z26:Z36" si="15">Q26</f>
        <v>配套类型</v>
      </c>
      <c r="AA26" s="1353">
        <f t="shared" si="3"/>
        <v>1</v>
      </c>
      <c r="AB26" s="1353">
        <f t="shared" si="4"/>
        <v>1</v>
      </c>
      <c r="AC26" s="1353">
        <f t="shared" si="5"/>
        <v>1</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6"/>
      <c r="Q27" s="707" t="str">
        <f t="shared" si="11"/>
        <v>项目停车位配比</v>
      </c>
      <c r="R27" s="708" t="s">
        <v>14</v>
      </c>
      <c r="S27" s="709">
        <f t="shared" si="12"/>
        <v>100</v>
      </c>
      <c r="T27" s="708" t="s">
        <v>14</v>
      </c>
      <c r="U27" s="709">
        <f t="shared" si="13"/>
        <v>100</v>
      </c>
      <c r="V27" s="708" t="s">
        <v>14</v>
      </c>
      <c r="W27" s="709">
        <f t="shared" si="14"/>
        <v>100</v>
      </c>
      <c r="X27" s="710"/>
      <c r="Y27" s="368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6"/>
      <c r="Q28" s="1352" t="str">
        <f t="shared" si="11"/>
        <v>公共部分装修</v>
      </c>
      <c r="R28" s="705" t="s">
        <v>14</v>
      </c>
      <c r="S28" s="706">
        <f t="shared" si="12"/>
        <v>100</v>
      </c>
      <c r="T28" s="705" t="s">
        <v>14</v>
      </c>
      <c r="U28" s="706">
        <f t="shared" si="13"/>
        <v>100</v>
      </c>
      <c r="V28" s="705" t="s">
        <v>14</v>
      </c>
      <c r="W28" s="706">
        <f t="shared" si="14"/>
        <v>100</v>
      </c>
      <c r="X28" s="1355"/>
      <c r="Y28" s="3686"/>
      <c r="Z28" s="1356" t="str">
        <f t="shared" si="15"/>
        <v>公共部分装修</v>
      </c>
      <c r="AA28" s="1353">
        <f t="shared" si="3"/>
        <v>1</v>
      </c>
      <c r="AB28" s="1353">
        <f t="shared" si="4"/>
        <v>1</v>
      </c>
      <c r="AC28" s="1353">
        <f t="shared" si="5"/>
        <v>1</v>
      </c>
    </row>
    <row r="29" spans="1:29" ht="15">
      <c r="A29" s="604"/>
      <c r="B29" s="602" t="s">
        <v>1839</v>
      </c>
      <c r="C29" s="425">
        <f>'数据-取费表'!N6</f>
        <v>0.96699999999999997</v>
      </c>
      <c r="D29" s="386">
        <v>100</v>
      </c>
      <c r="E29" s="425">
        <f>C29</f>
        <v>0.96699999999999997</v>
      </c>
      <c r="F29" s="412">
        <f>LOOKUP(E29,86:86,87:87)-LOOKUP(C29,86:86,87:87)+100</f>
        <v>100</v>
      </c>
      <c r="G29" s="425">
        <f>C29</f>
        <v>0.96699999999999997</v>
      </c>
      <c r="H29" s="412">
        <f>LOOKUP(G29,86:86,87:87)-LOOKUP(C29,86:86,87:87)+100</f>
        <v>100</v>
      </c>
      <c r="I29" s="425">
        <f>G29</f>
        <v>0.96699999999999997</v>
      </c>
      <c r="J29" s="386">
        <f>LOOKUP(I29,86:86,87:87)-LOOKUP(C29,86:86,87:87)+100</f>
        <v>100</v>
      </c>
      <c r="K29" s="561"/>
      <c r="L29" s="2722"/>
      <c r="M29" s="2716"/>
      <c r="N29" s="2716"/>
      <c r="O29" s="2716"/>
      <c r="P29" s="3686"/>
      <c r="Q29" s="1352" t="str">
        <f t="shared" si="11"/>
        <v>成新率</v>
      </c>
      <c r="R29" s="705" t="s">
        <v>14</v>
      </c>
      <c r="S29" s="706">
        <f t="shared" si="12"/>
        <v>100</v>
      </c>
      <c r="T29" s="705" t="s">
        <v>14</v>
      </c>
      <c r="U29" s="706">
        <f t="shared" si="13"/>
        <v>100</v>
      </c>
      <c r="V29" s="705" t="s">
        <v>14</v>
      </c>
      <c r="W29" s="706">
        <f t="shared" si="14"/>
        <v>100</v>
      </c>
      <c r="X29" s="1355"/>
      <c r="Y29" s="3686"/>
      <c r="Z29" s="1356" t="str">
        <f t="shared" si="15"/>
        <v>成新率</v>
      </c>
      <c r="AA29" s="1353">
        <f t="shared" si="3"/>
        <v>1</v>
      </c>
      <c r="AB29" s="1353">
        <f t="shared" si="4"/>
        <v>1</v>
      </c>
      <c r="AC29" s="1353">
        <f t="shared" si="5"/>
        <v>1</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6"/>
      <c r="Q30" s="1352" t="str">
        <f t="shared" si="11"/>
        <v>物业等级</v>
      </c>
      <c r="R30" s="705" t="s">
        <v>14</v>
      </c>
      <c r="S30" s="706">
        <f t="shared" si="12"/>
        <v>100</v>
      </c>
      <c r="T30" s="705" t="s">
        <v>14</v>
      </c>
      <c r="U30" s="706">
        <f t="shared" si="13"/>
        <v>100</v>
      </c>
      <c r="V30" s="705" t="s">
        <v>14</v>
      </c>
      <c r="W30" s="706">
        <f t="shared" si="14"/>
        <v>100</v>
      </c>
      <c r="X30" s="1355"/>
      <c r="Y30" s="3686"/>
      <c r="Z30" s="1356" t="str">
        <f t="shared" si="15"/>
        <v>物业等级</v>
      </c>
      <c r="AA30" s="1353">
        <f t="shared" si="3"/>
        <v>1</v>
      </c>
      <c r="AB30" s="1353">
        <f t="shared" si="4"/>
        <v>1</v>
      </c>
      <c r="AC30" s="1353">
        <f t="shared" si="5"/>
        <v>1</v>
      </c>
    </row>
    <row r="31" spans="1:29" s="108" customFormat="1" ht="15">
      <c r="A31" s="606"/>
      <c r="B31" s="602" t="s">
        <v>1841</v>
      </c>
      <c r="C31" s="420">
        <v>38.369999999999997</v>
      </c>
      <c r="D31" s="127">
        <v>100</v>
      </c>
      <c r="E31" s="420">
        <v>38</v>
      </c>
      <c r="F31" s="412">
        <f>LOOKUP(E31,91:91,92:92)-LOOKUP(C31,91:91,92:92)+100</f>
        <v>100</v>
      </c>
      <c r="G31" s="420">
        <v>38</v>
      </c>
      <c r="H31" s="386">
        <f>LOOKUP(G31,91:91,92:92)-LOOKUP(C31,91:91,92:92)+100</f>
        <v>100</v>
      </c>
      <c r="I31" s="420">
        <v>38</v>
      </c>
      <c r="J31" s="386">
        <f>LOOKUP(I31,91:91,92:92)-LOOKUP(C31,91:91,92:92)+100</f>
        <v>100</v>
      </c>
      <c r="K31" s="561">
        <v>1</v>
      </c>
      <c r="L31" s="2717"/>
      <c r="M31" s="2718"/>
      <c r="N31" s="2718"/>
      <c r="O31" s="2718"/>
      <c r="P31" s="3686"/>
      <c r="Q31" s="1343" t="str">
        <f t="shared" si="11"/>
        <v>停车位面积</v>
      </c>
      <c r="R31" s="701" t="s">
        <v>14</v>
      </c>
      <c r="S31" s="702">
        <f t="shared" si="12"/>
        <v>100</v>
      </c>
      <c r="T31" s="701" t="s">
        <v>14</v>
      </c>
      <c r="U31" s="702">
        <f t="shared" si="13"/>
        <v>100</v>
      </c>
      <c r="V31" s="701" t="s">
        <v>14</v>
      </c>
      <c r="W31" s="702">
        <f t="shared" si="14"/>
        <v>100</v>
      </c>
      <c r="X31" s="703"/>
      <c r="Y31" s="3686"/>
      <c r="Z31" s="52" t="str">
        <f t="shared" si="15"/>
        <v>停车位面积</v>
      </c>
      <c r="AA31" s="704">
        <f t="shared" si="3"/>
        <v>1</v>
      </c>
      <c r="AB31" s="704">
        <f t="shared" si="4"/>
        <v>1</v>
      </c>
      <c r="AC31" s="704">
        <f t="shared" si="5"/>
        <v>1</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6" t="s">
        <v>1696</v>
      </c>
      <c r="Q32" s="1352" t="str">
        <f t="shared" si="11"/>
        <v>车位类型</v>
      </c>
      <c r="R32" s="705" t="s">
        <v>14</v>
      </c>
      <c r="S32" s="706">
        <f t="shared" si="12"/>
        <v>100</v>
      </c>
      <c r="T32" s="705" t="s">
        <v>14</v>
      </c>
      <c r="U32" s="706">
        <f t="shared" si="13"/>
        <v>100</v>
      </c>
      <c r="V32" s="705" t="s">
        <v>14</v>
      </c>
      <c r="W32" s="706">
        <f t="shared" si="14"/>
        <v>100</v>
      </c>
      <c r="X32" s="1355"/>
      <c r="Y32" s="368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6"/>
      <c r="Q33" s="1352" t="str">
        <f t="shared" si="11"/>
        <v>是否直接入户</v>
      </c>
      <c r="R33" s="705" t="s">
        <v>14</v>
      </c>
      <c r="S33" s="706">
        <f t="shared" si="12"/>
        <v>100</v>
      </c>
      <c r="T33" s="705" t="s">
        <v>14</v>
      </c>
      <c r="U33" s="706">
        <f t="shared" si="13"/>
        <v>100</v>
      </c>
      <c r="V33" s="705" t="s">
        <v>14</v>
      </c>
      <c r="W33" s="706">
        <f t="shared" si="14"/>
        <v>100</v>
      </c>
      <c r="X33" s="1355"/>
      <c r="Y33" s="368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6"/>
      <c r="Q34" s="1352">
        <f t="shared" si="11"/>
        <v>111</v>
      </c>
      <c r="R34" s="705" t="s">
        <v>14</v>
      </c>
      <c r="S34" s="706">
        <f t="shared" si="12"/>
        <v>100</v>
      </c>
      <c r="T34" s="705" t="s">
        <v>14</v>
      </c>
      <c r="U34" s="706">
        <f t="shared" si="13"/>
        <v>100</v>
      </c>
      <c r="V34" s="705" t="s">
        <v>14</v>
      </c>
      <c r="W34" s="706">
        <f t="shared" si="14"/>
        <v>100</v>
      </c>
      <c r="X34" s="1355"/>
      <c r="Y34" s="368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6"/>
      <c r="Q35" s="707">
        <f t="shared" si="11"/>
        <v>111</v>
      </c>
      <c r="R35" s="708" t="s">
        <v>14</v>
      </c>
      <c r="S35" s="709">
        <f t="shared" si="12"/>
        <v>100</v>
      </c>
      <c r="T35" s="708" t="s">
        <v>14</v>
      </c>
      <c r="U35" s="709">
        <f t="shared" si="13"/>
        <v>100</v>
      </c>
      <c r="V35" s="708" t="s">
        <v>14</v>
      </c>
      <c r="W35" s="709">
        <f t="shared" si="14"/>
        <v>100</v>
      </c>
      <c r="X35" s="710"/>
      <c r="Y35" s="368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6"/>
      <c r="Q36" s="1352">
        <f t="shared" si="11"/>
        <v>111</v>
      </c>
      <c r="R36" s="705" t="s">
        <v>14</v>
      </c>
      <c r="S36" s="706">
        <f t="shared" si="12"/>
        <v>100</v>
      </c>
      <c r="T36" s="705" t="s">
        <v>14</v>
      </c>
      <c r="U36" s="706">
        <f t="shared" si="13"/>
        <v>100</v>
      </c>
      <c r="V36" s="705" t="s">
        <v>14</v>
      </c>
      <c r="W36" s="706">
        <f t="shared" si="14"/>
        <v>100</v>
      </c>
      <c r="X36" s="1355"/>
      <c r="Y36" s="3686"/>
      <c r="Z36" s="1356">
        <f t="shared" si="15"/>
        <v>111</v>
      </c>
      <c r="AA36" s="1353">
        <f t="shared" si="3"/>
        <v>1</v>
      </c>
      <c r="AB36" s="1353">
        <f t="shared" si="4"/>
        <v>1</v>
      </c>
      <c r="AC36" s="1353">
        <f t="shared" si="5"/>
        <v>1</v>
      </c>
    </row>
    <row r="37" spans="1:29" ht="15">
      <c r="A37" s="430" t="s">
        <v>1844</v>
      </c>
      <c r="B37" s="1973" t="s">
        <v>3359</v>
      </c>
      <c r="C37" s="1154" t="s">
        <v>0</v>
      </c>
      <c r="D37" s="1155"/>
      <c r="E37" s="1156">
        <f>Sheet1!U21</f>
        <v>6582</v>
      </c>
      <c r="F37" s="1157"/>
      <c r="G37" s="1158">
        <f>Sheet1!U22</f>
        <v>6582</v>
      </c>
      <c r="H37" s="1159"/>
      <c r="I37" s="1156">
        <v>5793</v>
      </c>
      <c r="J37" s="1159"/>
      <c r="K37" s="568"/>
      <c r="L37" s="2724"/>
      <c r="M37" s="2725"/>
      <c r="N37" s="2716"/>
      <c r="O37" s="2725"/>
      <c r="P37" s="3679" t="str">
        <f>A37</f>
        <v>成交单价</v>
      </c>
      <c r="Q37" s="3679"/>
      <c r="R37" s="3680">
        <f>E37</f>
        <v>6582</v>
      </c>
      <c r="S37" s="3680"/>
      <c r="T37" s="3680">
        <f>G37</f>
        <v>6582</v>
      </c>
      <c r="U37" s="3680"/>
      <c r="V37" s="3680">
        <f>I37</f>
        <v>5793</v>
      </c>
      <c r="W37" s="3680"/>
      <c r="X37" s="690"/>
      <c r="Y37" s="712"/>
      <c r="Z37" s="690"/>
      <c r="AA37" s="690"/>
      <c r="AB37" s="690"/>
      <c r="AC37" s="690"/>
    </row>
    <row r="38" spans="1:29" ht="15.75" thickBot="1">
      <c r="A38" s="437" t="s">
        <v>1845</v>
      </c>
      <c r="B38" s="438" t="str">
        <f>B37</f>
        <v>元/平方米</v>
      </c>
      <c r="C38" s="1160">
        <f>R39</f>
        <v>6319</v>
      </c>
      <c r="D38" s="2317" t="s">
        <v>2138</v>
      </c>
      <c r="E38" s="1161">
        <f>R38</f>
        <v>6582</v>
      </c>
      <c r="F38" s="2318"/>
      <c r="G38" s="1160">
        <f>T38</f>
        <v>6582</v>
      </c>
      <c r="H38" s="2318"/>
      <c r="I38" s="1161">
        <f>V38</f>
        <v>5793</v>
      </c>
      <c r="J38" s="2318"/>
      <c r="K38" s="2320">
        <f>F38+H38+J38</f>
        <v>0</v>
      </c>
      <c r="L38" s="2724"/>
      <c r="M38" s="2725"/>
      <c r="N38" s="2725"/>
      <c r="O38" s="2725"/>
      <c r="P38" s="3679" t="str">
        <f>A38</f>
        <v>比较价值（元/平方米）</v>
      </c>
      <c r="Q38" s="3679"/>
      <c r="R38" s="3680">
        <f>IF(F1="售价",ROUND(PRODUCT(R37,AA7:AA36),0),ROUND(PRODUCT(R37,AA7:AA36),1))</f>
        <v>6582</v>
      </c>
      <c r="S38" s="3680"/>
      <c r="T38" s="3680">
        <f>IF(F1="售价",ROUND(PRODUCT(T37,AB7:AB36),0),ROUND(PRODUCT(T37,AB7:AB36),1))</f>
        <v>6582</v>
      </c>
      <c r="U38" s="3680"/>
      <c r="V38" s="3680">
        <f>IF(F1="售价",ROUND(PRODUCT(V37,AC7:AC36),0),ROUND(PRODUCT(V37,AC7:AC36),1))</f>
        <v>5793</v>
      </c>
      <c r="W38" s="3680"/>
      <c r="X38" s="690"/>
      <c r="Y38" s="690"/>
      <c r="Z38" s="690"/>
      <c r="AA38" s="690"/>
      <c r="AB38" s="690"/>
      <c r="AC38" s="690"/>
    </row>
    <row r="39" spans="1:29" ht="15.75" thickBot="1">
      <c r="A39" s="441" t="s">
        <v>1846</v>
      </c>
      <c r="B39" s="442"/>
      <c r="C39" s="1163">
        <f>R39</f>
        <v>6319</v>
      </c>
      <c r="D39" s="1163"/>
      <c r="E39" s="1163"/>
      <c r="F39" s="1163"/>
      <c r="G39" s="1163"/>
      <c r="H39" s="1163"/>
      <c r="I39" s="1163"/>
      <c r="J39" s="1163"/>
      <c r="K39" s="569"/>
      <c r="L39" s="2724"/>
      <c r="M39" s="2725"/>
      <c r="N39" s="2725"/>
      <c r="O39" s="2725"/>
      <c r="P39" s="3676" t="str">
        <f>A39</f>
        <v>估价对象XX用房的比较价值（楼面单价，元/平方米）</v>
      </c>
      <c r="Q39" s="3677"/>
      <c r="R39" s="3772">
        <f>IF(F1="售价",ROUND(IF(D38="简单平均",AVERAGE(R38:W38),R38*F38+T38*H38+V38*J38),0),ROUND(IF(D38="简单平均",AVERAGE(R38:V38),R38*F38+T38*H38+V38*J38),1))</f>
        <v>6319</v>
      </c>
      <c r="S39" s="3772"/>
      <c r="T39" s="3772"/>
      <c r="U39" s="3772"/>
      <c r="V39" s="3772"/>
      <c r="W39" s="377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f>IF(E37&lt;E38,E38/E37-1,E37/E38-1)</f>
        <v>0</v>
      </c>
      <c r="F42" s="449" t="str">
        <f>IF(OR(E42&gt;=0.3,E42&lt;=-0.3),"超过30%","")</f>
        <v/>
      </c>
      <c r="G42" s="448">
        <f>IF(G37&lt;G38,G38/G37-1,G37/G38-1)</f>
        <v>0</v>
      </c>
      <c r="H42" s="449" t="str">
        <f>IF(OR(G42&gt;=0.3,G42&lt;=-0.3),"超过30%","")</f>
        <v/>
      </c>
      <c r="I42" s="448">
        <f>IF(I37&lt;I38,I38/I37-1,I37/I38-1)</f>
        <v>0</v>
      </c>
      <c r="J42" s="449" t="str">
        <f>IF(OR(I42&gt;=0.3,I42&lt;=-0.3),"超过30%","")</f>
        <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f>IF(E38&lt;G38,G38/E38-1,E38/G38-1)</f>
        <v>0</v>
      </c>
      <c r="F43" s="449" t="str">
        <f>IF(OR(E43&gt;=0.2,E43&lt;=-0.2),"超过20%","")</f>
        <v/>
      </c>
      <c r="G43" s="448">
        <f>IF(G38&lt;I38,I38/G38-1,G38/I38-1)</f>
        <v>0.13619886069394105</v>
      </c>
      <c r="H43" s="449" t="str">
        <f>IF(OR(G43&gt;=0.2,G43&lt;=-0.2),"超过20%","")</f>
        <v/>
      </c>
      <c r="I43" s="448">
        <f>IF(I38&lt;E38,E38/I38-1,I38/E38-1)</f>
        <v>0.13619886069394105</v>
      </c>
      <c r="J43" s="449" t="str">
        <f>IF(OR(I43&gt;=0.2,I43&lt;=-0.2),"超过20%","")</f>
        <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f>IF(E37&lt;G37,G37/E37-1,E37/G37-1)</f>
        <v>0</v>
      </c>
      <c r="F44" s="449" t="str">
        <f>IF(OR(E44&gt;=0.3,E44&lt;=-0.3),"超过30%","")</f>
        <v/>
      </c>
      <c r="G44" s="448">
        <f>IF(G37&lt;I37,I37/G37-1,G37/I37-1)</f>
        <v>0.13619886069394105</v>
      </c>
      <c r="H44" s="449" t="str">
        <f>IF(OR(G44&gt;=0.3,G44&lt;=-0.3),"超过30%","")</f>
        <v/>
      </c>
      <c r="I44" s="448">
        <f>IF(I37&lt;E37,E37/I37-1,I37/E37-1)</f>
        <v>0.13619886069394105</v>
      </c>
      <c r="J44" s="449" t="str">
        <f>IF(OR(I44&gt;=0.3,I44&lt;=-0.3),"超过30%","")</f>
        <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v>100</v>
      </c>
      <c r="E49" s="461">
        <v>100</v>
      </c>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0(含)-20</v>
      </c>
      <c r="D90" s="527" t="str">
        <f t="shared" ref="D90:L90" si="21">D91&amp;"(含)"&amp;"-"&amp;E91</f>
        <v>20(含)-40</v>
      </c>
      <c r="E90" s="527" t="str">
        <f t="shared" si="21"/>
        <v>40(含)-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v>0</v>
      </c>
      <c r="D91" s="544">
        <v>20</v>
      </c>
      <c r="E91" s="544">
        <v>40</v>
      </c>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v>100</v>
      </c>
      <c r="D92" s="485">
        <v>101</v>
      </c>
      <c r="E92" s="485">
        <v>102</v>
      </c>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29" ht="15">
      <c r="A5" s="358"/>
      <c r="B5" s="359"/>
      <c r="C5" s="3713" t="s">
        <v>1673</v>
      </c>
      <c r="D5" s="3714"/>
      <c r="E5" s="3720" t="s">
        <v>1674</v>
      </c>
      <c r="F5" s="3721"/>
      <c r="G5" s="3713" t="s">
        <v>1675</v>
      </c>
      <c r="H5" s="3714"/>
      <c r="I5" s="3713" t="s">
        <v>1676</v>
      </c>
      <c r="J5" s="3714"/>
      <c r="K5" s="559"/>
      <c r="L5" s="2715"/>
      <c r="M5" s="2716"/>
      <c r="N5" s="2716"/>
      <c r="O5" s="2716"/>
      <c r="P5" s="3700"/>
      <c r="Q5" s="3701"/>
      <c r="R5" s="3706"/>
      <c r="S5" s="3707"/>
      <c r="T5" s="3706"/>
      <c r="U5" s="3707"/>
      <c r="V5" s="3710"/>
      <c r="W5" s="3710"/>
      <c r="X5" s="1355"/>
      <c r="Y5" s="3706"/>
      <c r="Z5" s="3707"/>
      <c r="AA5" s="3692"/>
      <c r="AB5" s="3692"/>
      <c r="AC5" s="3692"/>
    </row>
    <row r="6" spans="1:29" ht="15.75" thickBot="1">
      <c r="A6" s="360"/>
      <c r="B6" s="361"/>
      <c r="C6" s="3711" t="s">
        <v>1677</v>
      </c>
      <c r="D6" s="3712"/>
      <c r="E6" s="3718" t="s">
        <v>1677</v>
      </c>
      <c r="F6" s="3719"/>
      <c r="G6" s="3711" t="s">
        <v>1677</v>
      </c>
      <c r="H6" s="3712"/>
      <c r="I6" s="3711" t="s">
        <v>1677</v>
      </c>
      <c r="J6" s="3712"/>
      <c r="K6" s="559" t="s">
        <v>1678</v>
      </c>
      <c r="L6" s="2715"/>
      <c r="M6" s="2716"/>
      <c r="N6" s="2716"/>
      <c r="O6" s="2716"/>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45162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5" t="s">
        <v>1680</v>
      </c>
      <c r="Q7" s="3717"/>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5" t="s">
        <v>1683</v>
      </c>
      <c r="Q8" s="3716"/>
      <c r="R8" s="701" t="s">
        <v>14</v>
      </c>
      <c r="S8" s="702">
        <f t="shared" si="0"/>
        <v>100</v>
      </c>
      <c r="T8" s="701" t="s">
        <v>14</v>
      </c>
      <c r="U8" s="702">
        <f t="shared" si="1"/>
        <v>100</v>
      </c>
      <c r="V8" s="701" t="s">
        <v>14</v>
      </c>
      <c r="W8" s="702">
        <f t="shared" si="2"/>
        <v>100</v>
      </c>
      <c r="X8" s="703"/>
      <c r="Y8" s="3715" t="s">
        <v>1683</v>
      </c>
      <c r="Z8" s="371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9" t="s">
        <v>1686</v>
      </c>
      <c r="Q9" s="1343" t="str">
        <f t="shared" ref="Q9:Q14" si="6">B9</f>
        <v>用途</v>
      </c>
      <c r="R9" s="701" t="s">
        <v>14</v>
      </c>
      <c r="S9" s="702">
        <f t="shared" si="0"/>
        <v>100</v>
      </c>
      <c r="T9" s="701" t="s">
        <v>14</v>
      </c>
      <c r="U9" s="702">
        <f t="shared" si="1"/>
        <v>100</v>
      </c>
      <c r="V9" s="701" t="s">
        <v>14</v>
      </c>
      <c r="W9" s="702">
        <f t="shared" si="2"/>
        <v>100</v>
      </c>
      <c r="X9" s="703"/>
      <c r="Y9" s="357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9"/>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9"/>
      <c r="Q11" s="1343">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9"/>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9"/>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1" t="s">
        <v>1691</v>
      </c>
      <c r="Q14" s="1352" t="str">
        <f t="shared" si="6"/>
        <v>交通便捷度</v>
      </c>
      <c r="R14" s="705" t="s">
        <v>14</v>
      </c>
      <c r="S14" s="706">
        <f t="shared" si="0"/>
        <v>100</v>
      </c>
      <c r="T14" s="705" t="s">
        <v>14</v>
      </c>
      <c r="U14" s="706">
        <f t="shared" si="1"/>
        <v>100</v>
      </c>
      <c r="V14" s="705" t="s">
        <v>14</v>
      </c>
      <c r="W14" s="706">
        <f t="shared" si="2"/>
        <v>100</v>
      </c>
      <c r="X14" s="1355"/>
      <c r="Y14" s="368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2"/>
      <c r="Q15" s="1352"/>
      <c r="R15" s="705"/>
      <c r="S15" s="706"/>
      <c r="T15" s="705"/>
      <c r="U15" s="706"/>
      <c r="V15" s="705"/>
      <c r="W15" s="706"/>
      <c r="X15" s="1355"/>
      <c r="Y15" s="368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2"/>
      <c r="Q17" s="1352"/>
      <c r="R17" s="705"/>
      <c r="S17" s="706"/>
      <c r="T17" s="705"/>
      <c r="U17" s="706"/>
      <c r="V17" s="705"/>
      <c r="W17" s="706"/>
      <c r="X17" s="1355"/>
      <c r="Y17" s="368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2"/>
      <c r="Q19" s="1352"/>
      <c r="R19" s="705"/>
      <c r="S19" s="706"/>
      <c r="T19" s="705"/>
      <c r="U19" s="706"/>
      <c r="V19" s="705"/>
      <c r="W19" s="706"/>
      <c r="X19" s="1355"/>
      <c r="Y19" s="368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2"/>
      <c r="Q21" s="1352"/>
      <c r="R21" s="705"/>
      <c r="S21" s="706"/>
      <c r="T21" s="705"/>
      <c r="U21" s="706"/>
      <c r="V21" s="705"/>
      <c r="W21" s="706"/>
      <c r="X21" s="1355"/>
      <c r="Y21" s="368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2"/>
      <c r="Q24" s="1352">
        <f t="shared" ref="Q24:Q34"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6"/>
      <c r="Q27" s="707" t="str">
        <f t="shared" si="11"/>
        <v>成新率</v>
      </c>
      <c r="R27" s="708" t="s">
        <v>14</v>
      </c>
      <c r="S27" s="709" t="e">
        <f t="shared" si="12"/>
        <v>#N/A</v>
      </c>
      <c r="T27" s="708" t="s">
        <v>14</v>
      </c>
      <c r="U27" s="709" t="e">
        <f t="shared" si="13"/>
        <v>#N/A</v>
      </c>
      <c r="V27" s="708" t="s">
        <v>14</v>
      </c>
      <c r="W27" s="709" t="e">
        <f t="shared" si="14"/>
        <v>#N/A</v>
      </c>
      <c r="X27" s="710"/>
      <c r="Y27" s="368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6"/>
      <c r="Q28" s="1352" t="str">
        <f t="shared" si="11"/>
        <v>物业等级</v>
      </c>
      <c r="R28" s="705" t="s">
        <v>14</v>
      </c>
      <c r="S28" s="706">
        <f t="shared" si="12"/>
        <v>100</v>
      </c>
      <c r="T28" s="705" t="s">
        <v>14</v>
      </c>
      <c r="U28" s="706">
        <f t="shared" si="13"/>
        <v>100</v>
      </c>
      <c r="V28" s="705" t="s">
        <v>14</v>
      </c>
      <c r="W28" s="706">
        <f t="shared" si="14"/>
        <v>100</v>
      </c>
      <c r="X28" s="1355"/>
      <c r="Y28" s="368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6"/>
      <c r="Q29" s="1352" t="str">
        <f t="shared" si="11"/>
        <v>有无电梯</v>
      </c>
      <c r="R29" s="705" t="s">
        <v>14</v>
      </c>
      <c r="S29" s="706">
        <f t="shared" si="12"/>
        <v>100</v>
      </c>
      <c r="T29" s="705" t="s">
        <v>14</v>
      </c>
      <c r="U29" s="706">
        <f t="shared" si="13"/>
        <v>100</v>
      </c>
      <c r="V29" s="705" t="s">
        <v>14</v>
      </c>
      <c r="W29" s="706">
        <f t="shared" si="14"/>
        <v>100</v>
      </c>
      <c r="X29" s="1355"/>
      <c r="Y29" s="368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6"/>
      <c r="Q30" s="1352" t="str">
        <f t="shared" si="11"/>
        <v>建筑面积</v>
      </c>
      <c r="R30" s="705" t="s">
        <v>14</v>
      </c>
      <c r="S30" s="706" t="e">
        <f t="shared" si="12"/>
        <v>#N/A</v>
      </c>
      <c r="T30" s="705" t="s">
        <v>14</v>
      </c>
      <c r="U30" s="706" t="e">
        <f t="shared" si="13"/>
        <v>#N/A</v>
      </c>
      <c r="V30" s="705" t="s">
        <v>14</v>
      </c>
      <c r="W30" s="706" t="e">
        <f t="shared" si="14"/>
        <v>#N/A</v>
      </c>
      <c r="X30" s="1355"/>
      <c r="Y30" s="368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6"/>
      <c r="Q31" s="1343" t="str">
        <f t="shared" si="11"/>
        <v>是否封闭</v>
      </c>
      <c r="R31" s="701" t="s">
        <v>14</v>
      </c>
      <c r="S31" s="702">
        <f t="shared" si="12"/>
        <v>100</v>
      </c>
      <c r="T31" s="701" t="s">
        <v>14</v>
      </c>
      <c r="U31" s="702">
        <f t="shared" si="13"/>
        <v>100</v>
      </c>
      <c r="V31" s="701" t="s">
        <v>14</v>
      </c>
      <c r="W31" s="702">
        <f t="shared" si="14"/>
        <v>100</v>
      </c>
      <c r="X31" s="703"/>
      <c r="Y31" s="368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6" t="s">
        <v>1696</v>
      </c>
      <c r="Q32" s="1352">
        <f t="shared" si="11"/>
        <v>111</v>
      </c>
      <c r="R32" s="705" t="s">
        <v>14</v>
      </c>
      <c r="S32" s="706">
        <f t="shared" si="12"/>
        <v>100</v>
      </c>
      <c r="T32" s="705" t="s">
        <v>14</v>
      </c>
      <c r="U32" s="706">
        <f t="shared" si="13"/>
        <v>100</v>
      </c>
      <c r="V32" s="705" t="s">
        <v>14</v>
      </c>
      <c r="W32" s="706">
        <f t="shared" si="14"/>
        <v>100</v>
      </c>
      <c r="X32" s="1355"/>
      <c r="Y32" s="368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6"/>
      <c r="Q33" s="1352">
        <f t="shared" si="11"/>
        <v>111</v>
      </c>
      <c r="R33" s="705" t="s">
        <v>14</v>
      </c>
      <c r="S33" s="706">
        <f t="shared" si="12"/>
        <v>100</v>
      </c>
      <c r="T33" s="705" t="s">
        <v>14</v>
      </c>
      <c r="U33" s="706">
        <f t="shared" si="13"/>
        <v>100</v>
      </c>
      <c r="V33" s="705" t="s">
        <v>14</v>
      </c>
      <c r="W33" s="706">
        <f t="shared" si="14"/>
        <v>100</v>
      </c>
      <c r="X33" s="1355"/>
      <c r="Y33" s="368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6"/>
      <c r="Q34" s="1352">
        <f t="shared" si="11"/>
        <v>111</v>
      </c>
      <c r="R34" s="705" t="s">
        <v>14</v>
      </c>
      <c r="S34" s="706">
        <f t="shared" si="12"/>
        <v>100</v>
      </c>
      <c r="T34" s="705" t="s">
        <v>14</v>
      </c>
      <c r="U34" s="706">
        <f t="shared" si="13"/>
        <v>100</v>
      </c>
      <c r="V34" s="705" t="s">
        <v>14</v>
      </c>
      <c r="W34" s="706">
        <f t="shared" si="14"/>
        <v>100</v>
      </c>
      <c r="X34" s="1355"/>
      <c r="Y34" s="368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9" t="str">
        <f>A35</f>
        <v>成交单价（元/平方米）</v>
      </c>
      <c r="Q35" s="3679"/>
      <c r="R35" s="3680">
        <f>E35</f>
        <v>0</v>
      </c>
      <c r="S35" s="3680"/>
      <c r="T35" s="3680">
        <f>G35</f>
        <v>0</v>
      </c>
      <c r="U35" s="3680"/>
      <c r="V35" s="3680">
        <f>I35</f>
        <v>0</v>
      </c>
      <c r="W35" s="368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6" t="str">
        <f>A37</f>
        <v>估价对象XX用房的比较价值（楼面单价，元/平方米）</v>
      </c>
      <c r="Q37" s="3677"/>
      <c r="R37" s="3772" t="e">
        <f>IF(F1="售价",ROUND(IF(D36="简单平均",AVERAGE(R36:W36),R36*F36+T36*H36+V36*J36),0),ROUND(IF(D36="简单平均",AVERAGE(R36:V36),R36*F36+T36*H36+V36*J36),1))</f>
        <v>#DIV/0!</v>
      </c>
      <c r="S37" s="3772"/>
      <c r="T37" s="3772"/>
      <c r="U37" s="3772"/>
      <c r="V37" s="3772"/>
      <c r="W37" s="377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29" ht="15">
      <c r="A5" s="358"/>
      <c r="B5" s="359"/>
      <c r="C5" s="3713" t="s">
        <v>1673</v>
      </c>
      <c r="D5" s="3714"/>
      <c r="E5" s="3720" t="s">
        <v>1674</v>
      </c>
      <c r="F5" s="3721"/>
      <c r="G5" s="3713" t="s">
        <v>1675</v>
      </c>
      <c r="H5" s="3714"/>
      <c r="I5" s="3713" t="s">
        <v>1676</v>
      </c>
      <c r="J5" s="3714"/>
      <c r="K5" s="559"/>
      <c r="L5" s="2715"/>
      <c r="M5" s="2716"/>
      <c r="N5" s="2716"/>
      <c r="O5" s="2716"/>
      <c r="P5" s="3700"/>
      <c r="Q5" s="3701"/>
      <c r="R5" s="3706"/>
      <c r="S5" s="3707"/>
      <c r="T5" s="3706"/>
      <c r="U5" s="3707"/>
      <c r="V5" s="3710"/>
      <c r="W5" s="3710"/>
      <c r="X5" s="1355"/>
      <c r="Y5" s="3706"/>
      <c r="Z5" s="3707"/>
      <c r="AA5" s="3692"/>
      <c r="AB5" s="3692"/>
      <c r="AC5" s="3692"/>
    </row>
    <row r="6" spans="1:29" ht="15.75" thickBot="1">
      <c r="A6" s="360"/>
      <c r="B6" s="361"/>
      <c r="C6" s="3773" t="s">
        <v>1919</v>
      </c>
      <c r="D6" s="3774"/>
      <c r="E6" s="3775" t="s">
        <v>1919</v>
      </c>
      <c r="F6" s="3776"/>
      <c r="G6" s="3773" t="s">
        <v>1919</v>
      </c>
      <c r="H6" s="3774"/>
      <c r="I6" s="3773" t="s">
        <v>1919</v>
      </c>
      <c r="J6" s="3774"/>
      <c r="K6" s="559" t="s">
        <v>1678</v>
      </c>
      <c r="L6" s="2715"/>
      <c r="M6" s="2716"/>
      <c r="N6" s="2716"/>
      <c r="O6" s="2716"/>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45162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5" t="s">
        <v>1683</v>
      </c>
      <c r="Q8" s="3716"/>
      <c r="R8" s="701" t="s">
        <v>14</v>
      </c>
      <c r="S8" s="702">
        <f t="shared" si="0"/>
        <v>0</v>
      </c>
      <c r="T8" s="701" t="s">
        <v>14</v>
      </c>
      <c r="U8" s="702">
        <f t="shared" si="1"/>
        <v>0</v>
      </c>
      <c r="V8" s="701" t="s">
        <v>14</v>
      </c>
      <c r="W8" s="702">
        <f t="shared" si="2"/>
        <v>0</v>
      </c>
      <c r="X8" s="703"/>
      <c r="Y8" s="3715" t="s">
        <v>1683</v>
      </c>
      <c r="Z8" s="371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9"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102</v>
      </c>
      <c r="G10" s="383"/>
      <c r="H10" s="127">
        <f>ROUND(100/'数据-取费表'!G16,0)</f>
        <v>102</v>
      </c>
      <c r="I10" s="383"/>
      <c r="J10" s="127">
        <f>ROUND(100/'数据-取费表'!G16,0)</f>
        <v>102</v>
      </c>
      <c r="K10" s="620"/>
      <c r="L10" s="2719"/>
      <c r="M10" s="2720"/>
      <c r="N10" s="2720"/>
      <c r="O10" s="2773"/>
      <c r="P10" s="3679"/>
      <c r="Q10" s="1343" t="str">
        <f t="shared" si="6"/>
        <v>土地使用年限（年）</v>
      </c>
      <c r="R10" s="701" t="s">
        <v>14</v>
      </c>
      <c r="S10" s="702">
        <f t="shared" si="0"/>
        <v>102</v>
      </c>
      <c r="T10" s="701" t="s">
        <v>14</v>
      </c>
      <c r="U10" s="702">
        <f t="shared" si="1"/>
        <v>102</v>
      </c>
      <c r="V10" s="701" t="s">
        <v>14</v>
      </c>
      <c r="W10" s="702">
        <f t="shared" si="2"/>
        <v>102</v>
      </c>
      <c r="X10" s="703"/>
      <c r="Y10" s="3575"/>
      <c r="Z10" s="52" t="str">
        <f t="shared" si="7"/>
        <v>土地使用年限（年）</v>
      </c>
      <c r="AA10" s="704">
        <f t="shared" si="3"/>
        <v>0.98039215686274506</v>
      </c>
      <c r="AB10" s="704">
        <f t="shared" si="4"/>
        <v>0.98039215686274506</v>
      </c>
      <c r="AC10" s="704">
        <f t="shared" si="5"/>
        <v>0.98039215686274506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9"/>
      <c r="Q11" s="1343"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9"/>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9"/>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9"/>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1" t="s">
        <v>1691</v>
      </c>
      <c r="Q15" s="1352" t="str">
        <f t="shared" si="6"/>
        <v>产业集聚程度</v>
      </c>
      <c r="R15" s="705" t="s">
        <v>14</v>
      </c>
      <c r="S15" s="706">
        <f t="shared" si="0"/>
        <v>100</v>
      </c>
      <c r="T15" s="705" t="s">
        <v>14</v>
      </c>
      <c r="U15" s="706">
        <f t="shared" si="1"/>
        <v>100</v>
      </c>
      <c r="V15" s="705" t="s">
        <v>14</v>
      </c>
      <c r="W15" s="706">
        <f t="shared" si="2"/>
        <v>100</v>
      </c>
      <c r="X15" s="1355"/>
      <c r="Y15" s="368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2"/>
      <c r="Q16" s="1352"/>
      <c r="R16" s="705"/>
      <c r="S16" s="706"/>
      <c r="T16" s="705"/>
      <c r="U16" s="706"/>
      <c r="V16" s="705"/>
      <c r="W16" s="706"/>
      <c r="X16" s="1355"/>
      <c r="Y16" s="368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2"/>
      <c r="Q18" s="1352"/>
      <c r="R18" s="705"/>
      <c r="S18" s="706"/>
      <c r="T18" s="705"/>
      <c r="U18" s="706"/>
      <c r="V18" s="705"/>
      <c r="W18" s="706"/>
      <c r="X18" s="1355"/>
      <c r="Y18" s="368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2"/>
      <c r="Q19" s="1352" t="str">
        <f t="shared" ref="Q19:Q33" si="8">B19</f>
        <v>区域土地利用方向</v>
      </c>
      <c r="R19" s="705" t="s">
        <v>14</v>
      </c>
      <c r="S19" s="706">
        <f>F19</f>
        <v>100</v>
      </c>
      <c r="T19" s="705" t="s">
        <v>14</v>
      </c>
      <c r="U19" s="706">
        <f>H19</f>
        <v>100</v>
      </c>
      <c r="V19" s="705" t="s">
        <v>14</v>
      </c>
      <c r="W19" s="706">
        <f>J19</f>
        <v>100</v>
      </c>
      <c r="X19" s="1355"/>
      <c r="Y19" s="368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2"/>
      <c r="Q20" s="1352"/>
      <c r="R20" s="705"/>
      <c r="S20" s="706"/>
      <c r="T20" s="705"/>
      <c r="U20" s="706"/>
      <c r="V20" s="705"/>
      <c r="W20" s="706"/>
      <c r="X20" s="1355"/>
      <c r="Y20" s="368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2"/>
      <c r="Q21" s="1352" t="str">
        <f t="shared" si="8"/>
        <v>环境状况</v>
      </c>
      <c r="R21" s="705" t="s">
        <v>14</v>
      </c>
      <c r="S21" s="706">
        <f>F21</f>
        <v>100</v>
      </c>
      <c r="T21" s="705" t="s">
        <v>14</v>
      </c>
      <c r="U21" s="706">
        <f>H21</f>
        <v>100</v>
      </c>
      <c r="V21" s="705" t="s">
        <v>14</v>
      </c>
      <c r="W21" s="706">
        <f>J21</f>
        <v>100</v>
      </c>
      <c r="X21" s="1355"/>
      <c r="Y21" s="368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2"/>
      <c r="Q22" s="1352"/>
      <c r="R22" s="705"/>
      <c r="S22" s="706"/>
      <c r="T22" s="705"/>
      <c r="U22" s="706"/>
      <c r="V22" s="705"/>
      <c r="W22" s="706"/>
      <c r="X22" s="1355"/>
      <c r="Y22" s="368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2"/>
      <c r="Q23" s="1343" t="str">
        <f t="shared" si="8"/>
        <v>公共配套设施</v>
      </c>
      <c r="R23" s="701" t="s">
        <v>14</v>
      </c>
      <c r="S23" s="702">
        <f>F23</f>
        <v>100</v>
      </c>
      <c r="T23" s="701" t="s">
        <v>14</v>
      </c>
      <c r="U23" s="702">
        <f>H23</f>
        <v>100</v>
      </c>
      <c r="V23" s="701" t="s">
        <v>14</v>
      </c>
      <c r="W23" s="702">
        <f>J23</f>
        <v>100</v>
      </c>
      <c r="X23" s="703"/>
      <c r="Y23" s="368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2"/>
      <c r="Q24" s="1343"/>
      <c r="R24" s="701"/>
      <c r="S24" s="702"/>
      <c r="T24" s="701"/>
      <c r="U24" s="702"/>
      <c r="V24" s="701"/>
      <c r="W24" s="702"/>
      <c r="X24" s="703"/>
      <c r="Y24" s="368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2"/>
      <c r="Q25" s="1343" t="str">
        <f t="shared" ref="Q25" si="9">B25</f>
        <v>基础设施水平</v>
      </c>
      <c r="R25" s="701" t="s">
        <v>14</v>
      </c>
      <c r="S25" s="702">
        <f>F25</f>
        <v>100</v>
      </c>
      <c r="T25" s="701" t="s">
        <v>14</v>
      </c>
      <c r="U25" s="702">
        <f>H25</f>
        <v>100</v>
      </c>
      <c r="V25" s="701" t="s">
        <v>14</v>
      </c>
      <c r="W25" s="702">
        <f>J25</f>
        <v>100</v>
      </c>
      <c r="X25" s="703"/>
      <c r="Y25" s="368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2"/>
      <c r="Q26" s="1343"/>
      <c r="R26" s="701"/>
      <c r="S26" s="702"/>
      <c r="T26" s="701"/>
      <c r="U26" s="702"/>
      <c r="V26" s="701"/>
      <c r="W26" s="702"/>
      <c r="X26" s="703"/>
      <c r="Y26" s="368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2"/>
      <c r="Q28" s="1352" t="str">
        <f t="shared" si="8"/>
        <v>毗邻道路的类型与等级</v>
      </c>
      <c r="R28" s="705" t="s">
        <v>14</v>
      </c>
      <c r="S28" s="706">
        <f t="shared" si="10"/>
        <v>100</v>
      </c>
      <c r="T28" s="705" t="s">
        <v>14</v>
      </c>
      <c r="U28" s="706">
        <f t="shared" si="11"/>
        <v>100</v>
      </c>
      <c r="V28" s="705" t="s">
        <v>14</v>
      </c>
      <c r="W28" s="706">
        <f t="shared" si="12"/>
        <v>100</v>
      </c>
      <c r="X28" s="1355"/>
      <c r="Y28" s="368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2"/>
      <c r="Q29" s="1352"/>
      <c r="R29" s="705"/>
      <c r="S29" s="706"/>
      <c r="T29" s="705"/>
      <c r="U29" s="706"/>
      <c r="V29" s="705"/>
      <c r="W29" s="706"/>
      <c r="X29" s="1355"/>
      <c r="Y29" s="368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2"/>
      <c r="Q30" s="1352" t="str">
        <f t="shared" si="8"/>
        <v>土地级别</v>
      </c>
      <c r="R30" s="705" t="s">
        <v>14</v>
      </c>
      <c r="S30" s="706">
        <f t="shared" si="10"/>
        <v>100</v>
      </c>
      <c r="T30" s="705" t="s">
        <v>14</v>
      </c>
      <c r="U30" s="706">
        <f t="shared" si="11"/>
        <v>100</v>
      </c>
      <c r="V30" s="705" t="s">
        <v>14</v>
      </c>
      <c r="W30" s="706">
        <f t="shared" si="12"/>
        <v>100</v>
      </c>
      <c r="X30" s="1355"/>
      <c r="Y30" s="368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2"/>
      <c r="Q31" s="1352">
        <f t="shared" si="8"/>
        <v>111</v>
      </c>
      <c r="R31" s="705" t="s">
        <v>14</v>
      </c>
      <c r="S31" s="706">
        <f t="shared" si="10"/>
        <v>100</v>
      </c>
      <c r="T31" s="705" t="s">
        <v>14</v>
      </c>
      <c r="U31" s="706">
        <f t="shared" si="11"/>
        <v>100</v>
      </c>
      <c r="V31" s="705" t="s">
        <v>14</v>
      </c>
      <c r="W31" s="706">
        <f t="shared" si="12"/>
        <v>100</v>
      </c>
      <c r="X31" s="1355"/>
      <c r="Y31" s="368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5" t="s">
        <v>1696</v>
      </c>
      <c r="Q32" s="1352">
        <f t="shared" si="8"/>
        <v>111</v>
      </c>
      <c r="R32" s="705" t="s">
        <v>14</v>
      </c>
      <c r="S32" s="706">
        <f t="shared" si="10"/>
        <v>100</v>
      </c>
      <c r="T32" s="705" t="s">
        <v>14</v>
      </c>
      <c r="U32" s="706">
        <f t="shared" si="11"/>
        <v>100</v>
      </c>
      <c r="V32" s="705" t="s">
        <v>14</v>
      </c>
      <c r="W32" s="706">
        <f t="shared" si="12"/>
        <v>100</v>
      </c>
      <c r="X32" s="1355"/>
      <c r="Y32" s="368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6"/>
      <c r="Q33" s="1352">
        <f t="shared" si="8"/>
        <v>111</v>
      </c>
      <c r="R33" s="708" t="s">
        <v>14</v>
      </c>
      <c r="S33" s="709">
        <f t="shared" si="10"/>
        <v>100</v>
      </c>
      <c r="T33" s="708" t="s">
        <v>14</v>
      </c>
      <c r="U33" s="709">
        <f t="shared" si="11"/>
        <v>100</v>
      </c>
      <c r="V33" s="708" t="s">
        <v>14</v>
      </c>
      <c r="W33" s="709">
        <f t="shared" si="12"/>
        <v>100</v>
      </c>
      <c r="X33" s="710"/>
      <c r="Y33" s="368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6"/>
      <c r="Q34" s="1352" t="str">
        <f>B34</f>
        <v>宗地面积</v>
      </c>
      <c r="R34" s="705" t="s">
        <v>14</v>
      </c>
      <c r="S34" s="706" t="e">
        <f t="shared" si="10"/>
        <v>#N/A</v>
      </c>
      <c r="T34" s="705" t="s">
        <v>14</v>
      </c>
      <c r="U34" s="706" t="e">
        <f t="shared" si="11"/>
        <v>#N/A</v>
      </c>
      <c r="V34" s="705" t="s">
        <v>14</v>
      </c>
      <c r="W34" s="706" t="e">
        <f t="shared" si="12"/>
        <v>#N/A</v>
      </c>
      <c r="X34" s="1355"/>
      <c r="Y34" s="368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6"/>
      <c r="Q35" s="1352" t="str">
        <f t="shared" ref="Q35:Q40" si="14">B35</f>
        <v>宗地形状</v>
      </c>
      <c r="R35" s="705" t="s">
        <v>14</v>
      </c>
      <c r="S35" s="706">
        <f t="shared" si="10"/>
        <v>100</v>
      </c>
      <c r="T35" s="705" t="s">
        <v>14</v>
      </c>
      <c r="U35" s="706">
        <f t="shared" si="11"/>
        <v>100</v>
      </c>
      <c r="V35" s="705" t="s">
        <v>14</v>
      </c>
      <c r="W35" s="706">
        <f t="shared" si="12"/>
        <v>100</v>
      </c>
      <c r="X35" s="1355"/>
      <c r="Y35" s="368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6"/>
      <c r="Q36" s="1352" t="str">
        <f t="shared" si="14"/>
        <v>宗地开发程度</v>
      </c>
      <c r="R36" s="701" t="s">
        <v>14</v>
      </c>
      <c r="S36" s="702">
        <f t="shared" si="10"/>
        <v>100</v>
      </c>
      <c r="T36" s="701" t="s">
        <v>14</v>
      </c>
      <c r="U36" s="702">
        <f t="shared" si="11"/>
        <v>100</v>
      </c>
      <c r="V36" s="701" t="s">
        <v>14</v>
      </c>
      <c r="W36" s="702">
        <f t="shared" si="12"/>
        <v>100</v>
      </c>
      <c r="X36" s="703"/>
      <c r="Y36" s="368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6" t="s">
        <v>1696</v>
      </c>
      <c r="Q37" s="1352" t="str">
        <f t="shared" si="14"/>
        <v>工程地质条件</v>
      </c>
      <c r="R37" s="705" t="s">
        <v>14</v>
      </c>
      <c r="S37" s="706">
        <f t="shared" si="10"/>
        <v>100</v>
      </c>
      <c r="T37" s="705" t="s">
        <v>14</v>
      </c>
      <c r="U37" s="706">
        <f t="shared" si="11"/>
        <v>100</v>
      </c>
      <c r="V37" s="705" t="s">
        <v>14</v>
      </c>
      <c r="W37" s="706">
        <f t="shared" si="12"/>
        <v>100</v>
      </c>
      <c r="X37" s="1355"/>
      <c r="Y37" s="368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6"/>
      <c r="Q38" s="1352">
        <f t="shared" si="14"/>
        <v>111</v>
      </c>
      <c r="R38" s="705" t="s">
        <v>14</v>
      </c>
      <c r="S38" s="706">
        <f t="shared" si="10"/>
        <v>100</v>
      </c>
      <c r="T38" s="705" t="s">
        <v>14</v>
      </c>
      <c r="U38" s="706">
        <f t="shared" si="11"/>
        <v>100</v>
      </c>
      <c r="V38" s="705" t="s">
        <v>14</v>
      </c>
      <c r="W38" s="706">
        <f t="shared" si="12"/>
        <v>100</v>
      </c>
      <c r="X38" s="1355"/>
      <c r="Y38" s="368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6"/>
      <c r="Q39" s="1352">
        <f t="shared" si="14"/>
        <v>111</v>
      </c>
      <c r="R39" s="705" t="s">
        <v>14</v>
      </c>
      <c r="S39" s="706">
        <f t="shared" si="10"/>
        <v>100</v>
      </c>
      <c r="T39" s="705" t="s">
        <v>14</v>
      </c>
      <c r="U39" s="706">
        <f t="shared" si="11"/>
        <v>100</v>
      </c>
      <c r="V39" s="705" t="s">
        <v>14</v>
      </c>
      <c r="W39" s="706">
        <f t="shared" si="12"/>
        <v>100</v>
      </c>
      <c r="X39" s="1355"/>
      <c r="Y39" s="368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6"/>
      <c r="Q40" s="1352">
        <f t="shared" si="14"/>
        <v>111</v>
      </c>
      <c r="R40" s="708" t="s">
        <v>14</v>
      </c>
      <c r="S40" s="709">
        <f t="shared" si="10"/>
        <v>100</v>
      </c>
      <c r="T40" s="708" t="s">
        <v>14</v>
      </c>
      <c r="U40" s="709">
        <f t="shared" si="11"/>
        <v>100</v>
      </c>
      <c r="V40" s="708" t="s">
        <v>14</v>
      </c>
      <c r="W40" s="709">
        <f t="shared" si="12"/>
        <v>100</v>
      </c>
      <c r="X40" s="710"/>
      <c r="Y40" s="368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9" t="str">
        <f>A41</f>
        <v>成交单价</v>
      </c>
      <c r="Q41" s="3679"/>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9" t="str">
        <f>A42</f>
        <v>比较价值（元/平方米）</v>
      </c>
      <c r="Q42" s="3679"/>
      <c r="R42" s="3722" t="e">
        <f>ROUND(PRODUCT(R41,AA7:AA40),0)</f>
        <v>#DIV/0!</v>
      </c>
      <c r="S42" s="3722"/>
      <c r="T42" s="3722" t="e">
        <f>ROUND(PRODUCT(T41,AB7:AB40),0)</f>
        <v>#DIV/0!</v>
      </c>
      <c r="U42" s="3722"/>
      <c r="V42" s="3722" t="e">
        <f>ROUND(PRODUCT(V41,AC7:AC40),0)</f>
        <v>#DIV/0!</v>
      </c>
      <c r="W42" s="372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6" t="str">
        <f>A43</f>
        <v>估价对象XX用房的比较价值（楼面单价，元/平方米）</v>
      </c>
      <c r="Q43" s="3677"/>
      <c r="R43" s="3723" t="e">
        <f>ROUND(IF(D42="简单平均",AVERAGE(R42:W42),R42*F42+T42*H42+V42*J42),0)</f>
        <v>#DIV/0!</v>
      </c>
      <c r="S43" s="3723"/>
      <c r="T43" s="3723"/>
      <c r="U43" s="3723"/>
      <c r="V43" s="3723"/>
      <c r="W43" s="372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4" t="s">
        <v>1887</v>
      </c>
      <c r="H50" s="372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87.89</v>
      </c>
      <c r="F51" s="639" t="e">
        <f t="shared" ref="F51:F60" si="15">ROUND(B51*E51/10000,0)</f>
        <v>#DIV/0!</v>
      </c>
      <c r="G51" s="3690"/>
      <c r="H51" s="367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38.369999999999997</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0" t="s">
        <v>2084</v>
      </c>
      <c r="D1" s="3781"/>
      <c r="E1" s="3781"/>
      <c r="F1" s="3781"/>
      <c r="G1" s="3781"/>
      <c r="H1" s="3781"/>
      <c r="I1" s="3781"/>
      <c r="J1" s="3781"/>
      <c r="K1" s="3781"/>
      <c r="L1" s="3781"/>
      <c r="M1" s="3781"/>
      <c r="N1" s="3781"/>
      <c r="O1" s="3781"/>
      <c r="P1" s="3781"/>
      <c r="Q1" s="3781"/>
      <c r="R1" s="3781"/>
      <c r="S1" s="378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7" t="s">
        <v>27</v>
      </c>
      <c r="D22" s="3778"/>
      <c r="E22" s="3778"/>
      <c r="F22" s="3778"/>
      <c r="G22" s="3778"/>
      <c r="H22" s="3778"/>
      <c r="I22" s="3778"/>
      <c r="J22" s="3778"/>
      <c r="K22" s="3778"/>
      <c r="L22" s="3778"/>
      <c r="M22" s="3778"/>
      <c r="N22" s="3778"/>
      <c r="O22" s="3778"/>
      <c r="P22" s="3778"/>
      <c r="Q22" s="377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136</v>
      </c>
      <c r="C2" s="2145" t="s">
        <v>2074</v>
      </c>
      <c r="D2" s="2145" t="s">
        <v>2075</v>
      </c>
      <c r="E2" s="2612">
        <f ca="1">SUMIF(E6:E13,"&lt;&gt;#ref!",E6:E13)</f>
        <v>126.25999999999999</v>
      </c>
      <c r="F2" s="2793"/>
      <c r="G2" s="2793"/>
      <c r="H2" s="2793"/>
      <c r="I2" s="2793"/>
      <c r="J2" s="2793"/>
      <c r="K2" s="2793"/>
      <c r="L2" s="2793"/>
      <c r="M2" s="2793"/>
      <c r="N2" s="2793"/>
      <c r="O2" s="2793"/>
      <c r="P2" s="2793"/>
    </row>
    <row r="3" spans="1:16" ht="15.75">
      <c r="A3" s="2145" t="s">
        <v>2076</v>
      </c>
      <c r="B3" s="2602">
        <f ca="1">ROUND(B2*10000/E2,0)</f>
        <v>10771</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136</v>
      </c>
      <c r="C6" s="2145" t="s">
        <v>2074</v>
      </c>
      <c r="D6" s="2793"/>
      <c r="E6" s="2612">
        <f ca="1">SUMIF(INDIRECT("'"&amp;A6&amp;"'"&amp;"!C:C"),"建筑面积",INDIRECT("'"&amp;A6&amp;"'"&amp;"!D:D"))</f>
        <v>126.25999999999999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9.5" thickBot="1">
      <c r="A4" s="1493"/>
      <c r="B4" s="3489" t="s">
        <v>917</v>
      </c>
      <c r="C4" s="3489"/>
      <c r="D4" s="3489"/>
      <c r="E4" s="1493"/>
    </row>
    <row r="5" spans="1:5" ht="16.5" thickTop="1">
      <c r="A5" s="1491"/>
      <c r="B5" s="3487" t="s">
        <v>909</v>
      </c>
      <c r="C5" s="1494" t="s">
        <v>910</v>
      </c>
      <c r="D5" s="850" t="e">
        <f ca="1">'结果表-住宅'!H101</f>
        <v>#REF!</v>
      </c>
      <c r="E5" s="1491"/>
    </row>
    <row r="6" spans="1:5" ht="15.75">
      <c r="A6" s="1491"/>
      <c r="B6" s="3487"/>
      <c r="C6" s="1494" t="s">
        <v>911</v>
      </c>
      <c r="D6" s="850" t="e">
        <f ca="1">NUMBERSTRING(INT(D5*10000),2)&amp;"元整"</f>
        <v>#REF!</v>
      </c>
      <c r="E6" s="1491"/>
    </row>
    <row r="7" spans="1:5" ht="15.75">
      <c r="A7" s="1491"/>
      <c r="B7" s="3492"/>
      <c r="C7" s="1495" t="s">
        <v>912</v>
      </c>
      <c r="D7" s="851" t="e">
        <f ca="1">'结果表-住宅'!H102</f>
        <v>#REF!</v>
      </c>
      <c r="E7" s="1491"/>
    </row>
    <row r="8" spans="1:5" ht="15.75">
      <c r="A8" s="1491"/>
      <c r="B8" s="3493" t="str">
        <f>'结果表-住宅'!E103</f>
        <v>2.估价师知悉的法定优先受偿款</v>
      </c>
      <c r="C8" s="1496" t="s">
        <v>913</v>
      </c>
      <c r="D8" s="851">
        <f>'结果表-住宅'!H103</f>
        <v>0</v>
      </c>
      <c r="E8" s="1491"/>
    </row>
    <row r="9" spans="1:5" ht="15.75">
      <c r="A9" s="1491"/>
      <c r="B9" s="3495"/>
      <c r="C9" s="1494" t="s">
        <v>911</v>
      </c>
      <c r="D9" s="850" t="str">
        <f>NUMBERSTRING(INT(D8*10000),2)&amp;"元整"</f>
        <v>零元整</v>
      </c>
      <c r="E9" s="1491"/>
    </row>
    <row r="10" spans="1:5" ht="15">
      <c r="A10" s="1491"/>
      <c r="B10" s="1497" t="s">
        <v>916</v>
      </c>
      <c r="C10" s="1498" t="s">
        <v>914</v>
      </c>
      <c r="D10" s="852">
        <f>'结果表-住宅'!H104</f>
        <v>0</v>
      </c>
      <c r="E10" s="1491"/>
    </row>
    <row r="11" spans="1:5" ht="15">
      <c r="A11" s="1491"/>
      <c r="B11" s="1497" t="s">
        <v>918</v>
      </c>
      <c r="C11" s="1498" t="s">
        <v>919</v>
      </c>
      <c r="D11" s="852">
        <f>'结果表-住宅'!H105</f>
        <v>0</v>
      </c>
      <c r="E11" s="1491"/>
    </row>
    <row r="12" spans="1:5" ht="15">
      <c r="A12" s="1491"/>
      <c r="B12" s="1497" t="s">
        <v>920</v>
      </c>
      <c r="C12" s="1498" t="s">
        <v>919</v>
      </c>
      <c r="D12" s="852">
        <f>'结果表-住宅'!H106</f>
        <v>0</v>
      </c>
      <c r="E12" s="1491"/>
    </row>
    <row r="13" spans="1:5" ht="15.75">
      <c r="A13" s="1491"/>
      <c r="B13" s="3486" t="str">
        <f>'结果表-住宅'!E107</f>
        <v>3.房地产抵押价值</v>
      </c>
      <c r="C13" s="1499" t="s">
        <v>910</v>
      </c>
      <c r="D13" s="853" t="e">
        <f ca="1">'结果表-住宅'!H107</f>
        <v>#REF!</v>
      </c>
      <c r="E13" s="1491"/>
    </row>
    <row r="14" spans="1:5" ht="15.75">
      <c r="A14" s="1491"/>
      <c r="B14" s="3487"/>
      <c r="C14" s="1494" t="s">
        <v>911</v>
      </c>
      <c r="D14" s="850" t="e">
        <f ca="1">NUMBERSTRING(INT(D13*10000),2)&amp;"元整"</f>
        <v>#REF!</v>
      </c>
      <c r="E14" s="1491"/>
    </row>
    <row r="15" spans="1:5" ht="15">
      <c r="A15" s="1491"/>
      <c r="B15" s="3492"/>
      <c r="C15" s="1495" t="s">
        <v>921</v>
      </c>
      <c r="D15" s="859" t="e">
        <f ca="1">'结果表-住宅'!H108</f>
        <v>#REF!</v>
      </c>
      <c r="E15" s="1491"/>
    </row>
    <row r="16" spans="1:5" ht="15">
      <c r="A16" s="1491"/>
      <c r="B16" s="3493" t="str">
        <f>'结果表-住宅'!E109</f>
        <v>——</v>
      </c>
      <c r="C16" s="1499" t="s">
        <v>922</v>
      </c>
      <c r="D16" s="1500" t="str">
        <f>'结果表-住宅'!H109</f>
        <v>——</v>
      </c>
      <c r="E16" s="1491"/>
    </row>
    <row r="17" spans="1:5" ht="15.75">
      <c r="A17" s="1491"/>
      <c r="B17" s="3494"/>
      <c r="C17" s="1494" t="s">
        <v>923</v>
      </c>
      <c r="D17" s="850" t="e">
        <f>NUMBERSTRING(INT(D16*10000),2)&amp;"元整"</f>
        <v>#VALUE!</v>
      </c>
      <c r="E17" s="1491"/>
    </row>
    <row r="18" spans="1:5" ht="15">
      <c r="A18" s="1491"/>
      <c r="B18" s="3495"/>
      <c r="C18" s="1495" t="s">
        <v>912</v>
      </c>
      <c r="D18" s="859" t="str">
        <f>'结果表-住宅'!H110</f>
        <v>——</v>
      </c>
      <c r="E18" s="1491"/>
    </row>
    <row r="19" spans="1:5" ht="15.75">
      <c r="A19" s="1491"/>
      <c r="B19" s="3486" t="str">
        <f>'结果表-住宅'!E111</f>
        <v>——</v>
      </c>
      <c r="C19" s="1499" t="s">
        <v>910</v>
      </c>
      <c r="D19" s="851" t="str">
        <f>'结果表-住宅'!H111</f>
        <v>——</v>
      </c>
      <c r="E19" s="1491"/>
    </row>
    <row r="20" spans="1:5" ht="15.75">
      <c r="A20" s="1491"/>
      <c r="B20" s="3487"/>
      <c r="C20" s="1494" t="s">
        <v>923</v>
      </c>
      <c r="D20" s="850" t="e">
        <f>NUMBERSTRING(INT(D19*10000),2)&amp;"元整"</f>
        <v>#VALUE!</v>
      </c>
      <c r="E20" s="1491"/>
    </row>
    <row r="21" spans="1:5" ht="15.75" thickBot="1">
      <c r="A21" s="1491"/>
      <c r="B21" s="3488"/>
      <c r="C21" s="1501" t="s">
        <v>921</v>
      </c>
      <c r="D21" s="860" t="str">
        <f>'结果表-住宅'!H112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4" zoomScale="80" zoomScaleNormal="80" zoomScaleSheetLayoutView="80" workbookViewId="0">
      <selection activeCell="F21" sqref="F2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126.25999999999999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136</v>
      </c>
      <c r="C2" s="1999" t="s">
        <v>1935</v>
      </c>
      <c r="D2" s="2000" t="s">
        <v>1936</v>
      </c>
      <c r="E2" s="3422" t="s">
        <v>3379</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19874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10771</v>
      </c>
      <c r="C3" s="1999" t="s">
        <v>1941</v>
      </c>
      <c r="D3" s="2000" t="s">
        <v>1942</v>
      </c>
      <c r="E3" s="3420" t="s">
        <v>3380</v>
      </c>
      <c r="F3" s="2004" t="s">
        <v>3391</v>
      </c>
      <c r="G3" s="752">
        <f>IF(F3="宗地容积率",'数据-汇总表'!I4,IF(F3="估价对象容积率",'数据-汇总表'!I6,'数据-汇总表'!I7))</f>
        <v>1.6</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15665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90"/>
      <c r="B4" s="3791"/>
      <c r="C4" s="3791"/>
      <c r="D4" s="3792"/>
      <c r="E4" s="3792"/>
      <c r="F4" s="3792"/>
      <c r="G4" s="3792"/>
      <c r="H4" s="3792"/>
      <c r="I4" s="3792"/>
      <c r="J4" s="379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13239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11771</v>
      </c>
      <c r="D5" s="1339">
        <f>ROUND(C6*C17+C20,0)</f>
        <v>11210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11676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11210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11221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11210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1.6</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87" t="s">
        <v>1960</v>
      </c>
      <c r="X8" s="378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89"/>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8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1.05</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3394</v>
      </c>
      <c r="D15" s="2044" t="s">
        <v>3393</v>
      </c>
      <c r="E15" s="2045" t="s">
        <v>3395</v>
      </c>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v>1</v>
      </c>
      <c r="D16" s="3318">
        <v>1.05</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94" t="s">
        <v>3259</v>
      </c>
      <c r="B20" s="167" t="s">
        <v>1994</v>
      </c>
      <c r="C20" s="3325">
        <f>ROUND(IF(F21="与级别开发程度一致",0,(G21-E21)/C21),0)</f>
        <v>0</v>
      </c>
      <c r="D20" s="3341" t="s">
        <v>1998</v>
      </c>
      <c r="E20" s="3342"/>
      <c r="F20" s="3800" t="s">
        <v>1995</v>
      </c>
      <c r="G20" s="380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9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3392</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1.0818000000000001</v>
      </c>
      <c r="D23" s="2054" t="s">
        <v>2002</v>
      </c>
      <c r="E23" s="761">
        <v>44197</v>
      </c>
      <c r="F23" s="2054" t="s">
        <v>2003</v>
      </c>
      <c r="G23" s="762">
        <f>'数据-取费表'!B2</f>
        <v>45162</v>
      </c>
      <c r="H23" s="3343" t="s">
        <v>3261</v>
      </c>
      <c r="I23" s="3344" t="str">
        <f>IF(H23="季度增幅（自定义）",SUMIF(N25:N28,E2,O25:O28),"")</f>
        <v/>
      </c>
      <c r="J23" s="3446" t="s">
        <v>3260</v>
      </c>
      <c r="K23" s="1125"/>
      <c r="L23" s="2055" t="s">
        <v>2004</v>
      </c>
      <c r="M23" s="1328">
        <f>ROUND(SUMIF(地价!B2:G2,E2,地价!B16:G16),0)</f>
        <v>687</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0.98919999999999997</v>
      </c>
      <c r="D24" s="2060" t="s">
        <v>2007</v>
      </c>
      <c r="E24" s="1335">
        <f>存贷款利率!E24/100</f>
        <v>4.3499999999999997E-2</v>
      </c>
      <c r="F24" s="2060" t="s">
        <v>1999</v>
      </c>
      <c r="G24" s="768">
        <f>SUMIF(M30:Q30,E2,M33:Q33)</f>
        <v>0.05</v>
      </c>
      <c r="H24" s="2060" t="s">
        <v>2008</v>
      </c>
      <c r="I24" s="769">
        <f>SUMIF('数据-取费表'!C6:C15,E2,'数据-取费表'!F6:F15)/COUNTIF('数据-取费表'!C6:C15,E2)</f>
        <v>64.349999999999994</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1.1087</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1.1087</v>
      </c>
      <c r="E26" s="752">
        <f>ROUNDDOWN(G3,1)</f>
        <v>1.6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1.1087</v>
      </c>
      <c r="G26" s="752">
        <f>ROUNDUP(G3,1)</f>
        <v>1.6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1.1087</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1.0505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136</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14671</v>
      </c>
      <c r="D33" s="2098">
        <f>'数据-汇总表'!F19</f>
        <v>87.89</v>
      </c>
      <c r="E33" s="773">
        <f>ROUND(C33*D33/10000,0)</f>
        <v>129</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3668</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8"/>
      <c r="B37" s="2113" t="s">
        <v>2036</v>
      </c>
      <c r="C37" s="175">
        <f>ROUND(D5*C22*C23*C24*C28*F37,0)</f>
        <v>7561</v>
      </c>
      <c r="D37" s="2098"/>
      <c r="E37" s="171">
        <f>ROUND(C37*D37/10000,0)</f>
        <v>0</v>
      </c>
      <c r="F37" s="171">
        <f>SUMIF(修正!A57:A68,G2,修正!B57:B68)</f>
        <v>0.6</v>
      </c>
      <c r="G37" s="171">
        <f>ROUND(IF(E2="工业",C37*$M$42,C37*$M$41),0)</f>
        <v>1890</v>
      </c>
      <c r="H37" s="171">
        <f>D37</f>
        <v>0</v>
      </c>
      <c r="I37" s="171">
        <f>ROUND(G37*H37/10000,0)</f>
        <v>0</v>
      </c>
      <c r="J37" s="3012"/>
      <c r="K37" s="3359" t="s">
        <v>3271</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9"/>
      <c r="B38" s="2041" t="s">
        <v>2037</v>
      </c>
      <c r="C38" s="175">
        <f>ROUND(D5*C22*C23*C24*C28*F38,0)</f>
        <v>3781</v>
      </c>
      <c r="D38" s="2098"/>
      <c r="E38" s="171">
        <f t="shared" ref="E38:E42" si="4">ROUND(C38*D38/10000,0)</f>
        <v>0</v>
      </c>
      <c r="F38" s="171">
        <f>SUMIF(修正!A57:A68,G2,修正!C57:C68)</f>
        <v>0.3</v>
      </c>
      <c r="G38" s="171">
        <f>ROUND(IF(E2="工业",C38*$M$42,C38*$M$41),0)</f>
        <v>945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99"/>
      <c r="B39" s="2041" t="s">
        <v>3264</v>
      </c>
      <c r="C39" s="175">
        <f>ROUND(D5*C22*C23*C24*C28*F39,0)</f>
        <v>3150</v>
      </c>
      <c r="D39" s="2098"/>
      <c r="E39" s="171">
        <f t="shared" si="4"/>
        <v>0</v>
      </c>
      <c r="F39" s="171">
        <f>SUMIF(修正!A57:A68,G2,修正!D57:D68)</f>
        <v>0.25</v>
      </c>
      <c r="G39" s="171">
        <f>ROUND(IF(E2="工业",C39*$M$42,C39*$M$41),0)</f>
        <v>788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3150</v>
      </c>
      <c r="D40" s="2098"/>
      <c r="E40" s="171">
        <f t="shared" si="4"/>
        <v>0</v>
      </c>
      <c r="F40" s="175">
        <f>SUMIF(修正!A57:A68,G2,修正!E57:E68)</f>
        <v>0.25</v>
      </c>
      <c r="G40" s="171">
        <f>ROUND(IF(E2="工业",C40*$M$42,C40*$M$41),0)</f>
        <v>788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3088</v>
      </c>
      <c r="D41" s="2098"/>
      <c r="E41" s="171">
        <f t="shared" si="4"/>
        <v>0</v>
      </c>
      <c r="F41" s="175">
        <f>SUMIF(修正!A57:A68,G2,修正!F57:F68)</f>
        <v>0.25</v>
      </c>
      <c r="G41" s="171">
        <f>ROUND(IF(E2="工业",C41*$M$42,C41*$M$41),0)</f>
        <v>772</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1853</v>
      </c>
      <c r="D42" s="2103">
        <f>'数据-汇总表'!G20</f>
        <v>38.369999999999997</v>
      </c>
      <c r="E42" s="187">
        <f t="shared" si="4"/>
        <v>7</v>
      </c>
      <c r="F42" s="767">
        <f>SUMIF(修正!A57:A68,G2,修正!G57:G68)</f>
        <v>0.15</v>
      </c>
      <c r="G42" s="187">
        <f>ROUND(IF(E2="工业",C42*$M$42,C42*$M$41),0)</f>
        <v>463</v>
      </c>
      <c r="H42" s="187">
        <f t="shared" si="5"/>
        <v>38.369999999999997</v>
      </c>
      <c r="I42" s="187">
        <f t="shared" si="6"/>
        <v>2</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0.96960000000000002</v>
      </c>
      <c r="D44" s="171" t="s">
        <v>1999</v>
      </c>
      <c r="E44" s="2153">
        <f>G24</f>
        <v>0.05</v>
      </c>
      <c r="F44" s="171" t="s">
        <v>2008</v>
      </c>
      <c r="G44" s="183">
        <f>项目基本情况!F15</f>
        <v>44.34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1.0505</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t="s">
        <v>3397</v>
      </c>
      <c r="D72" s="1065">
        <f t="shared" ref="D72:D80" si="17">SUMIF($J$71:$N$71,C72,J72:N72)</f>
        <v>1.2999999999999999E-2</v>
      </c>
      <c r="E72" s="744">
        <f>ROUND(SUM(D72:D80),4)</f>
        <v>5.0500000000000003E-2</v>
      </c>
      <c r="F72" s="1814">
        <f>IF(E2="住宅",SUMIF(L1:L12,G2,N1:N12),"——")</f>
        <v>0.13</v>
      </c>
      <c r="G72" s="1063">
        <v>1.2999999999999999E-2</v>
      </c>
      <c r="H72" s="1066">
        <f t="shared" ref="H72:H80" si="18">IFERROR(ROUNDDOWN($F$72*I72/2,4),"——")</f>
        <v>1.2999999999999999E-2</v>
      </c>
      <c r="I72" s="3367">
        <v>0.2</v>
      </c>
      <c r="J72" s="1064">
        <f t="shared" ref="J72:J80" si="19">K72+$G72</f>
        <v>2.5999999999999999E-2</v>
      </c>
      <c r="K72" s="1064">
        <f t="shared" ref="K72:K80" si="20">$L72+$G72</f>
        <v>1.2999999999999999E-2</v>
      </c>
      <c r="L72" s="1064">
        <v>0</v>
      </c>
      <c r="M72" s="1064">
        <f t="shared" ref="M72:N80" si="21">L72-$G72</f>
        <v>-1.2999999999999999E-2</v>
      </c>
      <c r="N72" s="1064">
        <f t="shared" si="21"/>
        <v>-2.5999999999999999E-2</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t="s">
        <v>3396</v>
      </c>
      <c r="D73" s="1065">
        <f t="shared" si="17"/>
        <v>0</v>
      </c>
      <c r="E73" s="747"/>
      <c r="F73" s="1814"/>
      <c r="G73" s="1063">
        <v>1.6899999999999998E-2</v>
      </c>
      <c r="H73" s="1066">
        <f t="shared" si="18"/>
        <v>1.6899999999999998E-2</v>
      </c>
      <c r="I73" s="3367">
        <v>0.26</v>
      </c>
      <c r="J73" s="1064">
        <f t="shared" si="19"/>
        <v>3.3799999999999997E-2</v>
      </c>
      <c r="K73" s="1064">
        <f t="shared" si="20"/>
        <v>1.6899999999999998E-2</v>
      </c>
      <c r="L73" s="1064">
        <v>0</v>
      </c>
      <c r="M73" s="1064">
        <f t="shared" si="21"/>
        <v>-1.6899999999999998E-2</v>
      </c>
      <c r="N73" s="1064">
        <f t="shared" si="21"/>
        <v>-3.3799999999999997E-2</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t="s">
        <v>3397</v>
      </c>
      <c r="D74" s="1065">
        <f t="shared" si="17"/>
        <v>6.4999999999999997E-3</v>
      </c>
      <c r="E74" s="747"/>
      <c r="F74" s="1814"/>
      <c r="G74" s="1063">
        <v>6.4999999999999997E-3</v>
      </c>
      <c r="H74" s="1066">
        <f t="shared" si="18"/>
        <v>6.4999999999999997E-3</v>
      </c>
      <c r="I74" s="3367">
        <v>0.1</v>
      </c>
      <c r="J74" s="1064">
        <f t="shared" si="19"/>
        <v>1.2999999999999999E-2</v>
      </c>
      <c r="K74" s="1064">
        <f t="shared" si="20"/>
        <v>6.4999999999999997E-3</v>
      </c>
      <c r="L74" s="1064">
        <v>0</v>
      </c>
      <c r="M74" s="1064">
        <f t="shared" si="21"/>
        <v>-6.4999999999999997E-3</v>
      </c>
      <c r="N74" s="1064">
        <f t="shared" si="21"/>
        <v>-1.2999999999999999E-2</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3396</v>
      </c>
      <c r="D75" s="1065">
        <f t="shared" si="17"/>
        <v>0</v>
      </c>
      <c r="E75" s="747"/>
      <c r="F75" s="1814"/>
      <c r="G75" s="1063">
        <v>3.2000000000000002E-3</v>
      </c>
      <c r="H75" s="1066">
        <f t="shared" si="18"/>
        <v>3.2000000000000002E-3</v>
      </c>
      <c r="I75" s="3367">
        <v>0.05</v>
      </c>
      <c r="J75" s="1064">
        <f t="shared" si="19"/>
        <v>6.4000000000000003E-3</v>
      </c>
      <c r="K75" s="1064">
        <f t="shared" si="20"/>
        <v>3.2000000000000002E-3</v>
      </c>
      <c r="L75" s="1064">
        <v>0</v>
      </c>
      <c r="M75" s="1064">
        <f t="shared" si="21"/>
        <v>-3.2000000000000002E-3</v>
      </c>
      <c r="N75" s="1064">
        <f t="shared" si="21"/>
        <v>-6.4000000000000003E-3</v>
      </c>
      <c r="O75" s="1119"/>
      <c r="P75" s="1119"/>
      <c r="Q75" s="1997"/>
      <c r="Z75" s="1998"/>
      <c r="AA75" s="2053"/>
      <c r="AG75" s="1121"/>
      <c r="AK75" s="2053"/>
    </row>
    <row r="76" spans="1:37" ht="25.5">
      <c r="A76" s="2130" t="s">
        <v>2059</v>
      </c>
      <c r="B76" s="1326" t="str">
        <f>估价对象房地状况!C21</f>
        <v>估价对象所在区域公共配套设施齐备情况</v>
      </c>
      <c r="C76" s="2044" t="s">
        <v>3397</v>
      </c>
      <c r="D76" s="1065">
        <f t="shared" si="17"/>
        <v>5.1999999999999998E-3</v>
      </c>
      <c r="E76" s="747"/>
      <c r="F76" s="1814"/>
      <c r="G76" s="1063">
        <v>5.1999999999999998E-3</v>
      </c>
      <c r="H76" s="1066">
        <f t="shared" si="18"/>
        <v>5.1999999999999998E-3</v>
      </c>
      <c r="I76" s="3367">
        <v>0.08</v>
      </c>
      <c r="J76" s="1064">
        <f t="shared" si="19"/>
        <v>1.04E-2</v>
      </c>
      <c r="K76" s="1064">
        <f t="shared" si="20"/>
        <v>5.1999999999999998E-3</v>
      </c>
      <c r="L76" s="1064">
        <v>0</v>
      </c>
      <c r="M76" s="1064">
        <f t="shared" si="21"/>
        <v>-5.1999999999999998E-3</v>
      </c>
      <c r="N76" s="1064">
        <f t="shared" si="21"/>
        <v>-1.04E-2</v>
      </c>
      <c r="O76" s="1119"/>
      <c r="P76" s="1119"/>
      <c r="Z76" s="1998"/>
      <c r="AA76" s="2053"/>
      <c r="AG76" s="1121"/>
      <c r="AK76" s="2053"/>
    </row>
    <row r="77" spans="1:37" ht="25.5">
      <c r="A77" s="2130" t="s">
        <v>2060</v>
      </c>
      <c r="B77" s="1326" t="str">
        <f>估价对象房地状况!C22</f>
        <v>估价对象所在区域基础设施水平</v>
      </c>
      <c r="C77" s="2044" t="s">
        <v>3398</v>
      </c>
      <c r="D77" s="1065">
        <f t="shared" si="17"/>
        <v>1.1599999999999999E-2</v>
      </c>
      <c r="E77" s="747"/>
      <c r="F77" s="1814"/>
      <c r="G77" s="1063">
        <v>5.7999999999999996E-3</v>
      </c>
      <c r="H77" s="1066">
        <f t="shared" si="18"/>
        <v>5.7999999999999996E-3</v>
      </c>
      <c r="I77" s="3367">
        <v>0.09</v>
      </c>
      <c r="J77" s="1064">
        <f t="shared" si="19"/>
        <v>1.1599999999999999E-2</v>
      </c>
      <c r="K77" s="1064">
        <f t="shared" si="20"/>
        <v>5.7999999999999996E-3</v>
      </c>
      <c r="L77" s="1064">
        <v>0</v>
      </c>
      <c r="M77" s="1064">
        <f t="shared" si="21"/>
        <v>-5.7999999999999996E-3</v>
      </c>
      <c r="N77" s="1064">
        <f t="shared" si="21"/>
        <v>-1.1599999999999999E-2</v>
      </c>
      <c r="O77" s="1119"/>
      <c r="P77" s="1119"/>
      <c r="Z77" s="1998"/>
      <c r="AA77" s="2053"/>
      <c r="AG77" s="1121"/>
      <c r="AK77" s="2053"/>
    </row>
    <row r="78" spans="1:37" ht="24">
      <c r="A78" s="2130" t="s">
        <v>2057</v>
      </c>
      <c r="B78" s="2136" t="s">
        <v>2058</v>
      </c>
      <c r="C78" s="2044" t="s">
        <v>3397</v>
      </c>
      <c r="D78" s="1065">
        <f t="shared" si="17"/>
        <v>3.2000000000000002E-3</v>
      </c>
      <c r="E78" s="747"/>
      <c r="F78" s="1814"/>
      <c r="G78" s="1063">
        <v>3.2000000000000002E-3</v>
      </c>
      <c r="H78" s="1066">
        <f t="shared" si="18"/>
        <v>3.2000000000000002E-3</v>
      </c>
      <c r="I78" s="3367">
        <v>0.05</v>
      </c>
      <c r="J78" s="1064">
        <f t="shared" si="19"/>
        <v>6.4000000000000003E-3</v>
      </c>
      <c r="K78" s="1064">
        <f t="shared" si="20"/>
        <v>3.2000000000000002E-3</v>
      </c>
      <c r="L78" s="1064">
        <v>0</v>
      </c>
      <c r="M78" s="1064">
        <f t="shared" si="21"/>
        <v>-3.2000000000000002E-3</v>
      </c>
      <c r="N78" s="1064">
        <f t="shared" si="21"/>
        <v>-6.4000000000000003E-3</v>
      </c>
      <c r="O78" s="1997"/>
      <c r="P78" s="1997"/>
      <c r="Z78" s="1998"/>
      <c r="AA78" s="2053"/>
      <c r="AG78" s="1121"/>
      <c r="AK78" s="2053"/>
    </row>
    <row r="79" spans="1:37" ht="25.5">
      <c r="A79" s="2130" t="s">
        <v>2061</v>
      </c>
      <c r="B79" s="2133" t="str">
        <f>估价对象房地状况!C20</f>
        <v>区域自然环境：；人文环境；综合评价环境状况一般</v>
      </c>
      <c r="C79" s="2044" t="s">
        <v>3397</v>
      </c>
      <c r="D79" s="1065">
        <f t="shared" si="17"/>
        <v>7.7999999999999996E-3</v>
      </c>
      <c r="E79" s="747"/>
      <c r="F79" s="1814"/>
      <c r="G79" s="1063">
        <v>7.7999999999999996E-3</v>
      </c>
      <c r="H79" s="1066">
        <f t="shared" si="18"/>
        <v>7.7999999999999996E-3</v>
      </c>
      <c r="I79" s="3367">
        <v>0.12</v>
      </c>
      <c r="J79" s="1064">
        <f t="shared" si="19"/>
        <v>1.5599999999999999E-2</v>
      </c>
      <c r="K79" s="1064">
        <f t="shared" si="20"/>
        <v>7.7999999999999996E-3</v>
      </c>
      <c r="L79" s="1064">
        <v>0</v>
      </c>
      <c r="M79" s="1064">
        <f t="shared" si="21"/>
        <v>-7.7999999999999996E-3</v>
      </c>
      <c r="N79" s="1064">
        <f t="shared" si="21"/>
        <v>-1.5599999999999999E-2</v>
      </c>
      <c r="Z79" s="1998"/>
      <c r="AA79" s="2053"/>
      <c r="AG79" s="1121"/>
      <c r="AK79" s="2053"/>
    </row>
    <row r="80" spans="1:37" ht="24.75" thickBot="1">
      <c r="A80" s="2138" t="s">
        <v>2068</v>
      </c>
      <c r="B80" s="2142"/>
      <c r="C80" s="2044" t="s">
        <v>3397</v>
      </c>
      <c r="D80" s="1065">
        <f t="shared" si="17"/>
        <v>3.2000000000000002E-3</v>
      </c>
      <c r="E80" s="748"/>
      <c r="F80" s="1814"/>
      <c r="G80" s="1063">
        <v>3.2000000000000002E-3</v>
      </c>
      <c r="H80" s="1066">
        <f t="shared" si="18"/>
        <v>3.2000000000000002E-3</v>
      </c>
      <c r="I80" s="3368">
        <v>0.05</v>
      </c>
      <c r="J80" s="1064">
        <f t="shared" si="19"/>
        <v>6.4000000000000003E-3</v>
      </c>
      <c r="K80" s="1064">
        <f t="shared" si="20"/>
        <v>3.2000000000000002E-3</v>
      </c>
      <c r="L80" s="1064">
        <v>0</v>
      </c>
      <c r="M80" s="1064">
        <f t="shared" si="21"/>
        <v>-3.2000000000000002E-3</v>
      </c>
      <c r="N80" s="1064">
        <f t="shared" si="21"/>
        <v>-6.4000000000000003E-3</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96" t="s">
        <v>3299</v>
      </c>
      <c r="B103" s="3796"/>
      <c r="C103" s="3796"/>
      <c r="D103" s="3796"/>
      <c r="E103" s="3796"/>
      <c r="F103" s="3796"/>
      <c r="G103" s="3796"/>
      <c r="H103" s="3796"/>
      <c r="I103" s="3796"/>
      <c r="J103" s="3796"/>
      <c r="K103" s="3390"/>
      <c r="L103" s="3390"/>
      <c r="M103" s="3390"/>
      <c r="N103" s="3390"/>
    </row>
    <row r="104" spans="1:14">
      <c r="A104" s="3797" t="s">
        <v>3300</v>
      </c>
      <c r="B104" s="3797" t="s">
        <v>3301</v>
      </c>
      <c r="C104" s="3391" t="s">
        <v>3302</v>
      </c>
      <c r="D104" s="3392"/>
      <c r="E104" s="3392"/>
      <c r="F104" s="3392"/>
      <c r="G104" s="3392"/>
      <c r="H104" s="3392"/>
      <c r="I104" s="3392"/>
      <c r="J104" s="3393"/>
      <c r="K104" s="3394"/>
      <c r="L104" s="3394"/>
      <c r="M104" s="3394"/>
      <c r="N104" s="3394"/>
    </row>
    <row r="105" spans="1:14">
      <c r="A105" s="3797"/>
      <c r="B105" s="3797"/>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83"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8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8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8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8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84"/>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8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86" t="s">
        <v>3316</v>
      </c>
      <c r="B113" s="3786"/>
      <c r="C113" s="3786"/>
      <c r="D113" s="3786"/>
      <c r="E113" s="3786"/>
      <c r="F113" s="3786"/>
      <c r="G113" s="3786"/>
      <c r="H113" s="3786"/>
      <c r="I113" s="3786"/>
      <c r="J113" s="378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1.6</v>
      </c>
      <c r="C116" s="3400" t="s">
        <v>3318</v>
      </c>
      <c r="D116" s="3401">
        <f>SUMPRODUCT((A118:A122=F116)*(B117:M117=H116)*B118:M122)</f>
        <v>0.91379999999999995</v>
      </c>
      <c r="E116" s="2000" t="s">
        <v>3319</v>
      </c>
      <c r="F116" s="3402" t="str">
        <f>E2</f>
        <v>住宅</v>
      </c>
      <c r="G116" s="2000" t="s">
        <v>3320</v>
      </c>
      <c r="H116" s="3402" t="str">
        <f>G2</f>
        <v>七级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0.97919999999999996</v>
      </c>
      <c r="C118" s="3388">
        <f>B118</f>
        <v>0.97919999999999996</v>
      </c>
      <c r="D118" s="3388">
        <f>ROUND(0.949-0.014*B116,4)</f>
        <v>0.92659999999999998</v>
      </c>
      <c r="E118" s="3388">
        <f>D118</f>
        <v>0.92659999999999998</v>
      </c>
      <c r="F118" s="3388">
        <f>E118</f>
        <v>0.92659999999999998</v>
      </c>
      <c r="G118" s="3388">
        <f>F118</f>
        <v>0.92659999999999998</v>
      </c>
      <c r="H118" s="3388">
        <f>G118</f>
        <v>0.92659999999999998</v>
      </c>
      <c r="I118" s="3388">
        <f>ROUND(0.8486-0.018*B116,4)</f>
        <v>0.81979999999999997</v>
      </c>
      <c r="J118" s="3388">
        <f t="shared" ref="J118:M122" si="35">I118</f>
        <v>0.81979999999999997</v>
      </c>
      <c r="K118" s="3388">
        <f t="shared" si="35"/>
        <v>0.81979999999999997</v>
      </c>
      <c r="L118" s="3388">
        <f t="shared" si="35"/>
        <v>0.81979999999999997</v>
      </c>
      <c r="M118" s="3411">
        <f t="shared" si="35"/>
        <v>0.81979999999999997</v>
      </c>
      <c r="N118" s="3398"/>
    </row>
    <row r="119" spans="1:14">
      <c r="A119" s="3410" t="s">
        <v>3334</v>
      </c>
      <c r="B119" s="3388">
        <f>ROUND(0.993-0.0112*B116,4)</f>
        <v>0.97509999999999997</v>
      </c>
      <c r="C119" s="3388">
        <f>B119</f>
        <v>0.97509999999999997</v>
      </c>
      <c r="D119" s="3388">
        <f>ROUND(0.9415-0.0142*B116,4)</f>
        <v>0.91879999999999995</v>
      </c>
      <c r="E119" s="3388">
        <f t="shared" ref="E119:H120" si="36">D119</f>
        <v>0.91879999999999995</v>
      </c>
      <c r="F119" s="3388">
        <f t="shared" si="36"/>
        <v>0.91879999999999995</v>
      </c>
      <c r="G119" s="3388">
        <f t="shared" si="36"/>
        <v>0.91879999999999995</v>
      </c>
      <c r="H119" s="3388">
        <f t="shared" si="36"/>
        <v>0.91879999999999995</v>
      </c>
      <c r="I119" s="3388">
        <f>ROUND(0.838-0.0182*B116,4)</f>
        <v>0.80889999999999995</v>
      </c>
      <c r="J119" s="3388">
        <f t="shared" si="35"/>
        <v>0.80889999999999995</v>
      </c>
      <c r="K119" s="3388">
        <f t="shared" si="35"/>
        <v>0.80889999999999995</v>
      </c>
      <c r="L119" s="3388">
        <f t="shared" si="35"/>
        <v>0.80889999999999995</v>
      </c>
      <c r="M119" s="3411">
        <f t="shared" si="35"/>
        <v>0.80889999999999995</v>
      </c>
      <c r="N119" s="3398"/>
    </row>
    <row r="120" spans="1:14">
      <c r="A120" s="3410" t="s">
        <v>3335</v>
      </c>
      <c r="B120" s="3388">
        <f>ROUND(0.9448-0.0115*B116,4)</f>
        <v>0.9264</v>
      </c>
      <c r="C120" s="3388">
        <f>B120</f>
        <v>0.9264</v>
      </c>
      <c r="D120" s="3388">
        <f>ROUND(0.937-0.0145*B116,4)</f>
        <v>0.91379999999999995</v>
      </c>
      <c r="E120" s="3388">
        <f t="shared" si="36"/>
        <v>0.91379999999999995</v>
      </c>
      <c r="F120" s="3388">
        <f t="shared" si="36"/>
        <v>0.91379999999999995</v>
      </c>
      <c r="G120" s="3388">
        <f t="shared" si="36"/>
        <v>0.91379999999999995</v>
      </c>
      <c r="H120" s="3388">
        <f t="shared" si="36"/>
        <v>0.91379999999999995</v>
      </c>
      <c r="I120" s="3388">
        <f>ROUND(0.7965-0.0185*B116,4)</f>
        <v>0.76690000000000003</v>
      </c>
      <c r="J120" s="3388">
        <f t="shared" si="35"/>
        <v>0.76690000000000003</v>
      </c>
      <c r="K120" s="3388">
        <f t="shared" si="35"/>
        <v>0.76690000000000003</v>
      </c>
      <c r="L120" s="3388">
        <f t="shared" si="35"/>
        <v>0.76690000000000003</v>
      </c>
      <c r="M120" s="3411">
        <f t="shared" si="35"/>
        <v>0.76690000000000003</v>
      </c>
      <c r="N120" s="3398"/>
    </row>
    <row r="121" spans="1:14" ht="13.5" thickBot="1">
      <c r="A121" s="3412" t="s">
        <v>3336</v>
      </c>
      <c r="B121" s="3413">
        <f>ROUND(0.7836-0.012*B116,4)</f>
        <v>0.76439999999999997</v>
      </c>
      <c r="C121" s="3413">
        <f>B121</f>
        <v>0.76439999999999997</v>
      </c>
      <c r="D121" s="3413">
        <f>ROUND(0.753-0.015*B116,4)</f>
        <v>0.72899999999999998</v>
      </c>
      <c r="E121" s="3413">
        <f>D121</f>
        <v>0.72899999999999998</v>
      </c>
      <c r="F121" s="3413">
        <f>E121</f>
        <v>0.72899999999999998</v>
      </c>
      <c r="G121" s="3413">
        <f>ROUND(0.6612-0.018*B116,4)</f>
        <v>0.63239999999999996</v>
      </c>
      <c r="H121" s="3413">
        <f>G121</f>
        <v>0.63239999999999996</v>
      </c>
      <c r="I121" s="3413">
        <f>ROUND(0.5905-0.019*B116,4)</f>
        <v>0.56010000000000004</v>
      </c>
      <c r="J121" s="3413">
        <f t="shared" si="35"/>
        <v>0.56010000000000004</v>
      </c>
      <c r="K121" s="3413">
        <f t="shared" si="35"/>
        <v>0.56010000000000004</v>
      </c>
      <c r="L121" s="3413">
        <f t="shared" si="35"/>
        <v>0.56010000000000004</v>
      </c>
      <c r="M121" s="3414">
        <f t="shared" si="35"/>
        <v>0.56010000000000004</v>
      </c>
      <c r="N121" s="3398"/>
    </row>
    <row r="122" spans="1:14">
      <c r="A122" s="3415" t="s">
        <v>2615</v>
      </c>
      <c r="B122" s="3388">
        <f>ROUND(0.9404-0.0106*B116,4)</f>
        <v>0.9234</v>
      </c>
      <c r="C122" s="3388">
        <f>B122</f>
        <v>0.9234</v>
      </c>
      <c r="D122" s="3388">
        <f>ROUND(0.8955-0.0135*B116,4)</f>
        <v>0.87390000000000001</v>
      </c>
      <c r="E122" s="3388">
        <f t="shared" ref="E122:H122" si="37">D122</f>
        <v>0.87390000000000001</v>
      </c>
      <c r="F122" s="3388">
        <f t="shared" si="37"/>
        <v>0.87390000000000001</v>
      </c>
      <c r="G122" s="3388">
        <f t="shared" si="37"/>
        <v>0.87390000000000001</v>
      </c>
      <c r="H122" s="3388">
        <f t="shared" si="37"/>
        <v>0.87390000000000001</v>
      </c>
      <c r="I122" s="3388">
        <f>ROUND(0.7632-0.0166*B116,4)</f>
        <v>0.73660000000000003</v>
      </c>
      <c r="J122" s="3388">
        <f t="shared" si="35"/>
        <v>0.73660000000000003</v>
      </c>
      <c r="K122" s="3388">
        <f t="shared" si="35"/>
        <v>0.73660000000000003</v>
      </c>
      <c r="L122" s="3388">
        <f t="shared" si="35"/>
        <v>0.73660000000000003</v>
      </c>
      <c r="M122" s="3411">
        <f t="shared" si="35"/>
        <v>0.73660000000000003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811" t="s">
        <v>2610</v>
      </c>
      <c r="B20" s="3806" t="s">
        <v>2631</v>
      </c>
      <c r="C20" s="3103" t="s">
        <v>2442</v>
      </c>
      <c r="D20" s="3104"/>
      <c r="E20" s="3105">
        <v>1</v>
      </c>
      <c r="F20" s="3106" t="s">
        <v>2443</v>
      </c>
      <c r="G20" s="3106"/>
    </row>
    <row r="21" spans="1:13" ht="19.5" customHeight="1">
      <c r="A21" s="3812"/>
      <c r="B21" s="3805"/>
      <c r="C21" s="3107" t="s">
        <v>2444</v>
      </c>
      <c r="D21" s="3108"/>
      <c r="E21" s="3109">
        <v>1</v>
      </c>
      <c r="F21" s="3106" t="s">
        <v>2445</v>
      </c>
      <c r="G21" s="3106"/>
    </row>
    <row r="22" spans="1:13" ht="19.5" customHeight="1">
      <c r="A22" s="3812"/>
      <c r="B22" s="3805"/>
      <c r="C22" s="3107" t="s">
        <v>2446</v>
      </c>
      <c r="D22" s="3108"/>
      <c r="E22" s="3109">
        <v>0.9</v>
      </c>
      <c r="F22" s="3106" t="s">
        <v>2447</v>
      </c>
      <c r="G22" s="3106"/>
    </row>
    <row r="23" spans="1:13" ht="19.5" customHeight="1">
      <c r="A23" s="3812"/>
      <c r="B23" s="3805"/>
      <c r="C23" s="3107" t="s">
        <v>2448</v>
      </c>
      <c r="D23" s="3108"/>
      <c r="E23" s="3109">
        <v>0.9</v>
      </c>
      <c r="F23" s="3106" t="s">
        <v>2449</v>
      </c>
      <c r="G23" s="3106"/>
    </row>
    <row r="24" spans="1:13" ht="19.5" customHeight="1">
      <c r="A24" s="3812"/>
      <c r="B24" s="3805"/>
      <c r="C24" s="3107" t="s">
        <v>2450</v>
      </c>
      <c r="D24" s="3108"/>
      <c r="E24" s="3109">
        <v>0.8</v>
      </c>
      <c r="F24" s="3106" t="s">
        <v>2451</v>
      </c>
      <c r="G24" s="3106"/>
    </row>
    <row r="25" spans="1:13" ht="19.5" customHeight="1" thickBot="1">
      <c r="A25" s="3813"/>
      <c r="B25" s="3807"/>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808" t="s">
        <v>2634</v>
      </c>
      <c r="B27" s="3806" t="s">
        <v>2615</v>
      </c>
      <c r="C27" s="3103" t="s">
        <v>2455</v>
      </c>
      <c r="D27" s="3104"/>
      <c r="E27" s="3105">
        <v>1</v>
      </c>
      <c r="F27" s="3106" t="s">
        <v>2456</v>
      </c>
      <c r="G27" s="3106"/>
    </row>
    <row r="28" spans="1:13" ht="19.5" customHeight="1">
      <c r="A28" s="3809"/>
      <c r="B28" s="3805"/>
      <c r="C28" s="3107" t="s">
        <v>2457</v>
      </c>
      <c r="D28" s="3108"/>
      <c r="E28" s="3109">
        <v>1</v>
      </c>
      <c r="F28" s="3106" t="s">
        <v>2458</v>
      </c>
      <c r="G28" s="3106"/>
    </row>
    <row r="29" spans="1:13" ht="19.5" customHeight="1">
      <c r="A29" s="3809"/>
      <c r="B29" s="3805"/>
      <c r="C29" s="3107" t="s">
        <v>2459</v>
      </c>
      <c r="D29" s="3108"/>
      <c r="E29" s="3109">
        <v>0.8</v>
      </c>
      <c r="F29" s="3106" t="s">
        <v>2460</v>
      </c>
      <c r="G29" s="3106"/>
    </row>
    <row r="30" spans="1:13" ht="19.5" customHeight="1">
      <c r="A30" s="3809"/>
      <c r="B30" s="3805"/>
      <c r="C30" s="3107" t="s">
        <v>2461</v>
      </c>
      <c r="D30" s="3108"/>
      <c r="E30" s="3109">
        <v>0.8</v>
      </c>
      <c r="F30" s="3106" t="s">
        <v>2462</v>
      </c>
      <c r="G30" s="3106"/>
    </row>
    <row r="31" spans="1:13" ht="19.5" customHeight="1">
      <c r="A31" s="3809"/>
      <c r="B31" s="3805"/>
      <c r="C31" s="3107" t="s">
        <v>2463</v>
      </c>
      <c r="D31" s="3108"/>
      <c r="E31" s="3109">
        <v>0.8</v>
      </c>
      <c r="F31" s="3106" t="s">
        <v>2464</v>
      </c>
      <c r="G31" s="3106"/>
    </row>
    <row r="32" spans="1:13" ht="19.5" customHeight="1">
      <c r="A32" s="3809"/>
      <c r="B32" s="3805"/>
      <c r="C32" s="3107" t="s">
        <v>2465</v>
      </c>
      <c r="D32" s="3108"/>
      <c r="E32" s="3109">
        <v>0.7</v>
      </c>
      <c r="F32" s="3106" t="s">
        <v>2466</v>
      </c>
      <c r="G32" s="3106"/>
    </row>
    <row r="33" spans="1:7" ht="19.5" customHeight="1">
      <c r="A33" s="3809"/>
      <c r="B33" s="3805"/>
      <c r="C33" s="3107" t="s">
        <v>2467</v>
      </c>
      <c r="D33" s="3108"/>
      <c r="E33" s="3109">
        <v>0.8</v>
      </c>
      <c r="F33" s="3106" t="s">
        <v>2468</v>
      </c>
      <c r="G33" s="3106"/>
    </row>
    <row r="34" spans="1:7" ht="19.5" customHeight="1">
      <c r="A34" s="3809"/>
      <c r="B34" s="3805"/>
      <c r="C34" s="3107" t="s">
        <v>2469</v>
      </c>
      <c r="D34" s="3108"/>
      <c r="E34" s="3109">
        <v>0.6</v>
      </c>
      <c r="F34" s="3106" t="s">
        <v>2470</v>
      </c>
      <c r="G34" s="3106"/>
    </row>
    <row r="35" spans="1:7" ht="19.5" customHeight="1">
      <c r="A35" s="3809"/>
      <c r="B35" s="3805"/>
      <c r="C35" s="3107" t="s">
        <v>2471</v>
      </c>
      <c r="D35" s="3108"/>
      <c r="E35" s="3109">
        <v>0.2</v>
      </c>
      <c r="F35" s="3106" t="s">
        <v>2472</v>
      </c>
      <c r="G35" s="3106"/>
    </row>
    <row r="36" spans="1:7" ht="19.5" customHeight="1">
      <c r="A36" s="3809"/>
      <c r="B36" s="3805"/>
      <c r="C36" s="3107" t="s">
        <v>2473</v>
      </c>
      <c r="D36" s="3108"/>
      <c r="E36" s="3109">
        <v>0.2</v>
      </c>
      <c r="F36" s="3106" t="s">
        <v>2474</v>
      </c>
      <c r="G36" s="3106"/>
    </row>
    <row r="37" spans="1:7" ht="19.5" customHeight="1">
      <c r="A37" s="3809"/>
      <c r="B37" s="3803" t="s">
        <v>2635</v>
      </c>
      <c r="C37" s="3107" t="s">
        <v>2475</v>
      </c>
      <c r="D37" s="3108"/>
      <c r="E37" s="3109">
        <v>0.6</v>
      </c>
      <c r="F37" s="3106" t="s">
        <v>2476</v>
      </c>
      <c r="G37" s="3106"/>
    </row>
    <row r="38" spans="1:7" ht="19.5" customHeight="1">
      <c r="A38" s="3809"/>
      <c r="B38" s="3805"/>
      <c r="C38" s="3107" t="s">
        <v>2477</v>
      </c>
      <c r="D38" s="3108"/>
      <c r="E38" s="3109">
        <v>0.6</v>
      </c>
      <c r="F38" s="3106" t="s">
        <v>2478</v>
      </c>
      <c r="G38" s="3106"/>
    </row>
    <row r="39" spans="1:7" ht="19.5" customHeight="1" thickBot="1">
      <c r="A39" s="3810"/>
      <c r="B39" s="3807"/>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811" t="s">
        <v>2613</v>
      </c>
      <c r="B41" s="3806" t="s">
        <v>2637</v>
      </c>
      <c r="C41" s="3103" t="s">
        <v>2482</v>
      </c>
      <c r="D41" s="3104"/>
      <c r="E41" s="3105">
        <v>1</v>
      </c>
      <c r="F41" s="3106" t="s">
        <v>2483</v>
      </c>
      <c r="G41" s="3106"/>
    </row>
    <row r="42" spans="1:7" ht="19.5" customHeight="1">
      <c r="A42" s="3812"/>
      <c r="B42" s="3805"/>
      <c r="C42" s="3107" t="s">
        <v>2484</v>
      </c>
      <c r="D42" s="3108"/>
      <c r="E42" s="3109">
        <v>1</v>
      </c>
      <c r="F42" s="3106" t="s">
        <v>2485</v>
      </c>
      <c r="G42" s="3106"/>
    </row>
    <row r="43" spans="1:7" ht="19.5" customHeight="1">
      <c r="A43" s="3812"/>
      <c r="B43" s="3804"/>
      <c r="C43" s="3107" t="s">
        <v>2486</v>
      </c>
      <c r="D43" s="3108"/>
      <c r="E43" s="3109">
        <v>1.5</v>
      </c>
      <c r="F43" s="3106" t="s">
        <v>2487</v>
      </c>
      <c r="G43" s="3106"/>
    </row>
    <row r="44" spans="1:7" ht="19.5" customHeight="1">
      <c r="A44" s="3812"/>
      <c r="B44" s="3118" t="s">
        <v>2638</v>
      </c>
      <c r="C44" s="3107" t="s">
        <v>2639</v>
      </c>
      <c r="D44" s="3108"/>
      <c r="E44" s="3109">
        <v>2</v>
      </c>
      <c r="F44" s="3106" t="s">
        <v>2488</v>
      </c>
      <c r="G44" s="3106"/>
    </row>
    <row r="45" spans="1:7" ht="19.5" customHeight="1">
      <c r="A45" s="3812"/>
      <c r="B45" s="3803" t="s">
        <v>2640</v>
      </c>
      <c r="C45" s="3107" t="s">
        <v>2489</v>
      </c>
      <c r="D45" s="3108"/>
      <c r="E45" s="3109">
        <v>1</v>
      </c>
      <c r="F45" s="3106" t="s">
        <v>2490</v>
      </c>
      <c r="G45" s="3106"/>
    </row>
    <row r="46" spans="1:7" ht="19.5" customHeight="1">
      <c r="A46" s="3812"/>
      <c r="B46" s="3805"/>
      <c r="C46" s="3107" t="s">
        <v>2491</v>
      </c>
      <c r="D46" s="3108"/>
      <c r="E46" s="3109">
        <v>1</v>
      </c>
      <c r="F46" s="3106" t="s">
        <v>2492</v>
      </c>
      <c r="G46" s="3106"/>
    </row>
    <row r="47" spans="1:7" ht="19.5" customHeight="1">
      <c r="A47" s="3812"/>
      <c r="B47" s="3805"/>
      <c r="C47" s="3107" t="s">
        <v>2493</v>
      </c>
      <c r="D47" s="3108"/>
      <c r="E47" s="3109">
        <v>1</v>
      </c>
      <c r="F47" s="3106" t="s">
        <v>2494</v>
      </c>
      <c r="G47" s="3106"/>
    </row>
    <row r="48" spans="1:7" ht="19.5" customHeight="1">
      <c r="A48" s="3812"/>
      <c r="B48" s="3805"/>
      <c r="C48" s="3107" t="s">
        <v>2495</v>
      </c>
      <c r="D48" s="3108"/>
      <c r="E48" s="3109">
        <v>1</v>
      </c>
      <c r="F48" s="3106" t="s">
        <v>2496</v>
      </c>
      <c r="G48" s="3106"/>
    </row>
    <row r="49" spans="1:7" ht="19.5" customHeight="1">
      <c r="A49" s="3812"/>
      <c r="B49" s="3805"/>
      <c r="C49" s="3107" t="s">
        <v>2497</v>
      </c>
      <c r="D49" s="3108"/>
      <c r="E49" s="3109">
        <v>1</v>
      </c>
      <c r="F49" s="3106" t="s">
        <v>2498</v>
      </c>
      <c r="G49" s="3106"/>
    </row>
    <row r="50" spans="1:7" ht="19.5" customHeight="1">
      <c r="A50" s="3812"/>
      <c r="B50" s="3805"/>
      <c r="C50" s="3107" t="s">
        <v>2499</v>
      </c>
      <c r="D50" s="3108"/>
      <c r="E50" s="3109">
        <v>1</v>
      </c>
      <c r="F50" s="3106" t="s">
        <v>2500</v>
      </c>
      <c r="G50" s="3106"/>
    </row>
    <row r="51" spans="1:7" ht="19.5" customHeight="1" thickBot="1">
      <c r="A51" s="3813"/>
      <c r="B51" s="3807"/>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803" t="s">
        <v>2654</v>
      </c>
      <c r="C73" s="3092" t="s">
        <v>2655</v>
      </c>
      <c r="D73" s="3092" t="s">
        <v>2656</v>
      </c>
      <c r="E73" s="3118">
        <v>0.2</v>
      </c>
      <c r="F73" s="3118">
        <v>25</v>
      </c>
    </row>
    <row r="74" spans="1:7" ht="24">
      <c r="A74" s="3118">
        <v>2</v>
      </c>
      <c r="B74" s="3805"/>
      <c r="C74" s="3092" t="s">
        <v>2657</v>
      </c>
      <c r="D74" s="3092" t="s">
        <v>2658</v>
      </c>
      <c r="E74" s="3118">
        <v>0.2</v>
      </c>
      <c r="F74" s="3118">
        <v>25</v>
      </c>
    </row>
    <row r="75" spans="1:7" ht="24">
      <c r="A75" s="3118">
        <v>3</v>
      </c>
      <c r="B75" s="3805"/>
      <c r="C75" s="3092" t="s">
        <v>2659</v>
      </c>
      <c r="D75" s="3092" t="s">
        <v>2660</v>
      </c>
      <c r="E75" s="3118">
        <v>0.2</v>
      </c>
      <c r="F75" s="3118">
        <v>25</v>
      </c>
    </row>
    <row r="76" spans="1:7" ht="13.5">
      <c r="A76" s="3118">
        <v>4</v>
      </c>
      <c r="B76" s="3805"/>
      <c r="C76" s="3092" t="s">
        <v>2661</v>
      </c>
      <c r="D76" s="3092" t="s">
        <v>2662</v>
      </c>
      <c r="E76" s="3118">
        <v>0.15</v>
      </c>
      <c r="F76" s="3118">
        <v>20</v>
      </c>
    </row>
    <row r="77" spans="1:7" ht="24">
      <c r="A77" s="3118">
        <v>5</v>
      </c>
      <c r="B77" s="3805"/>
      <c r="C77" s="3092" t="s">
        <v>2663</v>
      </c>
      <c r="D77" s="3092" t="s">
        <v>2664</v>
      </c>
      <c r="E77" s="3118">
        <v>0.15</v>
      </c>
      <c r="F77" s="3118">
        <v>20</v>
      </c>
    </row>
    <row r="78" spans="1:7" ht="24">
      <c r="A78" s="3118">
        <v>6</v>
      </c>
      <c r="B78" s="3805"/>
      <c r="C78" s="3092" t="s">
        <v>2665</v>
      </c>
      <c r="D78" s="3092" t="s">
        <v>2666</v>
      </c>
      <c r="E78" s="3118">
        <v>0.15</v>
      </c>
      <c r="F78" s="3118">
        <v>20</v>
      </c>
    </row>
    <row r="79" spans="1:7" ht="24">
      <c r="A79" s="3118">
        <v>7</v>
      </c>
      <c r="B79" s="3805"/>
      <c r="C79" s="3092" t="s">
        <v>2667</v>
      </c>
      <c r="D79" s="3092" t="s">
        <v>2668</v>
      </c>
      <c r="E79" s="3118">
        <v>0.15</v>
      </c>
      <c r="F79" s="3118">
        <v>20</v>
      </c>
    </row>
    <row r="80" spans="1:7" ht="24">
      <c r="A80" s="3118">
        <v>8</v>
      </c>
      <c r="B80" s="3805"/>
      <c r="C80" s="3092" t="s">
        <v>2669</v>
      </c>
      <c r="D80" s="3092" t="s">
        <v>2670</v>
      </c>
      <c r="E80" s="3118">
        <v>0.1</v>
      </c>
      <c r="F80" s="3118">
        <v>15</v>
      </c>
    </row>
    <row r="81" spans="1:6" ht="24">
      <c r="A81" s="3118">
        <v>9</v>
      </c>
      <c r="B81" s="3805"/>
      <c r="C81" s="3092" t="s">
        <v>2671</v>
      </c>
      <c r="D81" s="3092" t="s">
        <v>2672</v>
      </c>
      <c r="E81" s="3118">
        <v>0.1</v>
      </c>
      <c r="F81" s="3118">
        <v>15</v>
      </c>
    </row>
    <row r="82" spans="1:6" ht="24">
      <c r="A82" s="3118">
        <v>10</v>
      </c>
      <c r="B82" s="3805"/>
      <c r="C82" s="3092" t="s">
        <v>2673</v>
      </c>
      <c r="D82" s="3092" t="s">
        <v>2674</v>
      </c>
      <c r="E82" s="3118">
        <v>0.1</v>
      </c>
      <c r="F82" s="3118">
        <v>15</v>
      </c>
    </row>
    <row r="83" spans="1:6" ht="24">
      <c r="A83" s="3118">
        <v>11</v>
      </c>
      <c r="B83" s="3805"/>
      <c r="C83" s="3092" t="s">
        <v>2675</v>
      </c>
      <c r="D83" s="3092" t="s">
        <v>2676</v>
      </c>
      <c r="E83" s="3118">
        <v>0.1</v>
      </c>
      <c r="F83" s="3118">
        <v>15</v>
      </c>
    </row>
    <row r="84" spans="1:6" ht="24">
      <c r="A84" s="3118">
        <v>12</v>
      </c>
      <c r="B84" s="3805"/>
      <c r="C84" s="3092" t="s">
        <v>2677</v>
      </c>
      <c r="D84" s="3092" t="s">
        <v>2678</v>
      </c>
      <c r="E84" s="3118">
        <v>0.1</v>
      </c>
      <c r="F84" s="3118">
        <v>15</v>
      </c>
    </row>
    <row r="85" spans="1:6" ht="13.5">
      <c r="A85" s="3118">
        <v>13</v>
      </c>
      <c r="B85" s="3805"/>
      <c r="C85" s="3092" t="s">
        <v>2679</v>
      </c>
      <c r="D85" s="3092" t="s">
        <v>2680</v>
      </c>
      <c r="E85" s="3118">
        <v>0.1</v>
      </c>
      <c r="F85" s="3118">
        <v>15</v>
      </c>
    </row>
    <row r="86" spans="1:6" ht="13.5">
      <c r="A86" s="3118">
        <v>14</v>
      </c>
      <c r="B86" s="3805"/>
      <c r="C86" s="3092" t="s">
        <v>2681</v>
      </c>
      <c r="D86" s="3092" t="s">
        <v>2682</v>
      </c>
      <c r="E86" s="3118">
        <v>0.1</v>
      </c>
      <c r="F86" s="3118">
        <v>15</v>
      </c>
    </row>
    <row r="87" spans="1:6" ht="13.5">
      <c r="A87" s="3118">
        <v>15</v>
      </c>
      <c r="B87" s="3805"/>
      <c r="C87" s="3092" t="s">
        <v>2683</v>
      </c>
      <c r="D87" s="3092" t="s">
        <v>2684</v>
      </c>
      <c r="E87" s="3118">
        <v>0.1</v>
      </c>
      <c r="F87" s="3118">
        <v>15</v>
      </c>
    </row>
    <row r="88" spans="1:6" ht="24">
      <c r="A88" s="3118">
        <v>16</v>
      </c>
      <c r="B88" s="3805"/>
      <c r="C88" s="3092" t="s">
        <v>2685</v>
      </c>
      <c r="D88" s="3092" t="s">
        <v>2686</v>
      </c>
      <c r="E88" s="3118">
        <v>0.1</v>
      </c>
      <c r="F88" s="3118">
        <v>15</v>
      </c>
    </row>
    <row r="89" spans="1:6" ht="24">
      <c r="A89" s="3118">
        <v>17</v>
      </c>
      <c r="B89" s="3804"/>
      <c r="C89" s="3092" t="s">
        <v>2687</v>
      </c>
      <c r="D89" s="3092" t="s">
        <v>2688</v>
      </c>
      <c r="E89" s="3118">
        <v>0.1</v>
      </c>
      <c r="F89" s="3118">
        <v>15</v>
      </c>
    </row>
    <row r="90" spans="1:6" ht="13.5">
      <c r="A90" s="3118">
        <v>18</v>
      </c>
      <c r="B90" s="3803" t="s">
        <v>2689</v>
      </c>
      <c r="C90" s="3092" t="s">
        <v>2690</v>
      </c>
      <c r="D90" s="3092" t="s">
        <v>2691</v>
      </c>
      <c r="E90" s="3118">
        <v>0.2</v>
      </c>
      <c r="F90" s="3118">
        <v>25</v>
      </c>
    </row>
    <row r="91" spans="1:6" ht="24">
      <c r="A91" s="3118">
        <v>19</v>
      </c>
      <c r="B91" s="3805"/>
      <c r="C91" s="3092" t="s">
        <v>2692</v>
      </c>
      <c r="D91" s="3092" t="s">
        <v>2693</v>
      </c>
      <c r="E91" s="3118">
        <v>0.2</v>
      </c>
      <c r="F91" s="3118">
        <v>25</v>
      </c>
    </row>
    <row r="92" spans="1:6" ht="13.5">
      <c r="A92" s="3118">
        <v>20</v>
      </c>
      <c r="B92" s="3805"/>
      <c r="C92" s="3092" t="s">
        <v>2694</v>
      </c>
      <c r="D92" s="3092" t="s">
        <v>2695</v>
      </c>
      <c r="E92" s="3118">
        <v>0.15</v>
      </c>
      <c r="F92" s="3118">
        <v>20</v>
      </c>
    </row>
    <row r="93" spans="1:6" ht="13.5">
      <c r="A93" s="3118">
        <v>21</v>
      </c>
      <c r="B93" s="3805"/>
      <c r="C93" s="3092" t="s">
        <v>2696</v>
      </c>
      <c r="D93" s="3092" t="s">
        <v>2697</v>
      </c>
      <c r="E93" s="3118">
        <v>0.15</v>
      </c>
      <c r="F93" s="3118">
        <v>20</v>
      </c>
    </row>
    <row r="94" spans="1:6" ht="13.5">
      <c r="A94" s="3118">
        <v>22</v>
      </c>
      <c r="B94" s="3805"/>
      <c r="C94" s="3092" t="s">
        <v>2698</v>
      </c>
      <c r="D94" s="3092" t="s">
        <v>2699</v>
      </c>
      <c r="E94" s="3118">
        <v>0.15</v>
      </c>
      <c r="F94" s="3118">
        <v>20</v>
      </c>
    </row>
    <row r="95" spans="1:6" ht="36">
      <c r="A95" s="3118">
        <v>23</v>
      </c>
      <c r="B95" s="3805"/>
      <c r="C95" s="3092" t="s">
        <v>2700</v>
      </c>
      <c r="D95" s="3092" t="s">
        <v>2701</v>
      </c>
      <c r="E95" s="3118">
        <v>0.15</v>
      </c>
      <c r="F95" s="3118">
        <v>20</v>
      </c>
    </row>
    <row r="96" spans="1:6" ht="13.5">
      <c r="A96" s="3118">
        <v>24</v>
      </c>
      <c r="B96" s="3805"/>
      <c r="C96" s="3092" t="s">
        <v>2702</v>
      </c>
      <c r="D96" s="3092" t="s">
        <v>2703</v>
      </c>
      <c r="E96" s="3118">
        <v>0.1</v>
      </c>
      <c r="F96" s="3118">
        <v>15</v>
      </c>
    </row>
    <row r="97" spans="1:6" ht="13.5">
      <c r="A97" s="3118">
        <v>25</v>
      </c>
      <c r="B97" s="3805"/>
      <c r="C97" s="3092" t="s">
        <v>2704</v>
      </c>
      <c r="D97" s="3092" t="s">
        <v>2705</v>
      </c>
      <c r="E97" s="3118">
        <v>0.1</v>
      </c>
      <c r="F97" s="3118">
        <v>15</v>
      </c>
    </row>
    <row r="98" spans="1:6" ht="24">
      <c r="A98" s="3118">
        <v>26</v>
      </c>
      <c r="B98" s="3805"/>
      <c r="C98" s="3092" t="s">
        <v>2706</v>
      </c>
      <c r="D98" s="3092" t="s">
        <v>2707</v>
      </c>
      <c r="E98" s="3118">
        <v>0.1</v>
      </c>
      <c r="F98" s="3118">
        <v>15</v>
      </c>
    </row>
    <row r="99" spans="1:6" ht="24">
      <c r="A99" s="3118">
        <v>27</v>
      </c>
      <c r="B99" s="3805"/>
      <c r="C99" s="3092" t="s">
        <v>2708</v>
      </c>
      <c r="D99" s="3092" t="s">
        <v>2709</v>
      </c>
      <c r="E99" s="3118">
        <v>0.1</v>
      </c>
      <c r="F99" s="3118">
        <v>15</v>
      </c>
    </row>
    <row r="100" spans="1:6" ht="13.5">
      <c r="A100" s="3118">
        <v>28</v>
      </c>
      <c r="B100" s="3805"/>
      <c r="C100" s="3092" t="s">
        <v>2710</v>
      </c>
      <c r="D100" s="3092" t="s">
        <v>2711</v>
      </c>
      <c r="E100" s="3118">
        <v>0.1</v>
      </c>
      <c r="F100" s="3118">
        <v>15</v>
      </c>
    </row>
    <row r="101" spans="1:6" ht="13.5">
      <c r="A101" s="3118">
        <v>29</v>
      </c>
      <c r="B101" s="3805"/>
      <c r="C101" s="3092" t="s">
        <v>2712</v>
      </c>
      <c r="D101" s="3092" t="s">
        <v>2713</v>
      </c>
      <c r="E101" s="3118">
        <v>0.1</v>
      </c>
      <c r="F101" s="3118">
        <v>15</v>
      </c>
    </row>
    <row r="102" spans="1:6" ht="13.5">
      <c r="A102" s="3118">
        <v>30</v>
      </c>
      <c r="B102" s="3805"/>
      <c r="C102" s="3092" t="s">
        <v>2714</v>
      </c>
      <c r="D102" s="3092" t="s">
        <v>2715</v>
      </c>
      <c r="E102" s="3118">
        <v>0.1</v>
      </c>
      <c r="F102" s="3118">
        <v>15</v>
      </c>
    </row>
    <row r="103" spans="1:6" ht="24">
      <c r="A103" s="3118">
        <v>31</v>
      </c>
      <c r="B103" s="3805"/>
      <c r="C103" s="3092" t="s">
        <v>2716</v>
      </c>
      <c r="D103" s="3092" t="s">
        <v>2717</v>
      </c>
      <c r="E103" s="3118">
        <v>0.1</v>
      </c>
      <c r="F103" s="3118">
        <v>15</v>
      </c>
    </row>
    <row r="104" spans="1:6" ht="24">
      <c r="A104" s="3118">
        <v>32</v>
      </c>
      <c r="B104" s="3805"/>
      <c r="C104" s="3092" t="s">
        <v>2718</v>
      </c>
      <c r="D104" s="3092" t="s">
        <v>2719</v>
      </c>
      <c r="E104" s="3118">
        <v>0.1</v>
      </c>
      <c r="F104" s="3118">
        <v>15</v>
      </c>
    </row>
    <row r="105" spans="1:6" ht="24">
      <c r="A105" s="3118">
        <v>33</v>
      </c>
      <c r="B105" s="3805"/>
      <c r="C105" s="3092" t="s">
        <v>2720</v>
      </c>
      <c r="D105" s="3092" t="s">
        <v>2721</v>
      </c>
      <c r="E105" s="3118">
        <v>0.1</v>
      </c>
      <c r="F105" s="3118">
        <v>15</v>
      </c>
    </row>
    <row r="106" spans="1:6" ht="24">
      <c r="A106" s="3118">
        <v>34</v>
      </c>
      <c r="B106" s="3804"/>
      <c r="C106" s="3092" t="s">
        <v>2722</v>
      </c>
      <c r="D106" s="3092" t="s">
        <v>2723</v>
      </c>
      <c r="E106" s="3118">
        <v>0.1</v>
      </c>
      <c r="F106" s="3118">
        <v>15</v>
      </c>
    </row>
    <row r="107" spans="1:6" ht="24">
      <c r="A107" s="3118">
        <v>35</v>
      </c>
      <c r="B107" s="3803" t="s">
        <v>2724</v>
      </c>
      <c r="C107" s="3118" t="s">
        <v>2725</v>
      </c>
      <c r="D107" s="3092" t="s">
        <v>2726</v>
      </c>
      <c r="E107" s="3118">
        <v>0.15</v>
      </c>
      <c r="F107" s="3118">
        <v>20</v>
      </c>
    </row>
    <row r="108" spans="1:6" ht="13.5">
      <c r="A108" s="3118">
        <v>36</v>
      </c>
      <c r="B108" s="3805"/>
      <c r="C108" s="3118" t="s">
        <v>2727</v>
      </c>
      <c r="D108" s="3092" t="s">
        <v>2728</v>
      </c>
      <c r="E108" s="3118">
        <v>0.15</v>
      </c>
      <c r="F108" s="3118">
        <v>20</v>
      </c>
    </row>
    <row r="109" spans="1:6" ht="13.5">
      <c r="A109" s="3118">
        <v>37</v>
      </c>
      <c r="B109" s="3805"/>
      <c r="C109" s="3118" t="s">
        <v>2729</v>
      </c>
      <c r="D109" s="3092" t="s">
        <v>2730</v>
      </c>
      <c r="E109" s="3118">
        <v>0.15</v>
      </c>
      <c r="F109" s="3118">
        <v>20</v>
      </c>
    </row>
    <row r="110" spans="1:6" ht="13.5">
      <c r="A110" s="3118">
        <v>38</v>
      </c>
      <c r="B110" s="3805"/>
      <c r="C110" s="3118" t="s">
        <v>2731</v>
      </c>
      <c r="D110" s="3092" t="s">
        <v>2732</v>
      </c>
      <c r="E110" s="3118">
        <v>0.1</v>
      </c>
      <c r="F110" s="3118">
        <v>15</v>
      </c>
    </row>
    <row r="111" spans="1:6" ht="24">
      <c r="A111" s="3118">
        <v>39</v>
      </c>
      <c r="B111" s="3805"/>
      <c r="C111" s="3118" t="s">
        <v>2733</v>
      </c>
      <c r="D111" s="3092" t="s">
        <v>2734</v>
      </c>
      <c r="E111" s="3118">
        <v>0.1</v>
      </c>
      <c r="F111" s="3118">
        <v>15</v>
      </c>
    </row>
    <row r="112" spans="1:6" ht="24">
      <c r="A112" s="3118">
        <v>40</v>
      </c>
      <c r="B112" s="3804"/>
      <c r="C112" s="3118" t="s">
        <v>2735</v>
      </c>
      <c r="D112" s="3092" t="s">
        <v>2736</v>
      </c>
      <c r="E112" s="3118">
        <v>0.1</v>
      </c>
      <c r="F112" s="3118">
        <v>15</v>
      </c>
    </row>
    <row r="113" spans="1:6" ht="13.5">
      <c r="A113" s="3118">
        <v>41</v>
      </c>
      <c r="B113" s="3802" t="s">
        <v>2737</v>
      </c>
      <c r="C113" s="3118" t="s">
        <v>2738</v>
      </c>
      <c r="D113" s="3092" t="s">
        <v>2739</v>
      </c>
      <c r="E113" s="3118">
        <v>0.1</v>
      </c>
      <c r="F113" s="3118">
        <v>15</v>
      </c>
    </row>
    <row r="114" spans="1:6" ht="13.5">
      <c r="A114" s="3118">
        <v>42</v>
      </c>
      <c r="B114" s="3802"/>
      <c r="C114" s="3118" t="s">
        <v>2740</v>
      </c>
      <c r="D114" s="3092" t="s">
        <v>2741</v>
      </c>
      <c r="E114" s="3118">
        <v>0.1</v>
      </c>
      <c r="F114" s="3118">
        <v>15</v>
      </c>
    </row>
    <row r="115" spans="1:6" ht="24">
      <c r="A115" s="3118">
        <v>43</v>
      </c>
      <c r="B115" s="3802"/>
      <c r="C115" s="3118" t="s">
        <v>2742</v>
      </c>
      <c r="D115" s="3092" t="s">
        <v>2743</v>
      </c>
      <c r="E115" s="3118">
        <v>0.1</v>
      </c>
      <c r="F115" s="3118">
        <v>15</v>
      </c>
    </row>
    <row r="116" spans="1:6" ht="13.5">
      <c r="A116" s="3118">
        <v>44</v>
      </c>
      <c r="B116" s="3803" t="s">
        <v>2744</v>
      </c>
      <c r="C116" s="3118" t="s">
        <v>2745</v>
      </c>
      <c r="D116" s="3092" t="s">
        <v>2746</v>
      </c>
      <c r="E116" s="3118">
        <v>0.1</v>
      </c>
      <c r="F116" s="3118">
        <v>15</v>
      </c>
    </row>
    <row r="117" spans="1:6" ht="24">
      <c r="A117" s="3118">
        <v>45</v>
      </c>
      <c r="B117" s="3804"/>
      <c r="C117" s="3092" t="s">
        <v>2747</v>
      </c>
      <c r="D117" s="3092" t="s">
        <v>2748</v>
      </c>
      <c r="E117" s="3118">
        <v>0.1</v>
      </c>
      <c r="F117" s="3118">
        <v>15</v>
      </c>
    </row>
    <row r="118" spans="1:6" ht="24">
      <c r="A118" s="3118">
        <v>46</v>
      </c>
      <c r="B118" s="3803" t="s">
        <v>2749</v>
      </c>
      <c r="C118" s="3118" t="s">
        <v>2750</v>
      </c>
      <c r="D118" s="3092" t="s">
        <v>2751</v>
      </c>
      <c r="E118" s="3118">
        <v>0.1</v>
      </c>
      <c r="F118" s="3118">
        <v>15</v>
      </c>
    </row>
    <row r="119" spans="1:6" ht="24">
      <c r="A119" s="3118">
        <v>47</v>
      </c>
      <c r="B119" s="3804"/>
      <c r="C119" s="3118" t="s">
        <v>2752</v>
      </c>
      <c r="D119" s="3092" t="s">
        <v>2753</v>
      </c>
      <c r="E119" s="3118">
        <v>0.1</v>
      </c>
      <c r="F119" s="3118">
        <v>15</v>
      </c>
    </row>
    <row r="120" spans="1:6" ht="13.5">
      <c r="A120" s="3118">
        <v>48</v>
      </c>
      <c r="B120" s="3803" t="s">
        <v>2754</v>
      </c>
      <c r="C120" s="3118" t="s">
        <v>2755</v>
      </c>
      <c r="D120" s="3092" t="s">
        <v>2756</v>
      </c>
      <c r="E120" s="3118">
        <v>0.1</v>
      </c>
      <c r="F120" s="3118">
        <v>15</v>
      </c>
    </row>
    <row r="121" spans="1:6" ht="13.5">
      <c r="A121" s="3118">
        <v>49</v>
      </c>
      <c r="B121" s="3804"/>
      <c r="C121" s="3118" t="s">
        <v>2757</v>
      </c>
      <c r="D121" s="3092" t="s">
        <v>2758</v>
      </c>
      <c r="E121" s="3118">
        <v>0.1</v>
      </c>
      <c r="F121" s="3118">
        <v>15</v>
      </c>
    </row>
    <row r="122" spans="1:6" ht="24">
      <c r="A122" s="3118">
        <v>50</v>
      </c>
      <c r="B122" s="3802" t="s">
        <v>2759</v>
      </c>
      <c r="C122" s="3118" t="s">
        <v>2760</v>
      </c>
      <c r="D122" s="3092" t="s">
        <v>2761</v>
      </c>
      <c r="E122" s="3118">
        <v>0.1</v>
      </c>
      <c r="F122" s="3118">
        <v>15</v>
      </c>
    </row>
    <row r="123" spans="1:6" ht="24">
      <c r="A123" s="3118">
        <v>51</v>
      </c>
      <c r="B123" s="3802"/>
      <c r="C123" s="3118" t="s">
        <v>2762</v>
      </c>
      <c r="D123" s="3092" t="s">
        <v>2763</v>
      </c>
      <c r="E123" s="3118">
        <v>0.1</v>
      </c>
      <c r="F123" s="3118">
        <v>15</v>
      </c>
    </row>
    <row r="124" spans="1:6" ht="24">
      <c r="A124" s="3118">
        <v>52</v>
      </c>
      <c r="B124" s="3802" t="s">
        <v>2764</v>
      </c>
      <c r="C124" s="3118" t="s">
        <v>2765</v>
      </c>
      <c r="D124" s="3092" t="s">
        <v>2766</v>
      </c>
      <c r="E124" s="3118">
        <v>0.1</v>
      </c>
      <c r="F124" s="3118">
        <v>15</v>
      </c>
    </row>
    <row r="125" spans="1:6" ht="24">
      <c r="A125" s="3118">
        <v>53</v>
      </c>
      <c r="B125" s="3802"/>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802" t="s">
        <v>2772</v>
      </c>
      <c r="C127" s="3118" t="s">
        <v>2773</v>
      </c>
      <c r="D127" s="3092" t="s">
        <v>2774</v>
      </c>
      <c r="E127" s="3118">
        <v>0.1</v>
      </c>
      <c r="F127" s="3118">
        <v>15</v>
      </c>
    </row>
    <row r="128" spans="1:6" ht="13.5">
      <c r="A128" s="3118">
        <v>56</v>
      </c>
      <c r="B128" s="3802"/>
      <c r="C128" s="3118" t="s">
        <v>2775</v>
      </c>
      <c r="D128" s="3092" t="s">
        <v>2776</v>
      </c>
      <c r="E128" s="3118">
        <v>0.1</v>
      </c>
      <c r="F128" s="3118">
        <v>15</v>
      </c>
    </row>
    <row r="129" spans="1:6" ht="24">
      <c r="A129" s="3118">
        <v>57</v>
      </c>
      <c r="B129" s="3802"/>
      <c r="C129" s="3118" t="s">
        <v>2777</v>
      </c>
      <c r="D129" s="3092" t="s">
        <v>2778</v>
      </c>
      <c r="E129" s="3118">
        <v>0.1</v>
      </c>
      <c r="F129" s="3118">
        <v>15</v>
      </c>
    </row>
    <row r="130" spans="1:6" ht="24">
      <c r="A130" s="3118">
        <v>58</v>
      </c>
      <c r="B130" s="3802" t="s">
        <v>2779</v>
      </c>
      <c r="C130" s="3118" t="s">
        <v>2780</v>
      </c>
      <c r="D130" s="3092" t="s">
        <v>2781</v>
      </c>
      <c r="E130" s="3118">
        <v>0.1</v>
      </c>
      <c r="F130" s="3118">
        <v>15</v>
      </c>
    </row>
    <row r="131" spans="1:6" ht="13.5">
      <c r="A131" s="3118">
        <v>59</v>
      </c>
      <c r="B131" s="3802"/>
      <c r="C131" s="3118" t="s">
        <v>2782</v>
      </c>
      <c r="D131" s="3092" t="s">
        <v>2783</v>
      </c>
      <c r="E131" s="3118">
        <v>0.1</v>
      </c>
      <c r="F131" s="3118">
        <v>15</v>
      </c>
    </row>
    <row r="132" spans="1:6" ht="13.5">
      <c r="A132" s="3118">
        <v>60</v>
      </c>
      <c r="B132" s="3803" t="s">
        <v>2784</v>
      </c>
      <c r="C132" s="3118" t="s">
        <v>2785</v>
      </c>
      <c r="D132" s="3092" t="s">
        <v>2786</v>
      </c>
      <c r="E132" s="3118">
        <v>0.1</v>
      </c>
      <c r="F132" s="3118">
        <v>15</v>
      </c>
    </row>
    <row r="133" spans="1:6" ht="13.5">
      <c r="A133" s="3118">
        <v>61</v>
      </c>
      <c r="B133" s="3804"/>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802" t="s">
        <v>2792</v>
      </c>
      <c r="C135" s="3118" t="s">
        <v>2793</v>
      </c>
      <c r="D135" s="3092" t="s">
        <v>2794</v>
      </c>
      <c r="E135" s="3118">
        <v>0.1</v>
      </c>
      <c r="F135" s="3118">
        <v>15</v>
      </c>
    </row>
    <row r="136" spans="1:6" ht="13.5">
      <c r="A136" s="3118">
        <v>64</v>
      </c>
      <c r="B136" s="3802"/>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1.1056999999999999</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1.0517000000000001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30629</v>
      </c>
      <c r="C2" s="2" t="s">
        <v>106</v>
      </c>
      <c r="D2" s="199"/>
      <c r="E2" s="199"/>
      <c r="F2" s="199"/>
      <c r="G2" s="199"/>
    </row>
    <row r="3" spans="1:7" s="200" customFormat="1" ht="18" customHeight="1" thickBot="1">
      <c r="A3" s="203" t="s">
        <v>58</v>
      </c>
      <c r="B3" s="204">
        <f ca="1">ROUND(B2*10000/'数据-汇总表'!E3,0)</f>
        <v>2425867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87.89</v>
      </c>
      <c r="E9" s="225">
        <f>'数据-取费表'!B27</f>
        <v>160</v>
      </c>
      <c r="F9" s="221"/>
      <c r="G9" s="226"/>
    </row>
    <row r="10" spans="1:7" s="214" customFormat="1" ht="13.5" customHeight="1">
      <c r="A10" s="779" t="s">
        <v>356</v>
      </c>
      <c r="B10" s="224" t="s">
        <v>67</v>
      </c>
      <c r="C10" s="225">
        <f>ROUND(D10*E10/10000,0)</f>
        <v>1</v>
      </c>
      <c r="D10" s="845">
        <f>'数据-汇总表'!E6</f>
        <v>38.36999999999999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126.25999999999999</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2033</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29</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4883</v>
      </c>
      <c r="D27" s="235">
        <f>C29</f>
        <v>4.5999999999999999E-3</v>
      </c>
      <c r="E27" s="236" t="s">
        <v>99</v>
      </c>
      <c r="F27" s="246">
        <f>'数据-取费表'!Q16</f>
        <v>0.23</v>
      </c>
      <c r="G27" s="247" t="s">
        <v>431</v>
      </c>
    </row>
    <row r="28" spans="1:7" s="214" customFormat="1" ht="13.5" customHeight="1">
      <c r="A28" s="780" t="s">
        <v>349</v>
      </c>
      <c r="B28" s="248" t="s">
        <v>424</v>
      </c>
      <c r="C28" s="249">
        <f>ROUND((C5+C19+C20)*F27*'数据-取费表'!B21/'数据-取费表'!B20,0)</f>
        <v>4883</v>
      </c>
      <c r="D28" s="235"/>
      <c r="E28" s="236"/>
      <c r="F28" s="246"/>
      <c r="G28" s="247"/>
    </row>
    <row r="29" spans="1:7" s="214" customFormat="1" ht="13.5" customHeight="1">
      <c r="A29" s="780" t="s">
        <v>347</v>
      </c>
      <c r="B29" s="248" t="s">
        <v>425</v>
      </c>
      <c r="C29" s="238">
        <f>ROUND(C21*F27*'数据-取费表'!B21/'数据-取费表'!B20,4)</f>
        <v>4.5999999999999999E-3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30559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44</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0.02</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0.02</v>
      </c>
      <c r="G36" s="260" t="s">
        <v>35</v>
      </c>
    </row>
    <row r="37" spans="1:7" s="258" customFormat="1" ht="13.5" customHeight="1">
      <c r="A37" s="780" t="s">
        <v>353</v>
      </c>
      <c r="B37" s="215" t="s">
        <v>91</v>
      </c>
      <c r="C37" s="249">
        <f>ROUND(E37*D37*F34/10000,0)</f>
        <v>3</v>
      </c>
      <c r="D37" s="217">
        <f>'数据-汇总表'!E3</f>
        <v>126.25999999999999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68" t="s">
        <v>94</v>
      </c>
    </row>
    <row r="43" spans="1:7" ht="13.5" customHeight="1">
      <c r="A43" s="780" t="s">
        <v>347</v>
      </c>
      <c r="B43" s="215" t="s">
        <v>426</v>
      </c>
      <c r="C43" s="238">
        <f ca="1">ROUND(IF('数据-取费表'!B22&lt;=1,C39*F22*'数据-取费表'!B21/2,C39*(POWER((1+F22),'数据-取费表'!B21/2)-1)),0)</f>
        <v>0</v>
      </c>
      <c r="D43" s="238"/>
      <c r="E43" s="238"/>
      <c r="F43" s="239"/>
      <c r="G43" s="3669"/>
    </row>
    <row r="44" spans="1:7" ht="13.5" customHeight="1">
      <c r="A44" s="780" t="s">
        <v>348</v>
      </c>
      <c r="B44" s="215" t="s">
        <v>428</v>
      </c>
      <c r="C44" s="238">
        <f ca="1">ROUND(IF('数据-取费表'!B22&lt;=1,C40*F22*'数据-取费表'!B21/2,C40*(POWER((1+F22),'数据-取费表'!B21/2)-1)),4)</f>
        <v>1E-3</v>
      </c>
      <c r="D44" s="238"/>
      <c r="E44" s="238"/>
      <c r="F44" s="239"/>
      <c r="G44" s="3670"/>
    </row>
    <row r="45" spans="1:7" s="214" customFormat="1" ht="13.5" customHeight="1">
      <c r="A45" s="777" t="s">
        <v>341</v>
      </c>
      <c r="B45" s="244" t="s">
        <v>85</v>
      </c>
      <c r="C45" s="245">
        <f>C46</f>
        <v>12</v>
      </c>
      <c r="D45" s="235">
        <f>C47</f>
        <v>4.5999999999999999E-3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4.5999999999999999E-3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72</v>
      </c>
      <c r="D49" s="232"/>
      <c r="E49" s="232"/>
      <c r="F49" s="264"/>
      <c r="G49" s="234" t="s">
        <v>435</v>
      </c>
    </row>
    <row r="50" spans="1:7" s="258" customFormat="1" ht="24">
      <c r="A50" s="777" t="s">
        <v>344</v>
      </c>
      <c r="B50" s="210" t="s">
        <v>97</v>
      </c>
      <c r="C50" s="232"/>
      <c r="D50" s="232"/>
      <c r="E50" s="232"/>
      <c r="F50" s="264">
        <f>IF('数据-取费表'!B24=0,'数据-取费表'!N16,1)</f>
        <v>0.96699999999999997</v>
      </c>
      <c r="G50" s="247" t="s">
        <v>98</v>
      </c>
    </row>
    <row r="51" spans="1:7" ht="16.5" customHeight="1">
      <c r="A51" s="777" t="s">
        <v>345</v>
      </c>
      <c r="B51" s="210" t="s">
        <v>105</v>
      </c>
      <c r="C51" s="232">
        <f ca="1">ROUND(C49*F50,0)</f>
        <v>70</v>
      </c>
      <c r="D51" s="232"/>
      <c r="E51" s="232"/>
      <c r="F51" s="264"/>
      <c r="G51" s="234" t="s">
        <v>37</v>
      </c>
    </row>
    <row r="52" spans="1:7" s="208" customFormat="1" ht="16.5" thickBot="1">
      <c r="A52" s="265" t="s">
        <v>38</v>
      </c>
      <c r="B52" s="266"/>
      <c r="C52" s="267">
        <f ca="1">C31+C51</f>
        <v>30629</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6" t="s">
        <v>2844</v>
      </c>
      <c r="B1" s="3816"/>
      <c r="C1" s="3816"/>
      <c r="D1" s="3816"/>
      <c r="E1" s="3816"/>
      <c r="F1" s="3816"/>
      <c r="G1" s="3817"/>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814"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815"/>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18" t="s">
        <v>3186</v>
      </c>
      <c r="B1" s="3818"/>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90"/>
  </cols>
  <sheetData>
    <row r="1" spans="1:6" ht="15">
      <c r="A1" s="3819" t="s">
        <v>3237</v>
      </c>
      <c r="B1" s="3819"/>
      <c r="C1" s="3819"/>
      <c r="D1" s="3819"/>
      <c r="E1" s="3819"/>
      <c r="F1" s="3820"/>
    </row>
    <row r="2" spans="1:6" ht="15">
      <c r="A2" s="3291" t="s">
        <v>3238</v>
      </c>
      <c r="B2" s="3292"/>
      <c r="C2" s="3292"/>
      <c r="D2" s="3292"/>
      <c r="E2" s="3292"/>
      <c r="F2" s="3292"/>
    </row>
    <row r="3" spans="1:6" ht="15">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1">
        <f>基准地价修正!G23</f>
        <v>45162</v>
      </c>
      <c r="B1" s="3210" t="s">
        <v>2843</v>
      </c>
      <c r="C1" s="3211"/>
      <c r="D1" s="3211"/>
      <c r="E1" s="3211"/>
      <c r="F1" s="3211"/>
      <c r="G1" s="3211"/>
      <c r="H1" s="3211"/>
      <c r="I1" s="3211"/>
      <c r="J1" s="3165"/>
      <c r="K1" s="3211" t="s">
        <v>454</v>
      </c>
      <c r="L1" s="3211"/>
      <c r="M1" s="3211"/>
      <c r="N1" s="3211"/>
      <c r="O1" s="3211"/>
      <c r="P1" s="3211"/>
      <c r="Q1" s="3165"/>
      <c r="R1" s="3821" t="s">
        <v>456</v>
      </c>
      <c r="S1" s="3822"/>
      <c r="T1" s="3822"/>
      <c r="U1" s="3822"/>
      <c r="V1" s="3822"/>
      <c r="W1" s="3822"/>
      <c r="X1" s="3165"/>
      <c r="Y1" s="3821" t="s">
        <v>457</v>
      </c>
      <c r="Z1" s="3822"/>
      <c r="AA1" s="3822"/>
      <c r="AB1" s="3822"/>
      <c r="AC1" s="3822"/>
      <c r="AD1" s="3822"/>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3378</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3377</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821" t="s">
        <v>2831</v>
      </c>
      <c r="S21" s="3822"/>
      <c r="T21" s="3822"/>
      <c r="U21" s="3822"/>
      <c r="V21" s="3822"/>
      <c r="W21" s="3822"/>
      <c r="X21" s="3165"/>
      <c r="Y21" s="3821" t="s">
        <v>2832</v>
      </c>
      <c r="Z21" s="3822"/>
      <c r="AA21" s="3822"/>
      <c r="AB21" s="3822"/>
      <c r="AC21" s="3822"/>
      <c r="AD21" s="3822"/>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3376</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3377</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8" t="s">
        <v>452</v>
      </c>
      <c r="C1" s="3828"/>
      <c r="D1" s="3828"/>
      <c r="E1" s="3828"/>
      <c r="F1" s="3828"/>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45162</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3" t="str">
        <f>IF(项目基本情况!B9="房地产市场价值","估价结果一览表","结果表-2")</f>
        <v>结果表-2</v>
      </c>
      <c r="B1" s="3503"/>
      <c r="C1" s="3503"/>
      <c r="D1" s="3503"/>
      <c r="E1" s="3503"/>
      <c r="F1" s="3503"/>
      <c r="G1" s="3503"/>
      <c r="H1" s="3503"/>
      <c r="I1" s="3503"/>
    </row>
    <row r="2" spans="1:9" ht="30" customHeight="1" thickTop="1">
      <c r="A2" s="3504" t="s">
        <v>928</v>
      </c>
      <c r="B2" s="3504" t="s">
        <v>929</v>
      </c>
      <c r="C2" s="3504" t="s">
        <v>930</v>
      </c>
      <c r="D2" s="3504" t="str">
        <f>'结果表-住宅'!D116</f>
        <v>出让国有建设用地使用权价值</v>
      </c>
      <c r="E2" s="3504"/>
      <c r="F2" s="3504" t="str">
        <f>'结果表-住宅'!F116</f>
        <v>在建建筑物价值</v>
      </c>
      <c r="G2" s="3504"/>
      <c r="H2" s="3504" t="str">
        <f>IF(项目基本情况!B9="房地产市场价值","房地产市场价值","房地产价值")</f>
        <v>房地产价值</v>
      </c>
      <c r="I2" s="3504"/>
    </row>
    <row r="3" spans="1:9" ht="15">
      <c r="A3" s="3499"/>
      <c r="B3" s="3499"/>
      <c r="C3" s="3499"/>
      <c r="D3" s="854" t="s">
        <v>925</v>
      </c>
      <c r="E3" s="854" t="s">
        <v>931</v>
      </c>
      <c r="F3" s="854" t="s">
        <v>925</v>
      </c>
      <c r="G3" s="854" t="s">
        <v>926</v>
      </c>
      <c r="H3" s="854" t="s">
        <v>925</v>
      </c>
      <c r="I3" s="854" t="s">
        <v>926</v>
      </c>
    </row>
    <row r="4" spans="1:9" ht="15">
      <c r="A4" s="1505" t="str">
        <f>项目基本情况!S2</f>
        <v>房地产</v>
      </c>
      <c r="B4" s="854">
        <f>项目基本情况!C17</f>
        <v>126.25999999999999</v>
      </c>
      <c r="C4" s="854">
        <f>项目基本情况!C18</f>
        <v>0</v>
      </c>
      <c r="D4" s="854" t="e">
        <f ca="1">'结果表-住宅'!D118</f>
        <v>#REF!</v>
      </c>
      <c r="E4" s="854" t="e">
        <f ca="1">'结果表-住宅'!E118</f>
        <v>#REF!</v>
      </c>
      <c r="F4" s="854" t="e">
        <f ca="1">'结果表-住宅'!F118</f>
        <v>#REF!</v>
      </c>
      <c r="G4" s="854" t="e">
        <f ca="1">'结果表-住宅'!G118</f>
        <v>#REF!</v>
      </c>
      <c r="H4" s="854" t="e">
        <f ca="1">'结果表-住宅'!H118</f>
        <v>#REF!</v>
      </c>
      <c r="I4" s="854" t="e">
        <f ca="1">'结果表-住宅'!I118</f>
        <v>#REF!</v>
      </c>
    </row>
    <row r="5" spans="1:9" ht="30" customHeight="1">
      <c r="A5" s="3499" t="s">
        <v>927</v>
      </c>
      <c r="B5" s="3499"/>
      <c r="C5" s="3499"/>
      <c r="D5" s="3499" t="e">
        <f ca="1">'结果表-住宅'!D119</f>
        <v>#REF!</v>
      </c>
      <c r="E5" s="3499"/>
      <c r="F5" s="3499" t="e">
        <f ca="1">'结果表-住宅'!F119</f>
        <v>#REF!</v>
      </c>
      <c r="G5" s="3499"/>
      <c r="H5" s="3499" t="e">
        <f ca="1">'结果表-住宅'!H119</f>
        <v>#REF!</v>
      </c>
      <c r="I5" s="3499"/>
    </row>
    <row r="6" spans="1:9" ht="15.75">
      <c r="A6" s="3498" t="str">
        <f>'结果表-住宅'!A120</f>
        <v>估价师知悉的法定优先受偿款</v>
      </c>
      <c r="B6" s="3498"/>
      <c r="C6" s="3498"/>
      <c r="D6" s="3498">
        <f>'结果表-住宅'!D120</f>
        <v>0</v>
      </c>
      <c r="E6" s="3498"/>
      <c r="F6" s="3498"/>
      <c r="G6" s="3498"/>
      <c r="H6" s="3498"/>
      <c r="I6" s="3498"/>
    </row>
    <row r="7" spans="1:9" ht="15">
      <c r="A7" s="3499" t="s">
        <v>927</v>
      </c>
      <c r="B7" s="3499"/>
      <c r="C7" s="3499"/>
      <c r="D7" s="3500" t="str">
        <f>'结果表-住宅'!D121</f>
        <v>零元整</v>
      </c>
      <c r="E7" s="3501"/>
      <c r="F7" s="3501"/>
      <c r="G7" s="3501"/>
      <c r="H7" s="3501"/>
      <c r="I7" s="3502"/>
    </row>
    <row r="8" spans="1:9" ht="15.75">
      <c r="A8" s="3498" t="str">
        <f>'结果表-住宅'!A122</f>
        <v>房地产抵押价值</v>
      </c>
      <c r="B8" s="3498"/>
      <c r="C8" s="3498"/>
      <c r="D8" s="3498" t="e">
        <f ca="1">'结果表-住宅'!D122</f>
        <v>#REF!</v>
      </c>
      <c r="E8" s="3498"/>
      <c r="F8" s="3498"/>
      <c r="G8" s="3498"/>
      <c r="H8" s="3498"/>
      <c r="I8" s="3498"/>
    </row>
    <row r="9" spans="1:9" ht="15">
      <c r="A9" s="3499" t="s">
        <v>927</v>
      </c>
      <c r="B9" s="3499"/>
      <c r="C9" s="3499"/>
      <c r="D9" s="3499" t="e">
        <f ca="1">'结果表-住宅'!D123</f>
        <v>#REF!</v>
      </c>
      <c r="E9" s="3499"/>
      <c r="F9" s="3499"/>
      <c r="G9" s="3499"/>
      <c r="H9" s="3499"/>
      <c r="I9" s="3499"/>
    </row>
    <row r="10" spans="1:9" ht="15.75">
      <c r="A10" s="3498" t="str">
        <f>'结果表-住宅'!A124</f>
        <v/>
      </c>
      <c r="B10" s="3498"/>
      <c r="C10" s="3498"/>
      <c r="D10" s="3498" t="str">
        <f>'结果表-住宅'!D124</f>
        <v>——</v>
      </c>
      <c r="E10" s="3498"/>
      <c r="F10" s="3498"/>
      <c r="G10" s="3498"/>
      <c r="H10" s="3498"/>
      <c r="I10" s="3498"/>
    </row>
    <row r="11" spans="1:9" ht="15">
      <c r="A11" s="3499" t="s">
        <v>927</v>
      </c>
      <c r="B11" s="3499"/>
      <c r="C11" s="3499"/>
      <c r="D11" s="3499" t="e">
        <f>'结果表-住宅'!D125</f>
        <v>#VALUE!</v>
      </c>
      <c r="E11" s="3499"/>
      <c r="F11" s="3499"/>
      <c r="G11" s="3499"/>
      <c r="H11" s="3499"/>
      <c r="I11" s="3499"/>
    </row>
    <row r="12" spans="1:9" ht="15.75">
      <c r="A12" s="3498" t="str">
        <f>'结果表-住宅'!A126</f>
        <v/>
      </c>
      <c r="B12" s="3498"/>
      <c r="C12" s="3498"/>
      <c r="D12" s="3498" t="str">
        <f>'结果表-住宅'!D126</f>
        <v>——</v>
      </c>
      <c r="E12" s="3498"/>
      <c r="F12" s="3498"/>
      <c r="G12" s="3498"/>
      <c r="H12" s="3498"/>
      <c r="I12" s="3498"/>
    </row>
    <row r="13" spans="1:9" ht="15.75" thickBot="1">
      <c r="A13" s="3496" t="s">
        <v>927</v>
      </c>
      <c r="B13" s="3496"/>
      <c r="C13" s="3496"/>
      <c r="D13" s="3496" t="e">
        <f>'结果表-住宅'!D127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1" t="s">
        <v>949</v>
      </c>
      <c r="B1" s="3511"/>
      <c r="C1" s="3511"/>
      <c r="D1" s="3511"/>
    </row>
    <row r="2" spans="1:4" ht="18">
      <c r="A2" s="3512" t="s">
        <v>933</v>
      </c>
      <c r="B2" s="3512"/>
      <c r="C2" s="3512"/>
      <c r="D2" s="351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2" t="s">
        <v>939</v>
      </c>
      <c r="B6" s="3512"/>
      <c r="C6" s="3512"/>
      <c r="D6" s="351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3" t="s">
        <v>942</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0"/>
      <c r="C12" s="3510"/>
      <c r="D12" s="3510"/>
    </row>
    <row r="13" spans="1:4" ht="30" customHeight="1">
      <c r="A13" s="3505" t="str">
        <f>IF(项目基本情况!B8="抵押","3.抵押双方在办理抵押登记手续时，应使用本公司出具的正式《房地产评估报告》，特提醒报告使用者注意。","——")</f>
        <v>——</v>
      </c>
      <c r="B13" s="3510"/>
      <c r="C13" s="3510"/>
      <c r="D13" s="3510"/>
    </row>
    <row r="14" spans="1:4" ht="15.75" customHeight="1">
      <c r="A14" s="3505" t="str">
        <f>IF(项目基本情况!B8="抵押","4.本次评估估价师所知悉的法定优先受偿款情况说明如下：","——")</f>
        <v>——</v>
      </c>
      <c r="B14" s="3510"/>
      <c r="C14" s="3510"/>
      <c r="D14" s="3510"/>
    </row>
    <row r="15" spans="1:4" ht="42" customHeight="1">
      <c r="A15" s="3505" t="str">
        <f>IF(项目基本情况!B8="抵押","（1）"&amp;CONCATENATE(项目基本情况!L20,项目基本情况!L21,项目基本情况!L22),"——")</f>
        <v>——</v>
      </c>
      <c r="B15" s="3505"/>
      <c r="C15" s="3505"/>
      <c r="D15" s="3505"/>
    </row>
    <row r="16" spans="1:4" ht="30" customHeight="1">
      <c r="A16" s="3507" t="s">
        <v>943</v>
      </c>
      <c r="B16" s="3507"/>
      <c r="C16" s="3507"/>
      <c r="D16" s="3507"/>
    </row>
    <row r="17" spans="1:4" ht="144" customHeight="1">
      <c r="A17" s="3507" t="s">
        <v>944</v>
      </c>
      <c r="B17" s="3507"/>
      <c r="C17" s="3507"/>
      <c r="D17" s="3507"/>
    </row>
    <row r="18" spans="1:4" ht="15.75" customHeight="1">
      <c r="A18" s="3505" t="str">
        <f>IF(项目基本情况!B8="抵押",'结果表-住宅'!K120,"——")</f>
        <v>——</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8"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8"/>
      <c r="C21" s="3508"/>
      <c r="D21" s="3508"/>
    </row>
    <row r="22" spans="1:4" ht="18.75" customHeight="1">
      <c r="A22" s="3509" t="s">
        <v>945</v>
      </c>
      <c r="B22" s="3509"/>
      <c r="C22" s="3509"/>
      <c r="D22" s="350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6">
        <v>42551</v>
      </c>
      <c r="D31" s="35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9" t="s">
        <v>956</v>
      </c>
      <c r="B15" s="3514" t="s">
        <v>109</v>
      </c>
      <c r="C15" s="3515"/>
    </row>
    <row r="16" spans="1:7" ht="13.5">
      <c r="A16" s="3520"/>
      <c r="B16" s="3514" t="s">
        <v>42</v>
      </c>
      <c r="C16" s="3515"/>
    </row>
    <row r="17" spans="1:3" ht="13.5">
      <c r="A17" s="3520"/>
      <c r="B17" s="3517" t="s">
        <v>957</v>
      </c>
      <c r="C17" s="1532" t="s">
        <v>956</v>
      </c>
    </row>
    <row r="18" spans="1:3" ht="13.5">
      <c r="A18" s="3520"/>
      <c r="B18" s="3517"/>
      <c r="C18" s="1532" t="s">
        <v>958</v>
      </c>
    </row>
    <row r="19" spans="1:3" ht="13.5">
      <c r="A19" s="3520"/>
      <c r="B19" s="3517"/>
      <c r="C19" s="1532" t="s">
        <v>959</v>
      </c>
    </row>
    <row r="20" spans="1:3" ht="13.5">
      <c r="A20" s="3521"/>
      <c r="B20" s="3516" t="s">
        <v>960</v>
      </c>
      <c r="C20" s="3515"/>
    </row>
    <row r="21" spans="1:3" ht="13.5">
      <c r="A21" s="1533" t="s">
        <v>961</v>
      </c>
      <c r="B21" s="1534"/>
      <c r="C21" s="1535"/>
    </row>
    <row r="22" spans="1:3" ht="13.5">
      <c r="A22" s="3518" t="s">
        <v>962</v>
      </c>
      <c r="B22" s="3516" t="s">
        <v>963</v>
      </c>
      <c r="C22" s="3515"/>
    </row>
    <row r="23" spans="1:3" ht="13.5">
      <c r="A23" s="3518"/>
      <c r="B23" s="3516" t="s">
        <v>964</v>
      </c>
      <c r="C23" s="3515"/>
    </row>
    <row r="24" spans="1:3" ht="13.5">
      <c r="A24" s="3518"/>
      <c r="B24" s="3516" t="s">
        <v>965</v>
      </c>
      <c r="C24" s="3515"/>
    </row>
    <row r="25" spans="1:3" ht="13.5">
      <c r="A25" s="3518"/>
      <c r="B25" s="3517" t="s">
        <v>966</v>
      </c>
      <c r="C25" s="1532" t="s">
        <v>967</v>
      </c>
    </row>
    <row r="26" spans="1:3" ht="13.5">
      <c r="A26" s="3518"/>
      <c r="B26" s="3517"/>
      <c r="C26" s="1532" t="s">
        <v>968</v>
      </c>
    </row>
    <row r="27" spans="1:3" ht="13.5">
      <c r="A27" s="3518"/>
      <c r="B27" s="3517"/>
      <c r="C27" s="1532" t="s">
        <v>969</v>
      </c>
    </row>
    <row r="28" spans="1:3" ht="13.5">
      <c r="A28" s="3518"/>
      <c r="B28" s="3517"/>
      <c r="C28" s="1532" t="s">
        <v>970</v>
      </c>
    </row>
    <row r="29" spans="1:3" ht="13.5">
      <c r="A29" s="3518"/>
      <c r="B29" s="3517"/>
      <c r="C29" s="1532" t="s">
        <v>971</v>
      </c>
    </row>
    <row r="30" spans="1:3" ht="13.5">
      <c r="A30" s="3518"/>
      <c r="B30" s="3517"/>
      <c r="C30" s="1532" t="s">
        <v>972</v>
      </c>
    </row>
    <row r="31" spans="1:3" ht="13.5">
      <c r="A31" s="3518"/>
      <c r="B31" s="3517"/>
      <c r="C31" s="1532" t="s">
        <v>973</v>
      </c>
    </row>
    <row r="32" spans="1:3" ht="13.5">
      <c r="A32" s="3518"/>
      <c r="B32" s="3517"/>
      <c r="C32" s="1532" t="s">
        <v>974</v>
      </c>
    </row>
    <row r="33" spans="1:3" ht="13.5">
      <c r="A33" s="3518"/>
      <c r="B33" s="351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45224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2" t="s">
        <v>2160</v>
      </c>
      <c r="B17" s="3522"/>
      <c r="C17" s="3522"/>
      <c r="D17" s="3522"/>
      <c r="E17" s="3522"/>
      <c r="F17" s="3522"/>
      <c r="G17" s="3522"/>
      <c r="H17" s="3522"/>
    </row>
    <row r="18" spans="1:8" ht="24" customHeight="1">
      <c r="A18" s="3523" t="s">
        <v>2161</v>
      </c>
      <c r="B18" s="3523"/>
      <c r="C18" s="3523"/>
      <c r="D18" s="2343"/>
      <c r="E18" s="3524" t="s">
        <v>2162</v>
      </c>
      <c r="F18" s="3523"/>
      <c r="G18" s="352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结果表-住宅</vt:lpstr>
      <vt:lpstr>成本法</vt:lpstr>
      <vt:lpstr>收益法 (元)</vt:lpstr>
      <vt:lpstr>比较法-住宅</vt:lpstr>
      <vt:lpstr>成本法 (元)</vt:lpstr>
      <vt:lpstr>土地比较法-住宅、综合</vt:lpstr>
      <vt:lpstr>sheet1 (2)</vt:lpstr>
      <vt:lpstr>Sheet1</vt:lpstr>
      <vt:lpstr>结果表-车位</vt:lpstr>
      <vt:lpstr>假设开发法</vt:lpstr>
      <vt:lpstr>收益法</vt:lpstr>
      <vt:lpstr>收益法-酒店模型</vt:lpstr>
      <vt:lpstr>收益法（汇总）</vt:lpstr>
      <vt:lpstr>比较法-商业</vt:lpstr>
      <vt:lpstr>比较法-办公</vt:lpstr>
      <vt:lpstr>比较法-工业</vt:lpstr>
      <vt:lpstr>成本法 (元) -车库</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 (元) -车库'!Print_Area</vt:lpstr>
      <vt:lpstr>估价对象房地状况!Print_Area</vt:lpstr>
      <vt:lpstr>估价师及机构信息!Print_Area</vt:lpstr>
      <vt:lpstr>'基准地价（汇总）'!Print_Area</vt:lpstr>
      <vt:lpstr>基准地价修正!Print_Area</vt:lpstr>
      <vt:lpstr>假设开发法!Print_Area</vt:lpstr>
      <vt:lpstr>'结果表-车位'!Print_Area</vt:lpstr>
      <vt:lpstr>'结果表-住宅'!Print_Area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2023-10-25T02:56:42Z</dcterms:modified>
</cp:coreProperties>
</file>