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26"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典型户型修正" sheetId="3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面积清单" sheetId="78" r:id="rId45"/>
    <sheet name="商业案例" sheetId="79" r:id="rId46"/>
    <sheet name="分证价值" sheetId="80"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4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 i="80" l="1"/>
  <c r="B15" i="80" l="1"/>
  <c r="B16" i="80"/>
  <c r="B17" i="80"/>
  <c r="B13" i="80"/>
  <c r="C11" i="80"/>
  <c r="J11" i="80"/>
  <c r="I11" i="80"/>
  <c r="H11" i="80"/>
  <c r="G11" i="80"/>
  <c r="F11" i="80"/>
  <c r="E11" i="80"/>
  <c r="D11" i="80"/>
  <c r="D10" i="80"/>
  <c r="E10" i="80"/>
  <c r="F10" i="80"/>
  <c r="G10" i="80"/>
  <c r="H10" i="80"/>
  <c r="I10" i="80"/>
  <c r="J10" i="80"/>
  <c r="C10" i="80"/>
  <c r="G9" i="80"/>
  <c r="F9" i="80"/>
  <c r="E9" i="80"/>
  <c r="C9" i="80"/>
  <c r="G8" i="80"/>
  <c r="F8" i="80"/>
  <c r="E8" i="80"/>
  <c r="D8" i="80"/>
  <c r="C8" i="80"/>
  <c r="G7" i="80"/>
  <c r="F7" i="80"/>
  <c r="E7" i="80"/>
  <c r="C7" i="80"/>
  <c r="G6" i="80"/>
  <c r="F6" i="80"/>
  <c r="E6" i="80"/>
  <c r="C6" i="80"/>
  <c r="J5" i="80"/>
  <c r="I5" i="80"/>
  <c r="E5" i="80"/>
  <c r="C5" i="80"/>
  <c r="J4" i="80"/>
  <c r="I4" i="80"/>
  <c r="H4" i="80"/>
  <c r="G4" i="80"/>
  <c r="F4" i="80"/>
  <c r="B9" i="80"/>
  <c r="B18" i="80" s="1"/>
  <c r="B8" i="80"/>
  <c r="B7" i="80"/>
  <c r="B6" i="80"/>
  <c r="B5" i="80"/>
  <c r="B14" i="80" s="1"/>
  <c r="B4" i="80"/>
  <c r="R24" i="31" l="1"/>
  <c r="F142" i="79"/>
  <c r="F141" i="79"/>
  <c r="F140" i="79"/>
  <c r="I7" i="33"/>
  <c r="G7" i="33"/>
  <c r="E7" i="33"/>
  <c r="I6" i="1"/>
  <c r="J6" i="1"/>
  <c r="J52" i="15"/>
  <c r="M5" i="78"/>
  <c r="M6" i="78"/>
  <c r="M7" i="78"/>
  <c r="M8" i="78"/>
  <c r="M9" i="78"/>
  <c r="M4" i="78"/>
  <c r="A25" i="31"/>
  <c r="A26" i="31"/>
  <c r="A27" i="31"/>
  <c r="B27" i="31"/>
  <c r="A28" i="31"/>
  <c r="B28" i="31"/>
  <c r="A29" i="31"/>
  <c r="B29" i="31"/>
  <c r="A30" i="31"/>
  <c r="A24" i="31"/>
  <c r="F91" i="78" l="1"/>
  <c r="L9" i="78"/>
  <c r="B30" i="31" s="1"/>
  <c r="L8" i="78"/>
  <c r="L7" i="78"/>
  <c r="L6" i="78"/>
  <c r="H8" i="78"/>
  <c r="G8" i="78"/>
  <c r="H3" i="78"/>
  <c r="H4" i="78"/>
  <c r="H5" i="78"/>
  <c r="H6" i="78"/>
  <c r="H7" i="78"/>
  <c r="H2" i="78"/>
  <c r="F93" i="78"/>
  <c r="Y6" i="1"/>
  <c r="N6" i="1"/>
  <c r="Q21" i="1"/>
  <c r="P22" i="1"/>
  <c r="P23" i="1"/>
  <c r="P21" i="1"/>
  <c r="G88" i="78"/>
  <c r="G84" i="78"/>
  <c r="G40" i="78"/>
  <c r="G78" i="78"/>
  <c r="G34" i="78"/>
  <c r="G26" i="78"/>
  <c r="G66" i="78"/>
  <c r="A19" i="78"/>
  <c r="A59" i="78"/>
  <c r="G57" i="78"/>
  <c r="F15" i="78"/>
  <c r="F18" i="78" s="1"/>
  <c r="G53" i="78"/>
  <c r="G49" i="78"/>
  <c r="A44" i="78"/>
  <c r="F2" i="78"/>
  <c r="F8" i="78" s="1"/>
  <c r="L5" i="78" l="1"/>
  <c r="B26" i="31" s="1"/>
  <c r="G89" i="78"/>
  <c r="L3" i="78"/>
  <c r="K13" i="3"/>
  <c r="G19" i="6" s="1"/>
  <c r="L10" i="78"/>
  <c r="F92" i="78"/>
  <c r="L4" i="78" s="1"/>
  <c r="B25" i="31" s="1"/>
  <c r="F94" i="78"/>
  <c r="G41" i="78"/>
  <c r="G58" i="78"/>
  <c r="G14" i="73"/>
  <c r="F14" i="73"/>
  <c r="E14" i="73"/>
  <c r="B24" i="31" l="1"/>
  <c r="M10" i="78"/>
  <c r="U6" i="1" s="1"/>
  <c r="I13" i="3"/>
  <c r="F19" i="6" s="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61" i="15"/>
  <c r="P74" i="67"/>
  <c r="D115" i="39"/>
  <c r="E115" i="39"/>
  <c r="F115" i="39"/>
  <c r="G115" i="39"/>
  <c r="H115" i="39"/>
  <c r="I115" i="39"/>
  <c r="J115" i="39"/>
  <c r="K115" i="39"/>
  <c r="L115" i="39"/>
  <c r="M115" i="39"/>
  <c r="C115" i="39"/>
  <c r="A21" i="62"/>
  <c r="A20" i="62"/>
  <c r="A22" i="51"/>
  <c r="B17" i="72" s="1"/>
  <c r="A21" i="51"/>
  <c r="A20" i="51"/>
  <c r="B15" i="72" s="1"/>
  <c r="A15" i="62"/>
  <c r="A14" i="62"/>
  <c r="B60" i="72" s="1"/>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O54" i="71"/>
  <c r="C55" i="71"/>
  <c r="C56" i="71" s="1"/>
  <c r="C57" i="71" s="1"/>
  <c r="T57" i="71" s="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C53" i="71" s="1"/>
  <c r="T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AA35" i="71" s="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AA28" i="71" s="1"/>
  <c r="O30" i="71"/>
  <c r="N30" i="71"/>
  <c r="D30" i="71"/>
  <c r="Q29" i="71"/>
  <c r="AB29" i="71" s="1"/>
  <c r="P29" i="71"/>
  <c r="O29" i="71"/>
  <c r="Y29" i="71"/>
  <c r="Z29" i="71" s="1"/>
  <c r="N29" i="71"/>
  <c r="Q28" i="71"/>
  <c r="AB28" i="71"/>
  <c r="P28" i="71"/>
  <c r="O28" i="71"/>
  <c r="Y28" i="71" s="1"/>
  <c r="Z28" i="71" s="1"/>
  <c r="N28" i="71"/>
  <c r="Q27" i="71"/>
  <c r="P27" i="71"/>
  <c r="AA3"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1" i="71"/>
  <c r="E32" i="71" s="1"/>
  <c r="E33" i="71" s="1"/>
  <c r="U33" i="71" s="1"/>
  <c r="AA30" i="71"/>
  <c r="C27" i="71"/>
  <c r="Y26" i="71"/>
  <c r="Z26" i="71" s="1"/>
  <c r="AA27" i="71"/>
  <c r="AA29" i="71"/>
  <c r="C31" i="71"/>
  <c r="C32" i="71"/>
  <c r="D32" i="71" s="1"/>
  <c r="X31" i="71"/>
  <c r="X33" i="71"/>
  <c r="C35" i="71"/>
  <c r="D35" i="71" s="1"/>
  <c r="Y34" i="71"/>
  <c r="Z34" i="71"/>
  <c r="X35" i="71"/>
  <c r="F48" i="71"/>
  <c r="F49" i="71" s="1"/>
  <c r="V49" i="71"/>
  <c r="Y23" i="71"/>
  <c r="Z23" i="71" s="1"/>
  <c r="Y25" i="71"/>
  <c r="Z25" i="71" s="1"/>
  <c r="B25" i="71"/>
  <c r="X25" i="71"/>
  <c r="C28" i="71"/>
  <c r="D27" i="71"/>
  <c r="D31" i="71"/>
  <c r="C36" i="71"/>
  <c r="D36" i="71" s="1"/>
  <c r="C44" i="71"/>
  <c r="D44" i="71" s="1"/>
  <c r="D47" i="71"/>
  <c r="P25" i="71"/>
  <c r="E52" i="71"/>
  <c r="E53" i="71" s="1"/>
  <c r="U53" i="71" s="1"/>
  <c r="E57" i="71"/>
  <c r="U57" i="71" s="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AA23" i="71"/>
  <c r="C63" i="71"/>
  <c r="O64" i="71"/>
  <c r="D64" i="71"/>
  <c r="C61" i="71"/>
  <c r="T61" i="71" s="1"/>
  <c r="D80" i="71"/>
  <c r="C79" i="71"/>
  <c r="D79" i="71"/>
  <c r="D72" i="71"/>
  <c r="C71" i="71"/>
  <c r="D71" i="71" s="1"/>
  <c r="D84" i="71"/>
  <c r="D83" i="71"/>
  <c r="D56" i="71"/>
  <c r="P64" i="71"/>
  <c r="E63" i="71"/>
  <c r="D48" i="71"/>
  <c r="C37" i="71"/>
  <c r="T37" i="71" s="1"/>
  <c r="C33" i="71"/>
  <c r="T33" i="71" s="1"/>
  <c r="C29" i="71"/>
  <c r="T29" i="71" s="1"/>
  <c r="D28" i="71"/>
  <c r="C23" i="71"/>
  <c r="D23" i="71" s="1"/>
  <c r="D24" i="71"/>
  <c r="V25" i="71"/>
  <c r="P62" i="71"/>
  <c r="P63" i="71"/>
  <c r="O63" i="71"/>
  <c r="D63" i="71"/>
  <c r="O62" i="71"/>
  <c r="D29" i="71"/>
  <c r="D33" i="71"/>
  <c r="D37" i="71"/>
  <c r="D49" i="71"/>
  <c r="D53" i="71"/>
  <c r="D57"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AA21" i="33" s="1"/>
  <c r="E83" i="21"/>
  <c r="F83" i="21" s="1"/>
  <c r="G83" i="21" s="1"/>
  <c r="H1" i="69"/>
  <c r="W25" i="40"/>
  <c r="U25" i="40"/>
  <c r="U29" i="39"/>
  <c r="W29" i="39"/>
  <c r="AB21" i="37"/>
  <c r="U21" i="37"/>
  <c r="S21" i="37"/>
  <c r="AB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O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R447" i="31"/>
  <c r="R448" i="3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8" i="31"/>
  <c r="S404" i="31"/>
  <c r="S400" i="31"/>
  <c r="S396" i="31"/>
  <c r="S392" i="31"/>
  <c r="S388" i="31"/>
  <c r="S384" i="31"/>
  <c r="S380" i="31"/>
  <c r="S376" i="31"/>
  <c r="S372" i="31"/>
  <c r="S366" i="31"/>
  <c r="S358" i="31"/>
  <c r="S352" i="31"/>
  <c r="S348" i="31"/>
  <c r="S344" i="31"/>
  <c r="S340" i="31"/>
  <c r="S336" i="31"/>
  <c r="S332" i="31"/>
  <c r="S328" i="31"/>
  <c r="S324" i="31"/>
  <c r="S320" i="31"/>
  <c r="S316" i="31"/>
  <c r="S312" i="31"/>
  <c r="S308" i="31"/>
  <c r="S304" i="31"/>
  <c r="S300" i="31"/>
  <c r="S296" i="31"/>
  <c r="S292" i="31"/>
  <c r="S288" i="31"/>
  <c r="S284" i="31"/>
  <c r="S280" i="31"/>
  <c r="S276" i="31"/>
  <c r="S272" i="31"/>
  <c r="S268" i="31"/>
  <c r="S264" i="31"/>
  <c r="S260" i="31"/>
  <c r="S25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86" i="31"/>
  <c r="S478" i="31"/>
  <c r="S470" i="31"/>
  <c r="S440" i="31"/>
  <c r="S432" i="31"/>
  <c r="S119" i="31"/>
  <c r="S115" i="31"/>
  <c r="S504" i="31"/>
  <c r="S466" i="31"/>
  <c r="S458" i="31"/>
  <c r="S450" i="31"/>
  <c r="S51" i="31"/>
  <c r="S47" i="31"/>
  <c r="S43" i="31"/>
  <c r="S39" i="31"/>
  <c r="S35" i="31"/>
  <c r="S77" i="31"/>
  <c r="S73" i="31"/>
  <c r="S69" i="31"/>
  <c r="S65" i="31"/>
  <c r="S61" i="31"/>
  <c r="S57" i="31"/>
  <c r="S24" i="31"/>
  <c r="S95" i="31"/>
  <c r="S91" i="31"/>
  <c r="S87" i="31"/>
  <c r="S83" i="31"/>
  <c r="S79" i="31"/>
  <c r="S99" i="31"/>
  <c r="S103" i="31"/>
  <c r="S107" i="31"/>
  <c r="S111" i="31"/>
  <c r="S445" i="31"/>
  <c r="S446" i="31"/>
  <c r="S447" i="31"/>
  <c r="S448" i="31"/>
  <c r="S449" i="31"/>
  <c r="S508"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F37" i="33"/>
  <c r="D111" i="33"/>
  <c r="E111" i="33" s="1"/>
  <c r="F111" i="33" s="1"/>
  <c r="G111" i="33" s="1"/>
  <c r="S516"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45" i="39"/>
  <c r="S45" i="39"/>
  <c r="J45" i="39"/>
  <c r="W45" i="39"/>
  <c r="F36" i="39"/>
  <c r="S36" i="39"/>
  <c r="H36" i="39"/>
  <c r="AB36" i="39"/>
  <c r="J36" i="39"/>
  <c r="AC36" i="39"/>
  <c r="U9" i="39"/>
  <c r="W40" i="39"/>
  <c r="E103" i="37"/>
  <c r="F103" i="37" s="1"/>
  <c r="G103" i="37" s="1"/>
  <c r="H103" i="37" s="1"/>
  <c r="I103" i="37" s="1"/>
  <c r="J103" i="37" s="1"/>
  <c r="K103" i="37" s="1"/>
  <c r="L103" i="37" s="1"/>
  <c r="M103" i="37" s="1"/>
  <c r="F39" i="37"/>
  <c r="S39" i="37"/>
  <c r="F29" i="36"/>
  <c r="AA29" i="36" s="1"/>
  <c r="W8" i="36"/>
  <c r="F16" i="36"/>
  <c r="AA16" i="36"/>
  <c r="W28" i="36"/>
  <c r="AA31" i="36"/>
  <c r="W31" i="36"/>
  <c r="U31" i="36"/>
  <c r="H22" i="35"/>
  <c r="AB22" i="35" s="1"/>
  <c r="U31" i="35"/>
  <c r="W22" i="35"/>
  <c r="S31" i="35"/>
  <c r="F36" i="34"/>
  <c r="J35" i="34"/>
  <c r="S34" i="34"/>
  <c r="U34" i="34"/>
  <c r="H39" i="33"/>
  <c r="AB39" i="33" s="1"/>
  <c r="F26" i="33"/>
  <c r="S9"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3"/>
  <c r="AA12" i="34"/>
  <c r="AB12" i="36"/>
  <c r="F37" i="39"/>
  <c r="AA37" i="39"/>
  <c r="U30" i="36"/>
  <c r="J30" i="35"/>
  <c r="W30" i="35" s="1"/>
  <c r="H30" i="35"/>
  <c r="F22" i="35"/>
  <c r="AA22" i="35" s="1"/>
  <c r="H10" i="35"/>
  <c r="U10" i="35" s="1"/>
  <c r="AC16" i="36"/>
  <c r="H16" i="36"/>
  <c r="AB16" i="36" s="1"/>
  <c r="E85" i="36"/>
  <c r="F85" i="36" s="1"/>
  <c r="G85" i="36"/>
  <c r="H85" i="36" s="1"/>
  <c r="I85" i="36" s="1"/>
  <c r="J85" i="36" s="1"/>
  <c r="K85" i="36" s="1"/>
  <c r="L85" i="36" s="1"/>
  <c r="M85" i="36" s="1"/>
  <c r="J29" i="36"/>
  <c r="AC29" i="36"/>
  <c r="F12" i="36"/>
  <c r="F24" i="36"/>
  <c r="AA24" i="36" s="1"/>
  <c r="F34" i="36"/>
  <c r="S34" i="36" s="1"/>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s="1"/>
  <c r="H11" i="33"/>
  <c r="AB11" i="33" s="1"/>
  <c r="F28" i="40"/>
  <c r="AA28" i="40"/>
  <c r="AA29" i="35"/>
  <c r="AA42" i="34"/>
  <c r="AC38" i="34"/>
  <c r="J37" i="34"/>
  <c r="AC37" i="34" s="1"/>
  <c r="J11" i="33"/>
  <c r="W11" i="33" s="1"/>
  <c r="U23" i="40"/>
  <c r="G123" i="21"/>
  <c r="H123" i="21" s="1"/>
  <c r="I123" i="2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s="1"/>
  <c r="H13" i="33"/>
  <c r="AB13" i="33" s="1"/>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W32" i="36" s="1"/>
  <c r="J11" i="36"/>
  <c r="AC11" i="36" s="1"/>
  <c r="H11" i="36"/>
  <c r="F11" i="36"/>
  <c r="H13" i="36"/>
  <c r="AB13" i="36" s="1"/>
  <c r="J13" i="36"/>
  <c r="AC13" i="36" s="1"/>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G105" i="37"/>
  <c r="AB11" i="35"/>
  <c r="J10" i="36"/>
  <c r="AC10" i="36"/>
  <c r="W31" i="34"/>
  <c r="W13" i="36"/>
  <c r="AB46" i="34"/>
  <c r="AA14" i="34"/>
  <c r="AB45" i="33"/>
  <c r="U13" i="33"/>
  <c r="BA585" i="3"/>
  <c r="F17" i="21"/>
  <c r="AA17" i="21"/>
  <c r="H17" i="21"/>
  <c r="AB17" i="21"/>
  <c r="F15" i="21"/>
  <c r="S15" i="21"/>
  <c r="AB11" i="21"/>
  <c r="J41" i="39"/>
  <c r="W41" i="39" s="1"/>
  <c r="AC45" i="39"/>
  <c r="W36" i="39"/>
  <c r="U36" i="39"/>
  <c r="G544" i="3"/>
  <c r="G540" i="3"/>
  <c r="G536" i="3"/>
  <c r="G535" i="3"/>
  <c r="G532" i="3"/>
  <c r="G531" i="3"/>
  <c r="G528" i="3"/>
  <c r="G527" i="3"/>
  <c r="G523" i="3"/>
  <c r="G518" i="3"/>
  <c r="G514" i="3"/>
  <c r="G510" i="3"/>
  <c r="G508" i="3"/>
  <c r="G504" i="3"/>
  <c r="G500" i="3"/>
  <c r="G496" i="3"/>
  <c r="G580" i="3"/>
  <c r="G572" i="3"/>
  <c r="G564" i="3"/>
  <c r="G560" i="3"/>
  <c r="G554" i="3"/>
  <c r="G550" i="3"/>
  <c r="BL584" i="3"/>
  <c r="BL576" i="3"/>
  <c r="BL568" i="3"/>
  <c r="BL560" i="3"/>
  <c r="AZ560" i="3" s="1"/>
  <c r="BL554" i="3"/>
  <c r="BL546" i="3"/>
  <c r="BL542" i="3"/>
  <c r="BL538" i="3"/>
  <c r="AZ538" i="3" s="1"/>
  <c r="BL534" i="3"/>
  <c r="BL530" i="3"/>
  <c r="AZ530" i="3" s="1"/>
  <c r="BL526" i="3"/>
  <c r="BL522" i="3"/>
  <c r="BL516" i="3"/>
  <c r="BL512" i="3"/>
  <c r="BL506" i="3"/>
  <c r="BL502" i="3"/>
  <c r="BL498" i="3"/>
  <c r="BL494" i="3"/>
  <c r="BL578" i="3"/>
  <c r="BL570" i="3"/>
  <c r="BL562" i="3"/>
  <c r="BL556" i="3"/>
  <c r="BL552" i="3"/>
  <c r="BL544" i="3"/>
  <c r="BL540" i="3"/>
  <c r="BL536" i="3"/>
  <c r="G533" i="3"/>
  <c r="BL532" i="3"/>
  <c r="G529" i="3"/>
  <c r="BL528" i="3"/>
  <c r="G525" i="3"/>
  <c r="BL524" i="3"/>
  <c r="BL518" i="3"/>
  <c r="BL514" i="3"/>
  <c r="BL510" i="3"/>
  <c r="BL504" i="3"/>
  <c r="BL500" i="3"/>
  <c r="BL496" i="3"/>
  <c r="G493" i="3"/>
  <c r="BA582" i="3"/>
  <c r="BA580" i="3"/>
  <c r="BA578" i="3"/>
  <c r="AZ578" i="3" s="1"/>
  <c r="BA576" i="3"/>
  <c r="BA574" i="3"/>
  <c r="BA572" i="3"/>
  <c r="BA570" i="3"/>
  <c r="AZ570" i="3" s="1"/>
  <c r="BA568" i="3"/>
  <c r="AZ568" i="3" s="1"/>
  <c r="BA566" i="3"/>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BA579" i="3"/>
  <c r="BA575" i="3"/>
  <c r="BA571" i="3"/>
  <c r="BA567" i="3"/>
  <c r="AZ567"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3" i="3"/>
  <c r="G561" i="3"/>
  <c r="BL558" i="3"/>
  <c r="BA557" i="3"/>
  <c r="AC557" i="3"/>
  <c r="G557" i="3" s="1"/>
  <c r="BQ557" i="3"/>
  <c r="BL557" i="3" s="1"/>
  <c r="BQ583" i="3"/>
  <c r="BQ581" i="3"/>
  <c r="BL581" i="3"/>
  <c r="BQ579" i="3"/>
  <c r="BL579" i="3"/>
  <c r="BQ577" i="3"/>
  <c r="BQ575" i="3"/>
  <c r="BL575" i="3"/>
  <c r="BQ573" i="3"/>
  <c r="BQ571" i="3"/>
  <c r="BL571" i="3"/>
  <c r="AZ571" i="3" s="1"/>
  <c r="BQ569" i="3"/>
  <c r="BL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AZ499" i="3" s="1"/>
  <c r="BQ497" i="3"/>
  <c r="BL497" i="3"/>
  <c r="AZ497" i="3" s="1"/>
  <c r="BQ495" i="3"/>
  <c r="BL495" i="3"/>
  <c r="AZ495" i="3" s="1"/>
  <c r="BQ493" i="3"/>
  <c r="BQ5" i="3" s="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AC32" i="36"/>
  <c r="U35" i="35"/>
  <c r="AA12" i="35"/>
  <c r="W23" i="35"/>
  <c r="W14" i="37"/>
  <c r="U33" i="37"/>
  <c r="U39" i="37"/>
  <c r="AC8" i="37"/>
  <c r="U26" i="37"/>
  <c r="W47" i="34"/>
  <c r="AB13" i="34"/>
  <c r="W37" i="34"/>
  <c r="AB37" i="34"/>
  <c r="AC36" i="34"/>
  <c r="AA13" i="33"/>
  <c r="AC31" i="33"/>
  <c r="AC45"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S11" i="39"/>
  <c r="G4" i="4"/>
  <c r="I4" i="4"/>
  <c r="A2" i="9"/>
  <c r="F59" i="43"/>
  <c r="H62" i="43"/>
  <c r="AZ20" i="3"/>
  <c r="AZ24" i="3"/>
  <c r="AZ28" i="3"/>
  <c r="AZ32" i="3"/>
  <c r="BL549" i="3"/>
  <c r="AZ549" i="3" s="1"/>
  <c r="AZ502" i="3"/>
  <c r="AZ522" i="3"/>
  <c r="AZ546" i="3"/>
  <c r="G546" i="3"/>
  <c r="G524" i="3"/>
  <c r="G303" i="3"/>
  <c r="BL304" i="3"/>
  <c r="AZ304" i="3" s="1"/>
  <c r="G305" i="3"/>
  <c r="BL306" i="3"/>
  <c r="BA308" i="3"/>
  <c r="AZ308" i="3"/>
  <c r="BA309" i="3"/>
  <c r="BL309" i="3"/>
  <c r="AZ309" i="3" s="1"/>
  <c r="G310" i="3"/>
  <c r="BA311" i="3"/>
  <c r="AZ311" i="3" s="1"/>
  <c r="G319" i="3"/>
  <c r="BL320" i="3"/>
  <c r="G321" i="3"/>
  <c r="BL322" i="3"/>
  <c r="AZ322" i="3" s="1"/>
  <c r="BA324" i="3"/>
  <c r="AZ324" i="3"/>
  <c r="BA325" i="3"/>
  <c r="BL325" i="3"/>
  <c r="AZ325" i="3" s="1"/>
  <c r="G326" i="3"/>
  <c r="BA327" i="3"/>
  <c r="G335" i="3"/>
  <c r="BL336" i="3"/>
  <c r="AZ336" i="3" s="1"/>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AC11" i="39"/>
  <c r="AZ563" i="3"/>
  <c r="AZ501" i="3"/>
  <c r="W37" i="37"/>
  <c r="W44" i="34"/>
  <c r="AC44" i="34"/>
  <c r="S15" i="37"/>
  <c r="U12" i="40"/>
  <c r="AA12" i="40"/>
  <c r="J37" i="33"/>
  <c r="W37" i="33" s="1"/>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K6" i="1"/>
  <c r="M6" i="1" s="1"/>
  <c r="G29" i="6"/>
  <c r="E29" i="6"/>
  <c r="AC26" i="33"/>
  <c r="W26" i="33"/>
  <c r="W27" i="34"/>
  <c r="AC27" i="34"/>
  <c r="AC12" i="39"/>
  <c r="W12" i="39"/>
  <c r="AZ401" i="3"/>
  <c r="AZ412" i="3"/>
  <c r="AZ417" i="3"/>
  <c r="AZ428" i="3"/>
  <c r="AZ433" i="3"/>
  <c r="AZ465" i="3"/>
  <c r="C101" i="43"/>
  <c r="C106" i="43" s="1"/>
  <c r="W12" i="33"/>
  <c r="AC12" i="33"/>
  <c r="AA32" i="36"/>
  <c r="S32" i="36"/>
  <c r="AZ551" i="3"/>
  <c r="AZ550" i="3"/>
  <c r="AZ408" i="3"/>
  <c r="AZ437" i="3"/>
  <c r="AZ441" i="3"/>
  <c r="AZ457" i="3"/>
  <c r="AZ473" i="3"/>
  <c r="AZ490" i="3"/>
  <c r="AA39" i="34"/>
  <c r="F28" i="6"/>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J100" i="43"/>
  <c r="AB37" i="40"/>
  <c r="S35" i="40"/>
  <c r="U35" i="40"/>
  <c r="AC36"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AC27" i="36"/>
  <c r="AB27" i="36"/>
  <c r="U26" i="36"/>
  <c r="S27"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AC9"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U9"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AB25" i="33" s="1"/>
  <c r="F25" i="33"/>
  <c r="J23" i="33"/>
  <c r="W23" i="33" s="1"/>
  <c r="F85" i="33"/>
  <c r="H23" i="33"/>
  <c r="U23" i="33" s="1"/>
  <c r="F81" i="33"/>
  <c r="F19" i="33"/>
  <c r="S19" i="33" s="1"/>
  <c r="J17" i="33"/>
  <c r="AC17" i="33" s="1"/>
  <c r="F79" i="33"/>
  <c r="G79" i="33" s="1"/>
  <c r="S15" i="33"/>
  <c r="W15" i="33"/>
  <c r="U9" i="33"/>
  <c r="I66" i="33"/>
  <c r="J10" i="33"/>
  <c r="H10" i="33"/>
  <c r="AB10" i="33" s="1"/>
  <c r="AA10"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G13" i="3"/>
  <c r="G5" i="3" s="1"/>
  <c r="B3" i="3" s="1"/>
  <c r="E114" i="3" s="1"/>
  <c r="BA13" i="3"/>
  <c r="E11" i="6"/>
  <c r="BL17" i="3"/>
  <c r="AZ17" i="3" s="1"/>
  <c r="BL13" i="3"/>
  <c r="G30" i="6"/>
  <c r="J56" i="9"/>
  <c r="J57" i="9" s="1"/>
  <c r="J59" i="9" s="1"/>
  <c r="J61" i="9" s="1"/>
  <c r="A24" i="51"/>
  <c r="B18" i="72"/>
  <c r="U29" i="34"/>
  <c r="E14" i="6"/>
  <c r="E63" i="39" s="1"/>
  <c r="E5" i="6"/>
  <c r="P10" i="1"/>
  <c r="I101" i="43"/>
  <c r="I106" i="43" s="1"/>
  <c r="E32" i="6"/>
  <c r="L19" i="6"/>
  <c r="L27" i="6" s="1"/>
  <c r="G1" i="68"/>
  <c r="K1" i="12"/>
  <c r="E28" i="6"/>
  <c r="AR12" i="1"/>
  <c r="T12" i="1"/>
  <c r="E19" i="69"/>
  <c r="E19" i="68"/>
  <c r="E19" i="11"/>
  <c r="G22" i="69"/>
  <c r="G26" i="12"/>
  <c r="C100" i="43"/>
  <c r="E81" i="43"/>
  <c r="B79" i="43"/>
  <c r="AF11"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C7" i="39"/>
  <c r="C67" i="39" s="1"/>
  <c r="C69"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K11" i="1"/>
  <c r="AP6" i="1"/>
  <c r="B9" i="1"/>
  <c r="E9" i="1"/>
  <c r="K7" i="1"/>
  <c r="M7" i="1" s="1"/>
  <c r="O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AA11" i="21"/>
  <c r="I101" i="21"/>
  <c r="J101" i="21"/>
  <c r="K101" i="21" s="1"/>
  <c r="L101" i="21" s="1"/>
  <c r="M101" i="21" s="1"/>
  <c r="F33" i="21"/>
  <c r="S33" i="21" s="1"/>
  <c r="J33" i="21"/>
  <c r="H33" i="21"/>
  <c r="F37" i="21"/>
  <c r="AA37" i="21" s="1"/>
  <c r="AA26" i="21"/>
  <c r="AB46" i="21"/>
  <c r="U40" i="21"/>
  <c r="AC15" i="21"/>
  <c r="U13" i="21"/>
  <c r="AB13" i="21"/>
  <c r="W8" i="21"/>
  <c r="S35" i="21"/>
  <c r="AB37" i="21"/>
  <c r="J37" i="21"/>
  <c r="W37" i="21" s="1"/>
  <c r="H15" i="21"/>
  <c r="U15" i="21" s="1"/>
  <c r="J17" i="2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O6" i="1"/>
  <c r="P6" i="1" s="1"/>
  <c r="F30" i="11"/>
  <c r="C48" i="11" s="1"/>
  <c r="F28" i="67"/>
  <c r="F52" i="9"/>
  <c r="F32" i="67"/>
  <c r="F60" i="67" s="1"/>
  <c r="F30" i="69"/>
  <c r="F48" i="69" s="1"/>
  <c r="F32" i="15"/>
  <c r="F60" i="15" s="1"/>
  <c r="M18" i="15"/>
  <c r="E30" i="6"/>
  <c r="K15" i="1"/>
  <c r="E69" i="3"/>
  <c r="E278" i="3"/>
  <c r="E563" i="3"/>
  <c r="E172" i="3"/>
  <c r="E445" i="3"/>
  <c r="E535" i="3"/>
  <c r="S7" i="1"/>
  <c r="AR7" i="1" s="1"/>
  <c r="E7" i="70"/>
  <c r="AA39" i="40"/>
  <c r="S39" i="40"/>
  <c r="S12" i="33"/>
  <c r="AA12" i="33"/>
  <c r="D68" i="9"/>
  <c r="J32" i="39"/>
  <c r="W32" i="39" s="1"/>
  <c r="H32" i="39"/>
  <c r="AB32" i="39" s="1"/>
  <c r="AA32" i="39"/>
  <c r="AB21" i="39"/>
  <c r="AA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J27" i="33"/>
  <c r="AC27" i="33" s="1"/>
  <c r="U25" i="33"/>
  <c r="S25" i="33"/>
  <c r="AA25" i="33"/>
  <c r="G87" i="33"/>
  <c r="H87" i="33" s="1"/>
  <c r="I87" i="33" s="1"/>
  <c r="J87" i="33" s="1"/>
  <c r="K87" i="33" s="1"/>
  <c r="L87" i="33" s="1"/>
  <c r="M87" i="33" s="1"/>
  <c r="J25" i="33"/>
  <c r="AB23" i="33"/>
  <c r="F23" i="33"/>
  <c r="S23" i="33" s="1"/>
  <c r="G85" i="33"/>
  <c r="H19" i="33"/>
  <c r="AB19" i="33" s="1"/>
  <c r="G81" i="33"/>
  <c r="H17" i="33"/>
  <c r="AB17" i="33" s="1"/>
  <c r="F17" i="33"/>
  <c r="U10" i="33"/>
  <c r="AC10" i="33"/>
  <c r="W10" i="33"/>
  <c r="S37" i="21"/>
  <c r="AA23" i="21"/>
  <c r="AB15" i="21"/>
  <c r="J23" i="21"/>
  <c r="F85" i="21"/>
  <c r="G85" i="21" s="1"/>
  <c r="H23" i="21"/>
  <c r="AB23" i="21" s="1"/>
  <c r="S13" i="21"/>
  <c r="D6" i="52"/>
  <c r="S3" i="43"/>
  <c r="O6" i="3"/>
  <c r="E574" i="3"/>
  <c r="E359" i="3"/>
  <c r="E285" i="3"/>
  <c r="E97" i="3"/>
  <c r="K14" i="1"/>
  <c r="M14" i="1" s="1"/>
  <c r="O14" i="1" s="1"/>
  <c r="E353" i="3"/>
  <c r="E495" i="3"/>
  <c r="AN6" i="3"/>
  <c r="E586" i="3"/>
  <c r="E402" i="3"/>
  <c r="E350" i="3"/>
  <c r="E303" i="3"/>
  <c r="E301" i="3"/>
  <c r="E159"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AP7" i="1"/>
  <c r="AB45" i="21"/>
  <c r="AC33" i="21"/>
  <c r="W33" i="21"/>
  <c r="W32" i="21"/>
  <c r="AC32" i="21"/>
  <c r="AB9" i="21"/>
  <c r="U9" i="21"/>
  <c r="S32" i="21"/>
  <c r="U32" i="21"/>
  <c r="AA10" i="21"/>
  <c r="S10" i="21"/>
  <c r="U32" i="39"/>
  <c r="W19" i="37"/>
  <c r="AC19" i="37"/>
  <c r="W23" i="37"/>
  <c r="AB11" i="37"/>
  <c r="U11" i="37"/>
  <c r="H63" i="37"/>
  <c r="I63" i="37" s="1"/>
  <c r="J63" i="37"/>
  <c r="K63" i="37" s="1"/>
  <c r="L63" i="37" s="1"/>
  <c r="M63" i="37" s="1"/>
  <c r="J11" i="37"/>
  <c r="W11" i="37" s="1"/>
  <c r="AC10" i="37"/>
  <c r="U11" i="34"/>
  <c r="AB11" i="34"/>
  <c r="W10" i="34"/>
  <c r="J11" i="34"/>
  <c r="U36" i="33"/>
  <c r="AB36" i="33"/>
  <c r="W27" i="33"/>
  <c r="W25" i="33"/>
  <c r="AC25" i="33"/>
  <c r="AA23" i="33"/>
  <c r="AA17" i="33"/>
  <c r="S17" i="33"/>
  <c r="U23" i="21"/>
  <c r="AC23" i="21"/>
  <c r="W23" i="21"/>
  <c r="P7" i="1"/>
  <c r="AC11" i="37"/>
  <c r="W11" i="34"/>
  <c r="AC11" i="34"/>
  <c r="R7" i="1"/>
  <c r="F11" i="12"/>
  <c r="R8" i="1"/>
  <c r="AE7" i="1"/>
  <c r="AE8" i="1"/>
  <c r="AG6" i="1"/>
  <c r="H109" i="9"/>
  <c r="D16" i="53" s="1"/>
  <c r="H110" i="9"/>
  <c r="D18" i="53" s="1"/>
  <c r="B35" i="72" s="1"/>
  <c r="D124" i="9"/>
  <c r="H14" i="74" s="1"/>
  <c r="B7" i="74" s="1"/>
  <c r="H112" i="9"/>
  <c r="D21" i="53" s="1"/>
  <c r="B39" i="72" s="1"/>
  <c r="AD3" i="71"/>
  <c r="J1" i="73"/>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2" i="9"/>
  <c r="F18" i="71"/>
  <c r="F17" i="71" s="1"/>
  <c r="F16" i="71" s="1"/>
  <c r="F15" i="71" s="1"/>
  <c r="F14" i="71" s="1"/>
  <c r="Y17" i="71"/>
  <c r="Z17" i="71" s="1"/>
  <c r="X3" i="71"/>
  <c r="G20" i="43"/>
  <c r="I59" i="34"/>
  <c r="J59" i="34" s="1"/>
  <c r="D4" i="73"/>
  <c r="D3" i="73"/>
  <c r="F5" i="73"/>
  <c r="B11" i="76"/>
  <c r="E9" i="76"/>
  <c r="D5" i="73"/>
  <c r="E7" i="76"/>
  <c r="AO9" i="1"/>
  <c r="D2" i="37"/>
  <c r="D2" i="36"/>
  <c r="F4" i="73"/>
  <c r="E8" i="76"/>
  <c r="E13" i="76"/>
  <c r="F7" i="15"/>
  <c r="F13" i="15"/>
  <c r="E2" i="68"/>
  <c r="F42" i="67"/>
  <c r="L47" i="67"/>
  <c r="B8" i="76"/>
  <c r="C76" i="67"/>
  <c r="M28" i="15"/>
  <c r="L48" i="15"/>
  <c r="M29" i="15"/>
  <c r="D2" i="33"/>
  <c r="D35" i="9"/>
  <c r="F6" i="67"/>
  <c r="F7" i="73"/>
  <c r="F8" i="67"/>
  <c r="M24" i="67"/>
  <c r="F9" i="67"/>
  <c r="F36" i="15"/>
  <c r="D2" i="35"/>
  <c r="D6" i="73"/>
  <c r="M26" i="15"/>
  <c r="F37" i="67"/>
  <c r="B9" i="76"/>
  <c r="E11" i="76"/>
  <c r="D2" i="21"/>
  <c r="D7" i="73"/>
  <c r="B12" i="76"/>
  <c r="AO11" i="1"/>
  <c r="E10" i="76"/>
  <c r="B10" i="76"/>
  <c r="B13" i="76"/>
  <c r="E12" i="76"/>
  <c r="AO13" i="1"/>
  <c r="F3" i="73"/>
  <c r="D34" i="9"/>
  <c r="M6" i="67"/>
  <c r="F16" i="67"/>
  <c r="AO12" i="1"/>
  <c r="F26" i="15"/>
  <c r="M28" i="67"/>
  <c r="F36" i="67"/>
  <c r="AO8" i="1"/>
  <c r="M6" i="15"/>
  <c r="F43" i="15"/>
  <c r="L48" i="67"/>
  <c r="F20" i="31"/>
  <c r="M24" i="15"/>
  <c r="F37" i="15"/>
  <c r="E2" i="69"/>
  <c r="D2" i="34"/>
  <c r="F38" i="15"/>
  <c r="AO7" i="1"/>
  <c r="B7" i="76"/>
  <c r="F6" i="73"/>
  <c r="AO10" i="1"/>
  <c r="M9" i="67"/>
  <c r="L47" i="15"/>
  <c r="M9" i="15"/>
  <c r="C76" i="15"/>
  <c r="J22" i="43" l="1"/>
  <c r="C23" i="43"/>
  <c r="C21" i="43" s="1"/>
  <c r="Z7" i="43"/>
  <c r="L101" i="43"/>
  <c r="G31" i="6"/>
  <c r="E10" i="6"/>
  <c r="E13" i="6"/>
  <c r="E15" i="6"/>
  <c r="E60" i="40" s="1"/>
  <c r="E8" i="6"/>
  <c r="E56" i="39" s="1"/>
  <c r="C18" i="9"/>
  <c r="D18" i="9" s="1"/>
  <c r="U33" i="33"/>
  <c r="U27" i="33"/>
  <c r="S28" i="33"/>
  <c r="S27" i="33"/>
  <c r="AC23" i="33"/>
  <c r="S21" i="33"/>
  <c r="U19" i="33"/>
  <c r="AA19" i="33"/>
  <c r="W19" i="33"/>
  <c r="W17" i="33"/>
  <c r="U11" i="33"/>
  <c r="S11" i="33"/>
  <c r="AC11" i="33"/>
  <c r="R29" i="31"/>
  <c r="S29" i="31" s="1"/>
  <c r="R27" i="31"/>
  <c r="S27" i="31" s="1"/>
  <c r="R25" i="31"/>
  <c r="S25" i="31" s="1"/>
  <c r="R30" i="31"/>
  <c r="S30" i="31" s="1"/>
  <c r="R28" i="31"/>
  <c r="S28" i="31" s="1"/>
  <c r="R26" i="31"/>
  <c r="S26" i="31" s="1"/>
  <c r="T11" i="1"/>
  <c r="Q16" i="1"/>
  <c r="F27" i="69" s="1"/>
  <c r="F45" i="69" s="1"/>
  <c r="AR11" i="1"/>
  <c r="T10" i="1"/>
  <c r="F101" i="43"/>
  <c r="F106" i="43" s="1"/>
  <c r="B115" i="43"/>
  <c r="C115"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G118" i="43"/>
  <c r="H118" i="43" s="1"/>
  <c r="B117" i="43"/>
  <c r="C117" i="43" s="1"/>
  <c r="D116" i="43"/>
  <c r="E116" i="43" s="1"/>
  <c r="F116" i="43" s="1"/>
  <c r="G116" i="43" s="1"/>
  <c r="H116" i="43" s="1"/>
  <c r="B118" i="43"/>
  <c r="C118" i="43" s="1"/>
  <c r="D115" i="43"/>
  <c r="E115" i="43" s="1"/>
  <c r="F115" i="43" s="1"/>
  <c r="G115" i="43" s="1"/>
  <c r="H115" i="43" s="1"/>
  <c r="E157" i="3"/>
  <c r="E181" i="3"/>
  <c r="E228" i="3"/>
  <c r="E188" i="3"/>
  <c r="E99" i="3"/>
  <c r="E191" i="3"/>
  <c r="E245" i="3"/>
  <c r="E263" i="3"/>
  <c r="E382" i="3"/>
  <c r="E423" i="3"/>
  <c r="E578" i="3"/>
  <c r="AI6" i="3"/>
  <c r="E518" i="3"/>
  <c r="E385" i="3"/>
  <c r="E143" i="3"/>
  <c r="E337" i="3"/>
  <c r="E410" i="3"/>
  <c r="E555" i="3"/>
  <c r="E388" i="3"/>
  <c r="E550" i="3"/>
  <c r="E260" i="3"/>
  <c r="E395" i="3"/>
  <c r="E415" i="3"/>
  <c r="AA11" i="43"/>
  <c r="AA13" i="43" s="1"/>
  <c r="AI11" i="43"/>
  <c r="AI13" i="43" s="1"/>
  <c r="AB11" i="43"/>
  <c r="AB13" i="43" s="1"/>
  <c r="AJ11" i="43"/>
  <c r="AJ13" i="43" s="1"/>
  <c r="C109" i="43"/>
  <c r="S2" i="43"/>
  <c r="C105" i="43"/>
  <c r="G22" i="43"/>
  <c r="D101" i="43"/>
  <c r="D9" i="11"/>
  <c r="C9" i="11" s="1"/>
  <c r="D9" i="69"/>
  <c r="C9" i="69" s="1"/>
  <c r="AR13" i="1"/>
  <c r="T13" i="1"/>
  <c r="N104" i="46"/>
  <c r="E22" i="4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E16" i="3"/>
  <c r="E536" i="3"/>
  <c r="AK6" i="3"/>
  <c r="E549" i="3"/>
  <c r="E434" i="3"/>
  <c r="E453" i="3"/>
  <c r="E306" i="3"/>
  <c r="E368" i="3"/>
  <c r="E296" i="3"/>
  <c r="E244" i="3"/>
  <c r="E262" i="3"/>
  <c r="E196" i="3"/>
  <c r="E136" i="3"/>
  <c r="C104" i="43"/>
  <c r="C107" i="43"/>
  <c r="C103" i="43"/>
  <c r="C102" i="43"/>
  <c r="E58" i="40"/>
  <c r="E62" i="39"/>
  <c r="F27" i="6"/>
  <c r="E51" i="40"/>
  <c r="F22" i="43"/>
  <c r="K101" i="43"/>
  <c r="N101" i="43"/>
  <c r="N104" i="43" s="1"/>
  <c r="G101" i="43"/>
  <c r="J101" i="43"/>
  <c r="H22" i="43"/>
  <c r="H101" i="43"/>
  <c r="M101" i="43"/>
  <c r="E101" i="43"/>
  <c r="E105" i="43" s="1"/>
  <c r="AH11" i="43"/>
  <c r="AD11" i="43"/>
  <c r="Z11" i="43"/>
  <c r="S5" i="43"/>
  <c r="AG11" i="43"/>
  <c r="AC11" i="43"/>
  <c r="Y11" i="43"/>
  <c r="Y13" i="43" s="1"/>
  <c r="S6" i="43"/>
  <c r="S4" i="43"/>
  <c r="S7" i="43"/>
  <c r="I6" i="3"/>
  <c r="F27" i="68"/>
  <c r="F45" i="68" s="1"/>
  <c r="E57" i="40"/>
  <c r="E61" i="39"/>
  <c r="AQ7" i="1"/>
  <c r="H104" i="43"/>
  <c r="D9" i="68"/>
  <c r="C9" i="68" s="1"/>
  <c r="E59" i="40"/>
  <c r="D19" i="12"/>
  <c r="C19" i="12" s="1"/>
  <c r="C36" i="69"/>
  <c r="AZ13" i="3"/>
  <c r="F30" i="6"/>
  <c r="M20" i="67"/>
  <c r="F34" i="15"/>
  <c r="F62" i="15" s="1"/>
  <c r="F34" i="67"/>
  <c r="F62" i="67" s="1"/>
  <c r="C30" i="11"/>
  <c r="F54" i="9"/>
  <c r="F28" i="15"/>
  <c r="C28" i="15" s="1"/>
  <c r="C48" i="69"/>
  <c r="M18" i="67"/>
  <c r="F31" i="12"/>
  <c r="C31" i="12" s="1"/>
  <c r="F30" i="68"/>
  <c r="F48" i="68" s="1"/>
  <c r="F53" i="9"/>
  <c r="C13" i="12"/>
  <c r="C36" i="11"/>
  <c r="C23" i="12"/>
  <c r="F34" i="68"/>
  <c r="C36" i="68" s="1"/>
  <c r="D22" i="15"/>
  <c r="G22" i="11"/>
  <c r="G22" i="68"/>
  <c r="E1" i="73"/>
  <c r="D22" i="67"/>
  <c r="G6" i="1"/>
  <c r="G16" i="1" s="1"/>
  <c r="F10" i="39" s="1"/>
  <c r="G7" i="1"/>
  <c r="G13" i="1"/>
  <c r="G11" i="1"/>
  <c r="G9" i="1"/>
  <c r="C20" i="43"/>
  <c r="B34" i="72"/>
  <c r="D17" i="53"/>
  <c r="B36" i="72" s="1"/>
  <c r="H111" i="9"/>
  <c r="D125" i="9"/>
  <c r="D11" i="52" s="1"/>
  <c r="D10" i="52"/>
  <c r="B19" i="53"/>
  <c r="B37" i="72" s="1"/>
  <c r="AC17" i="21"/>
  <c r="W17" i="21"/>
  <c r="AB33" i="21"/>
  <c r="U33" i="21"/>
  <c r="M11" i="1"/>
  <c r="K16" i="1"/>
  <c r="I104" i="43"/>
  <c r="I107" i="43"/>
  <c r="I105" i="43"/>
  <c r="D105" i="43"/>
  <c r="D106" i="43"/>
  <c r="D102" i="43"/>
  <c r="C48" i="68"/>
  <c r="C30" i="68"/>
  <c r="C34" i="69"/>
  <c r="C35" i="69" s="1"/>
  <c r="F27" i="11"/>
  <c r="F28" i="12"/>
  <c r="C29" i="12" s="1"/>
  <c r="D28" i="12" s="1"/>
  <c r="U17" i="33"/>
  <c r="AC36" i="33"/>
  <c r="AC32" i="39"/>
  <c r="T7" i="1"/>
  <c r="AC9" i="21"/>
  <c r="AA33" i="21"/>
  <c r="H16" i="1"/>
  <c r="D104" i="43"/>
  <c r="I103" i="43"/>
  <c r="I102" i="43"/>
  <c r="P14" i="1"/>
  <c r="AC37" i="21"/>
  <c r="E103" i="43"/>
  <c r="M102" i="43"/>
  <c r="M106" i="43"/>
  <c r="M103" i="43"/>
  <c r="E60" i="39"/>
  <c r="E56" i="40"/>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c r="AC17" i="37"/>
  <c r="T9" i="1"/>
  <c r="AQ9" i="1"/>
  <c r="AQ13" i="1"/>
  <c r="N109" i="43"/>
  <c r="AR10" i="1"/>
  <c r="F105" i="43"/>
  <c r="K105" i="43"/>
  <c r="K102" i="43"/>
  <c r="U12" i="39"/>
  <c r="AZ377" i="3"/>
  <c r="AZ326" i="3"/>
  <c r="AZ306" i="3"/>
  <c r="AZ347" i="3"/>
  <c r="AZ378" i="3"/>
  <c r="W33" i="36"/>
  <c r="AC33" i="36"/>
  <c r="AZ327" i="3"/>
  <c r="AB9" i="36"/>
  <c r="U9" i="36"/>
  <c r="AC26" i="37"/>
  <c r="W26" i="37"/>
  <c r="K5" i="4"/>
  <c r="B47" i="48" s="1"/>
  <c r="AB33" i="40"/>
  <c r="AA25" i="21"/>
  <c r="W16" i="35"/>
  <c r="W44" i="33"/>
  <c r="AZ579" i="3"/>
  <c r="AZ576" i="3"/>
  <c r="S44" i="34"/>
  <c r="U31" i="33"/>
  <c r="W11" i="36"/>
  <c r="S44" i="33"/>
  <c r="AA44" i="33"/>
  <c r="S14" i="33"/>
  <c r="AA14" i="33"/>
  <c r="U11" i="36"/>
  <c r="AB11" i="36"/>
  <c r="AA45" i="33"/>
  <c r="S45" i="33"/>
  <c r="U26" i="33"/>
  <c r="AB26" i="33"/>
  <c r="S10" i="36"/>
  <c r="AB30" i="35"/>
  <c r="U30" i="35"/>
  <c r="S40" i="21"/>
  <c r="S27" i="35"/>
  <c r="AC27" i="35"/>
  <c r="U30" i="37"/>
  <c r="AB41" i="21"/>
  <c r="BL586" i="3"/>
  <c r="BA586" i="3"/>
  <c r="H28" i="21"/>
  <c r="F28" i="21"/>
  <c r="J28" i="21"/>
  <c r="H31" i="21"/>
  <c r="J31" i="21"/>
  <c r="F31" i="21"/>
  <c r="B77" i="43"/>
  <c r="C25" i="39"/>
  <c r="J9" i="34"/>
  <c r="H9" i="34"/>
  <c r="F28" i="34"/>
  <c r="J28" i="34"/>
  <c r="AB8" i="35"/>
  <c r="U8" i="35"/>
  <c r="U12" i="35"/>
  <c r="AB12" i="35"/>
  <c r="AC28" i="35"/>
  <c r="W28" i="35"/>
  <c r="J34" i="35"/>
  <c r="H34" i="35"/>
  <c r="F34" i="35"/>
  <c r="F23" i="36"/>
  <c r="J25" i="36"/>
  <c r="F25" i="36"/>
  <c r="H25" i="36"/>
  <c r="AC25" i="37"/>
  <c r="W25" i="37"/>
  <c r="F26" i="37"/>
  <c r="AC31" i="37"/>
  <c r="W31" i="37"/>
  <c r="AB14" i="37"/>
  <c r="U14" i="37"/>
  <c r="F28" i="37"/>
  <c r="J28" i="37"/>
  <c r="H28" i="37"/>
  <c r="H38" i="37"/>
  <c r="J38" i="37"/>
  <c r="F38" i="37"/>
  <c r="U8" i="39"/>
  <c r="AB8" i="39"/>
  <c r="H44" i="39"/>
  <c r="F44" i="39"/>
  <c r="J44" i="39"/>
  <c r="AC32" i="40"/>
  <c r="J39" i="40"/>
  <c r="H39" i="40"/>
  <c r="AB34" i="37"/>
  <c r="U34" i="37"/>
  <c r="W31" i="35"/>
  <c r="AC31" i="35"/>
  <c r="AA30" i="36"/>
  <c r="S30" i="36"/>
  <c r="AC30" i="36"/>
  <c r="W30" i="36"/>
  <c r="H35" i="39"/>
  <c r="J35" i="39"/>
  <c r="F35" i="39"/>
  <c r="BA584" i="3"/>
  <c r="AZ584" i="3" s="1"/>
  <c r="BL583" i="3"/>
  <c r="BA583" i="3"/>
  <c r="BL582" i="3"/>
  <c r="BL573" i="3"/>
  <c r="BA573" i="3"/>
  <c r="AZ573" i="3" s="1"/>
  <c r="BL572" i="3"/>
  <c r="AZ572" i="3" s="1"/>
  <c r="BA569" i="3"/>
  <c r="BL566" i="3"/>
  <c r="BL5" i="3" s="1"/>
  <c r="AZ557" i="3"/>
  <c r="AZ575" i="3"/>
  <c r="AZ581" i="3"/>
  <c r="AZ566" i="3"/>
  <c r="AZ582" i="3"/>
  <c r="S14" i="37"/>
  <c r="AA14" i="37"/>
  <c r="AA11" i="36"/>
  <c r="S11" i="36"/>
  <c r="AC11" i="35"/>
  <c r="W11" i="35"/>
  <c r="W30" i="34"/>
  <c r="AC30" i="34"/>
  <c r="AC29" i="33"/>
  <c r="W29" i="33"/>
  <c r="AA26" i="33"/>
  <c r="S26" i="33"/>
  <c r="BA587" i="3"/>
  <c r="AZ587" i="3" s="1"/>
  <c r="BL585" i="3"/>
  <c r="AZ585" i="3" s="1"/>
  <c r="J14" i="21"/>
  <c r="F14" i="21"/>
  <c r="H14" i="21"/>
  <c r="H30" i="21"/>
  <c r="F30" i="21"/>
  <c r="J30" i="21"/>
  <c r="J45" i="21"/>
  <c r="F45" i="21"/>
  <c r="B71" i="43"/>
  <c r="C21" i="39"/>
  <c r="AC40" i="33"/>
  <c r="W40" i="33"/>
  <c r="AA9" i="34"/>
  <c r="S9" i="34"/>
  <c r="W12" i="34"/>
  <c r="AC12" i="34"/>
  <c r="W8" i="35"/>
  <c r="AC8" i="35"/>
  <c r="H36" i="35"/>
  <c r="J36" i="35"/>
  <c r="U8" i="36"/>
  <c r="AB8" i="36"/>
  <c r="H34" i="36"/>
  <c r="J34" i="36"/>
  <c r="H33" i="36"/>
  <c r="F33" i="36"/>
  <c r="AA10" i="37"/>
  <c r="S10" i="37"/>
  <c r="H13" i="37"/>
  <c r="F13" i="37"/>
  <c r="J13" i="37"/>
  <c r="H14" i="40"/>
  <c r="J14" i="40"/>
  <c r="F14" i="40"/>
  <c r="F38" i="40"/>
  <c r="J38" i="40"/>
  <c r="H38" i="40"/>
  <c r="S38" i="34"/>
  <c r="AA38" i="34"/>
  <c r="BL580" i="3"/>
  <c r="AZ580" i="3" s="1"/>
  <c r="BL577" i="3"/>
  <c r="BA577" i="3"/>
  <c r="BL574" i="3"/>
  <c r="AZ574"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AZ141" i="3"/>
  <c r="AZ207" i="3"/>
  <c r="AZ22" i="3"/>
  <c r="AZ25" i="3"/>
  <c r="AZ40" i="3"/>
  <c r="AZ49" i="3"/>
  <c r="AZ54" i="3"/>
  <c r="AZ65" i="3"/>
  <c r="AZ70" i="3"/>
  <c r="AZ76" i="3"/>
  <c r="AZ90" i="3"/>
  <c r="AZ92" i="3"/>
  <c r="AZ96" i="3"/>
  <c r="AZ112" i="3"/>
  <c r="F3" i="35"/>
  <c r="K100" i="43"/>
  <c r="D108" i="43"/>
  <c r="D109" i="43" s="1"/>
  <c r="D100" i="43"/>
  <c r="D113" i="43"/>
  <c r="Y5" i="71"/>
  <c r="Z5" i="71" s="1"/>
  <c r="X5" i="71"/>
  <c r="AB5" i="71"/>
  <c r="AA5" i="71"/>
  <c r="U21" i="34"/>
  <c r="W18" i="36"/>
  <c r="M108" i="43"/>
  <c r="M109" i="43" s="1"/>
  <c r="M100" i="43"/>
  <c r="I108" i="43"/>
  <c r="I109" i="43" s="1"/>
  <c r="I100" i="43"/>
  <c r="E108" i="43"/>
  <c r="E100" i="43"/>
  <c r="F40" i="68"/>
  <c r="C21" i="68"/>
  <c r="C40" i="68"/>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S21" i="21"/>
  <c r="U18" i="36"/>
  <c r="S25" i="40"/>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3" i="43" s="1"/>
  <c r="Z10" i="43"/>
  <c r="AD12" i="43"/>
  <c r="AD10" i="43"/>
  <c r="AF12" i="43"/>
  <c r="AF13" i="43" s="1"/>
  <c r="AF10" i="43"/>
  <c r="AH12" i="43"/>
  <c r="AH13" i="43" s="1"/>
  <c r="AH10" i="43"/>
  <c r="AA20" i="71"/>
  <c r="AA21" i="71"/>
  <c r="AA19" i="71"/>
  <c r="E21" i="71"/>
  <c r="X19" i="71"/>
  <c r="B21" i="71"/>
  <c r="X21" i="71"/>
  <c r="AA15" i="71"/>
  <c r="X15" i="71"/>
  <c r="Y15" i="71"/>
  <c r="Z15" i="71" s="1"/>
  <c r="AB15" i="71"/>
  <c r="AB10" i="71"/>
  <c r="Y10" i="71"/>
  <c r="Z10" i="71" s="1"/>
  <c r="X9" i="71"/>
  <c r="Y6" i="71"/>
  <c r="Z6" i="71" s="1"/>
  <c r="AA6" i="71"/>
  <c r="AC12" i="43"/>
  <c r="AC10" i="43"/>
  <c r="AG12" i="43"/>
  <c r="AG13" i="43" s="1"/>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C47" i="69"/>
  <c r="D45" i="69"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71" i="15"/>
  <c r="B7" i="70"/>
  <c r="B11" i="70"/>
  <c r="L59" i="15"/>
  <c r="N59" i="15"/>
  <c r="L58" i="15"/>
  <c r="M59" i="15"/>
  <c r="B8" i="70"/>
  <c r="F66" i="15"/>
  <c r="Q71" i="67"/>
  <c r="F64" i="15"/>
  <c r="F70" i="67"/>
  <c r="C27" i="15"/>
  <c r="F65" i="15"/>
  <c r="B9" i="70"/>
  <c r="N59" i="67"/>
  <c r="L59" i="67"/>
  <c r="L58" i="67"/>
  <c r="M59" i="67"/>
  <c r="B13" i="70"/>
  <c r="F64" i="67"/>
  <c r="F16" i="15"/>
  <c r="F13" i="67"/>
  <c r="M23" i="67"/>
  <c r="M8" i="67"/>
  <c r="J15" i="15"/>
  <c r="M26" i="67"/>
  <c r="M27" i="15"/>
  <c r="F6" i="15"/>
  <c r="M23" i="15"/>
  <c r="F35" i="67"/>
  <c r="F43" i="67"/>
  <c r="M22" i="67"/>
  <c r="M29" i="67"/>
  <c r="F8" i="15"/>
  <c r="J15" i="67"/>
  <c r="F7" i="67"/>
  <c r="M8" i="15"/>
  <c r="F38" i="67"/>
  <c r="M21" i="67"/>
  <c r="F26" i="67"/>
  <c r="F9" i="15"/>
  <c r="M27" i="67"/>
  <c r="M22" i="15"/>
  <c r="F40" i="67"/>
  <c r="F42" i="15"/>
  <c r="F40" i="15"/>
  <c r="G1" i="73"/>
  <c r="L109" i="43" l="1"/>
  <c r="L102" i="43"/>
  <c r="L105" i="43"/>
  <c r="L104" i="43"/>
  <c r="L106" i="43"/>
  <c r="L107" i="43"/>
  <c r="L103" i="43"/>
  <c r="E64" i="39"/>
  <c r="F107" i="43"/>
  <c r="S22" i="31"/>
  <c r="R22" i="31" s="1"/>
  <c r="C29" i="69"/>
  <c r="D27" i="69" s="1"/>
  <c r="C29" i="68"/>
  <c r="D27" i="68" s="1"/>
  <c r="N105" i="43"/>
  <c r="AC13" i="43"/>
  <c r="AD13" i="43"/>
  <c r="E109" i="43"/>
  <c r="F102" i="43"/>
  <c r="F109" i="43"/>
  <c r="AC6" i="3"/>
  <c r="E102" i="43"/>
  <c r="F31" i="6"/>
  <c r="F103" i="43"/>
  <c r="F104" i="43"/>
  <c r="E104" i="43"/>
  <c r="E107" i="43"/>
  <c r="H102" i="43"/>
  <c r="H107" i="43"/>
  <c r="H105" i="43"/>
  <c r="H109" i="43"/>
  <c r="H106" i="43"/>
  <c r="J104" i="43"/>
  <c r="J105" i="43"/>
  <c r="J103" i="43"/>
  <c r="J109" i="43"/>
  <c r="J107" i="43"/>
  <c r="J106" i="43"/>
  <c r="J102" i="43"/>
  <c r="N102" i="43"/>
  <c r="N106" i="43"/>
  <c r="N107" i="43"/>
  <c r="N103" i="43"/>
  <c r="D22" i="43"/>
  <c r="E106" i="43"/>
  <c r="H103" i="43"/>
  <c r="H6" i="3"/>
  <c r="E6" i="3" s="1"/>
  <c r="M107" i="43"/>
  <c r="M104" i="43"/>
  <c r="M105" i="43"/>
  <c r="G105" i="43"/>
  <c r="G102" i="43"/>
  <c r="G103" i="43"/>
  <c r="G106" i="43"/>
  <c r="G104" i="43"/>
  <c r="G109" i="43"/>
  <c r="G107" i="43"/>
  <c r="K103" i="43"/>
  <c r="K104" i="43"/>
  <c r="K109" i="43"/>
  <c r="K107" i="43"/>
  <c r="K106" i="43"/>
  <c r="D103" i="43"/>
  <c r="D107" i="43"/>
  <c r="C47" i="68"/>
  <c r="D45" i="68" s="1"/>
  <c r="J10" i="40"/>
  <c r="AC10" i="40" s="1"/>
  <c r="H10" i="39"/>
  <c r="AB10" i="39" s="1"/>
  <c r="F10" i="40"/>
  <c r="S10" i="40" s="1"/>
  <c r="J10" i="39"/>
  <c r="W10" i="39" s="1"/>
  <c r="H10" i="40"/>
  <c r="U10" i="40" s="1"/>
  <c r="C38" i="69"/>
  <c r="D19" i="53"/>
  <c r="D126" i="9"/>
  <c r="F68" i="15"/>
  <c r="F71" i="67"/>
  <c r="F68" i="67"/>
  <c r="C34" i="67"/>
  <c r="F63" i="67"/>
  <c r="C62" i="67" s="1"/>
  <c r="F31" i="15"/>
  <c r="C6" i="15"/>
  <c r="C32" i="15" s="1"/>
  <c r="C27" i="67"/>
  <c r="J20" i="67"/>
  <c r="F66" i="67"/>
  <c r="F31" i="67"/>
  <c r="F50" i="67"/>
  <c r="F59" i="67" s="1"/>
  <c r="C6" i="67"/>
  <c r="C32" i="67" s="1"/>
  <c r="M7" i="67"/>
  <c r="J6" i="67" s="1"/>
  <c r="J18" i="67" s="1"/>
  <c r="F51" i="15"/>
  <c r="F59" i="15" s="1"/>
  <c r="J6" i="15"/>
  <c r="J18" i="15" s="1"/>
  <c r="C20" i="71"/>
  <c r="D21" i="71"/>
  <c r="U21" i="71" s="1"/>
  <c r="T21" i="71"/>
  <c r="N64" i="71"/>
  <c r="B63" i="71"/>
  <c r="C41" i="71"/>
  <c r="D40" i="71"/>
  <c r="Q62" i="71"/>
  <c r="Q63" i="71"/>
  <c r="AZ577" i="3"/>
  <c r="AC38" i="40"/>
  <c r="W38" i="40"/>
  <c r="AA14" i="40"/>
  <c r="S14" i="40"/>
  <c r="U14" i="40"/>
  <c r="AB14" i="40"/>
  <c r="S13" i="37"/>
  <c r="AA13" i="37"/>
  <c r="AA33" i="36"/>
  <c r="S33" i="36"/>
  <c r="W34" i="36"/>
  <c r="AC34" i="36"/>
  <c r="W36" i="35"/>
  <c r="AC36" i="35"/>
  <c r="AA45" i="21"/>
  <c r="S45" i="21"/>
  <c r="AC30" i="21"/>
  <c r="W30" i="21"/>
  <c r="AB30" i="21"/>
  <c r="U30" i="21"/>
  <c r="S14" i="21"/>
  <c r="AA14" i="21"/>
  <c r="AZ583" i="3"/>
  <c r="W35" i="39"/>
  <c r="AC35" i="39"/>
  <c r="U39" i="40"/>
  <c r="AB39" i="40"/>
  <c r="AA44" i="39"/>
  <c r="S44" i="39"/>
  <c r="S38" i="37"/>
  <c r="AA38" i="37"/>
  <c r="AB38" i="37"/>
  <c r="U38" i="37"/>
  <c r="AC28" i="37"/>
  <c r="W28" i="37"/>
  <c r="AA26" i="37"/>
  <c r="S26" i="37"/>
  <c r="S25" i="36"/>
  <c r="AA25" i="36"/>
  <c r="AA23" i="36"/>
  <c r="S23" i="36"/>
  <c r="AB34" i="35"/>
  <c r="U34" i="35"/>
  <c r="W28" i="34"/>
  <c r="AC28" i="34"/>
  <c r="AB9" i="34"/>
  <c r="U9" i="34"/>
  <c r="S31" i="21"/>
  <c r="AA31" i="21"/>
  <c r="U31" i="21"/>
  <c r="AB31" i="21"/>
  <c r="AA28" i="21"/>
  <c r="S28" i="21"/>
  <c r="AZ586" i="3"/>
  <c r="E65" i="39"/>
  <c r="C47" i="11"/>
  <c r="D45" i="11" s="1"/>
  <c r="C29" i="11"/>
  <c r="D27" i="11" s="1"/>
  <c r="B20" i="71"/>
  <c r="B19" i="71" s="1"/>
  <c r="B18" i="71" s="1"/>
  <c r="B17" i="71" s="1"/>
  <c r="S21" i="71"/>
  <c r="E20" i="71"/>
  <c r="E19" i="71" s="1"/>
  <c r="E18" i="71" s="1"/>
  <c r="E17" i="71" s="1"/>
  <c r="V21" i="71"/>
  <c r="D76" i="71"/>
  <c r="C75" i="71"/>
  <c r="D75" i="71" s="1"/>
  <c r="C67" i="71"/>
  <c r="D67" i="71" s="1"/>
  <c r="D68" i="71"/>
  <c r="AB38" i="40"/>
  <c r="U38" i="40"/>
  <c r="AA38" i="40"/>
  <c r="S38" i="40"/>
  <c r="W14" i="40"/>
  <c r="AC14" i="40"/>
  <c r="W13" i="37"/>
  <c r="AC13" i="37"/>
  <c r="AB13" i="37"/>
  <c r="U13" i="37"/>
  <c r="U33" i="36"/>
  <c r="AB33" i="36"/>
  <c r="U34" i="36"/>
  <c r="AB34" i="36"/>
  <c r="AB36" i="35"/>
  <c r="U36" i="35"/>
  <c r="W45" i="21"/>
  <c r="AC45" i="21"/>
  <c r="S30" i="21"/>
  <c r="AA30" i="21"/>
  <c r="U14" i="21"/>
  <c r="AB14" i="21"/>
  <c r="W14" i="21"/>
  <c r="AC14" i="21"/>
  <c r="AZ569" i="3"/>
  <c r="AZ5" i="3" s="1"/>
  <c r="BA5" i="3"/>
  <c r="E27" i="6" s="1"/>
  <c r="AA35" i="39"/>
  <c r="S35" i="39"/>
  <c r="AB35" i="39"/>
  <c r="U35" i="39"/>
  <c r="W39" i="40"/>
  <c r="AC39" i="40"/>
  <c r="AC44" i="39"/>
  <c r="W44" i="39"/>
  <c r="U44" i="39"/>
  <c r="AB44" i="39"/>
  <c r="AC38" i="37"/>
  <c r="W38" i="37"/>
  <c r="U28" i="37"/>
  <c r="AB28" i="37"/>
  <c r="AA28" i="37"/>
  <c r="S28" i="37"/>
  <c r="AB25" i="36"/>
  <c r="U25" i="36"/>
  <c r="W25" i="36"/>
  <c r="AC25" i="36"/>
  <c r="S34" i="35"/>
  <c r="AA34" i="35"/>
  <c r="AC34" i="35"/>
  <c r="W34" i="35"/>
  <c r="AA28" i="34"/>
  <c r="S28" i="34"/>
  <c r="W9" i="34"/>
  <c r="AC9" i="34"/>
  <c r="AC31" i="21"/>
  <c r="W31" i="21"/>
  <c r="AC28" i="21"/>
  <c r="W28" i="21"/>
  <c r="AB28" i="21"/>
  <c r="U28" i="21"/>
  <c r="P11" i="1"/>
  <c r="P16" i="1" s="1"/>
  <c r="C11" i="12" s="1"/>
  <c r="O11" i="1"/>
  <c r="O16" i="1" s="1"/>
  <c r="M16"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AE6" i="1"/>
  <c r="C16" i="67"/>
  <c r="C14" i="67"/>
  <c r="F41" i="15"/>
  <c r="C17" i="67"/>
  <c r="C16" i="15"/>
  <c r="F41" i="67"/>
  <c r="B20" i="31" l="1"/>
  <c r="F69" i="15"/>
  <c r="F69" i="67"/>
  <c r="AB10" i="40"/>
  <c r="C49" i="67"/>
  <c r="M17" i="67"/>
  <c r="J10" i="15"/>
  <c r="J5" i="15" s="1"/>
  <c r="J26" i="15" s="1"/>
  <c r="J29" i="15" s="1"/>
  <c r="J5" i="67"/>
  <c r="J26" i="67" s="1"/>
  <c r="J29" i="67" s="1"/>
  <c r="I14" i="74"/>
  <c r="B8" i="74" s="1"/>
  <c r="D12" i="52"/>
  <c r="D127" i="9"/>
  <c r="D13" i="52" s="1"/>
  <c r="C49" i="15"/>
  <c r="D20" i="53"/>
  <c r="B40" i="72" s="1"/>
  <c r="B38" i="72"/>
  <c r="C15" i="67"/>
  <c r="C18" i="67"/>
  <c r="AY6" i="3"/>
  <c r="E3" i="6"/>
  <c r="C15" i="12"/>
  <c r="C12" i="12"/>
  <c r="U7" i="37"/>
  <c r="K20" i="6"/>
  <c r="M20" i="6" s="1"/>
  <c r="I20" i="6" s="1"/>
  <c r="S20" i="6" s="1"/>
  <c r="K24" i="6"/>
  <c r="M24" i="6" s="1"/>
  <c r="I24" i="6" s="1"/>
  <c r="S24" i="6" s="1"/>
  <c r="K26" i="6"/>
  <c r="M26" i="6" s="1"/>
  <c r="I26" i="6" s="1"/>
  <c r="S26" i="6" s="1"/>
  <c r="K19" i="6"/>
  <c r="S6" i="1" s="1"/>
  <c r="K25" i="6"/>
  <c r="M25" i="6" s="1"/>
  <c r="I25" i="6" s="1"/>
  <c r="S25" i="6" s="1"/>
  <c r="K23" i="6"/>
  <c r="M23" i="6" s="1"/>
  <c r="I23" i="6" s="1"/>
  <c r="S23" i="6" s="1"/>
  <c r="E31" i="6"/>
  <c r="K21" i="6"/>
  <c r="M21" i="6" s="1"/>
  <c r="I21" i="6" s="1"/>
  <c r="S21" i="6" s="1"/>
  <c r="K22" i="6"/>
  <c r="M22" i="6" s="1"/>
  <c r="I22" i="6" s="1"/>
  <c r="S22" i="6" s="1"/>
  <c r="T41" i="71"/>
  <c r="D41" i="71"/>
  <c r="N16" i="1"/>
  <c r="L16" i="1"/>
  <c r="C34" i="11"/>
  <c r="C34" i="68"/>
  <c r="E16" i="71"/>
  <c r="E15" i="71" s="1"/>
  <c r="E14" i="71" s="1"/>
  <c r="E13" i="71" s="1"/>
  <c r="V17" i="71"/>
  <c r="B16" i="71"/>
  <c r="B15" i="71" s="1"/>
  <c r="B14" i="71" s="1"/>
  <c r="B13" i="71" s="1"/>
  <c r="S17" i="7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9" i="9"/>
  <c r="C17" i="15"/>
  <c r="C102" i="9" l="1"/>
  <c r="B21" i="31"/>
  <c r="AQ6" i="1"/>
  <c r="AR6" i="1"/>
  <c r="S16" i="1"/>
  <c r="T6" i="1"/>
  <c r="E6" i="70"/>
  <c r="E2" i="70" s="1"/>
  <c r="C48" i="67"/>
  <c r="C66" i="67" s="1"/>
  <c r="C19" i="67"/>
  <c r="C20" i="67" s="1"/>
  <c r="C26" i="67" s="1"/>
  <c r="J24" i="15"/>
  <c r="J24" i="67"/>
  <c r="C48" i="15"/>
  <c r="C66" i="15" s="1"/>
  <c r="C38" i="68"/>
  <c r="C35" i="68"/>
  <c r="D3" i="21"/>
  <c r="E6" i="6"/>
  <c r="D37" i="11"/>
  <c r="C37" i="11" s="1"/>
  <c r="D14" i="12"/>
  <c r="M18" i="9"/>
  <c r="B118" i="9" s="1"/>
  <c r="B14" i="74" s="1"/>
  <c r="B1" i="74" s="1"/>
  <c r="D3" i="33"/>
  <c r="D19" i="11"/>
  <c r="C19" i="11" s="1"/>
  <c r="C24" i="11" s="1"/>
  <c r="D3" i="37"/>
  <c r="D3" i="34"/>
  <c r="C17" i="4"/>
  <c r="B4" i="52" s="1"/>
  <c r="B43" i="72" s="1"/>
  <c r="L18" i="9"/>
  <c r="D19" i="71"/>
  <c r="C18" i="71"/>
  <c r="B12" i="71"/>
  <c r="B11" i="71" s="1"/>
  <c r="B10" i="71" s="1"/>
  <c r="B9" i="71" s="1"/>
  <c r="S13" i="71"/>
  <c r="E12" i="71"/>
  <c r="E11" i="71" s="1"/>
  <c r="E10" i="71" s="1"/>
  <c r="E9" i="71" s="1"/>
  <c r="V13" i="71"/>
  <c r="C38" i="11"/>
  <c r="C35" i="11"/>
  <c r="F50" i="69"/>
  <c r="F50" i="11"/>
  <c r="F50" i="68"/>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26" i="69"/>
  <c r="D22" i="69" s="1"/>
  <c r="C44" i="69"/>
  <c r="D41" i="69" s="1"/>
  <c r="C44" i="68"/>
  <c r="D41" i="68" s="1"/>
  <c r="C23" i="68"/>
  <c r="C26" i="68"/>
  <c r="D22" i="68" s="1"/>
  <c r="C26" i="12"/>
  <c r="D25" i="12" s="1"/>
  <c r="C44" i="11"/>
  <c r="D41" i="11" s="1"/>
  <c r="C23" i="11"/>
  <c r="C26" i="11"/>
  <c r="D22" i="11" s="1"/>
  <c r="C38" i="67"/>
  <c r="C38" i="15"/>
  <c r="C20" i="9"/>
  <c r="E6" i="76"/>
  <c r="B6" i="76"/>
  <c r="C14" i="15"/>
  <c r="C18" i="15" l="1"/>
  <c r="C15" i="15"/>
  <c r="T16" i="1"/>
  <c r="C103" i="9"/>
  <c r="C60" i="67"/>
  <c r="C23" i="67"/>
  <c r="C29" i="67" s="1"/>
  <c r="C33" i="67" s="1"/>
  <c r="C31" i="67" s="1"/>
  <c r="C33" i="11"/>
  <c r="I19" i="6"/>
  <c r="H19" i="6" s="1"/>
  <c r="M27" i="6"/>
  <c r="C17" i="71"/>
  <c r="D18" i="71"/>
  <c r="D17" i="12"/>
  <c r="C17" i="12" s="1"/>
  <c r="C14" i="12"/>
  <c r="C16" i="12" s="1"/>
  <c r="D10" i="11"/>
  <c r="C10" i="11" s="1"/>
  <c r="D20" i="12"/>
  <c r="C20" i="12" s="1"/>
  <c r="C18"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E8" i="71"/>
  <c r="E7" i="71" s="1"/>
  <c r="E6" i="71" s="1"/>
  <c r="E5" i="71" s="1"/>
  <c r="V9" i="71"/>
  <c r="B8" i="71"/>
  <c r="B7" i="71" s="1"/>
  <c r="B6" i="71" s="1"/>
  <c r="B5" i="71" s="1"/>
  <c r="S9" i="71"/>
  <c r="C20" i="11"/>
  <c r="C25" i="11" s="1"/>
  <c r="C22" i="11" s="1"/>
  <c r="C8" i="74"/>
  <c r="C7"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9" i="15" l="1"/>
  <c r="C20" i="15" s="1"/>
  <c r="J59" i="67"/>
  <c r="J60" i="67" s="1"/>
  <c r="Q48" i="67" s="1"/>
  <c r="H27" i="6"/>
  <c r="R25" i="6"/>
  <c r="D16" i="6"/>
  <c r="Q49" i="67"/>
  <c r="J14" i="67"/>
  <c r="J13" i="67" s="1"/>
  <c r="J23" i="67" s="1"/>
  <c r="J19" i="67"/>
  <c r="J17" i="67" s="1"/>
  <c r="C36" i="67"/>
  <c r="C57" i="67"/>
  <c r="C61" i="67" s="1"/>
  <c r="C59" i="67" s="1"/>
  <c r="C13" i="67"/>
  <c r="C75" i="67" s="1"/>
  <c r="C39" i="11"/>
  <c r="C42" i="11"/>
  <c r="R23" i="6"/>
  <c r="A7" i="51"/>
  <c r="B7" i="72" s="1"/>
  <c r="C4" i="52"/>
  <c r="B45" i="72" s="1"/>
  <c r="A10" i="51"/>
  <c r="B9" i="72" s="1"/>
  <c r="D27" i="6"/>
  <c r="D31" i="6" s="1"/>
  <c r="R19" i="6"/>
  <c r="R24" i="6"/>
  <c r="R22" i="6"/>
  <c r="C10" i="69"/>
  <c r="C8" i="69" s="1"/>
  <c r="C5" i="69" s="1"/>
  <c r="D19" i="69"/>
  <c r="C21" i="12"/>
  <c r="C28" i="11"/>
  <c r="C27" i="11" s="1"/>
  <c r="C31" i="11" s="1"/>
  <c r="R26" i="6"/>
  <c r="D8" i="74"/>
  <c r="D7" i="74"/>
  <c r="C21" i="9"/>
  <c r="R20" i="6"/>
  <c r="R21" i="6"/>
  <c r="C10" i="68"/>
  <c r="D19" i="68"/>
  <c r="C16" i="71"/>
  <c r="T17" i="71"/>
  <c r="D17" i="71"/>
  <c r="U17" i="71" s="1"/>
  <c r="S19" i="6"/>
  <c r="S27" i="6" s="1"/>
  <c r="I27" i="6"/>
  <c r="I69" i="39"/>
  <c r="J67" i="39"/>
  <c r="B3" i="76"/>
  <c r="I63" i="40"/>
  <c r="H65" i="40"/>
  <c r="I58" i="21"/>
  <c r="J58" i="21" s="1"/>
  <c r="K58" i="21" s="1"/>
  <c r="L58" i="21" s="1"/>
  <c r="M58" i="21" s="1"/>
  <c r="N58" i="21" s="1"/>
  <c r="O58" i="21" s="1"/>
  <c r="H7" i="21" s="1"/>
  <c r="F7" i="21"/>
  <c r="J48" i="35"/>
  <c r="Q48" i="15"/>
  <c r="C26" i="15" l="1"/>
  <c r="C23" i="15"/>
  <c r="R27" i="6"/>
  <c r="R6" i="1"/>
  <c r="J22" i="67"/>
  <c r="J16" i="67" s="1"/>
  <c r="J25" i="67" s="1"/>
  <c r="C56" i="67"/>
  <c r="C65" i="67" s="1"/>
  <c r="C64" i="67"/>
  <c r="Q70" i="67"/>
  <c r="C37" i="67"/>
  <c r="C30" i="67" s="1"/>
  <c r="C39" i="67" s="1"/>
  <c r="Q69" i="67" s="1"/>
  <c r="C46" i="11"/>
  <c r="C45" i="11" s="1"/>
  <c r="C43" i="11"/>
  <c r="C41" i="11" s="1"/>
  <c r="C15" i="71"/>
  <c r="D16" i="71"/>
  <c r="C22" i="12"/>
  <c r="C30" i="12" s="1"/>
  <c r="C28" i="12" s="1"/>
  <c r="C23" i="69"/>
  <c r="I6" i="6"/>
  <c r="I5" i="6"/>
  <c r="J7" i="21"/>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F35" i="15"/>
  <c r="M21" i="15"/>
  <c r="L51" i="67"/>
  <c r="C29" i="15" l="1"/>
  <c r="F63" i="15"/>
  <c r="C62" i="15" s="1"/>
  <c r="C34" i="15"/>
  <c r="C31" i="15" s="1"/>
  <c r="J20" i="15"/>
  <c r="R16" i="1"/>
  <c r="C80" i="67"/>
  <c r="C79" i="67" s="1"/>
  <c r="C58" i="67"/>
  <c r="C67" i="67" s="1"/>
  <c r="C68" i="67" s="1"/>
  <c r="C71" i="67" s="1"/>
  <c r="C40" i="67"/>
  <c r="C43" i="67" s="1"/>
  <c r="Q68" i="67"/>
  <c r="C49" i="11"/>
  <c r="C51" i="11" s="1"/>
  <c r="C52" i="11" s="1"/>
  <c r="C27" i="12"/>
  <c r="C25" i="12" s="1"/>
  <c r="C32" i="12" s="1"/>
  <c r="B2" i="12" s="1"/>
  <c r="B3" i="12" s="1"/>
  <c r="B2" i="11"/>
  <c r="B3" i="11" s="1"/>
  <c r="C20" i="68"/>
  <c r="C25" i="68" s="1"/>
  <c r="C24" i="68"/>
  <c r="J7" i="35"/>
  <c r="AC7" i="35" s="1"/>
  <c r="V38" i="35" s="1"/>
  <c r="I38" i="35" s="1"/>
  <c r="C39" i="69"/>
  <c r="C43" i="69" s="1"/>
  <c r="C42" i="69"/>
  <c r="C39" i="68"/>
  <c r="C42" i="68"/>
  <c r="C20" i="69"/>
  <c r="C14" i="71"/>
  <c r="D15" i="71"/>
  <c r="L67" i="39"/>
  <c r="K69" i="39"/>
  <c r="W7" i="35"/>
  <c r="J65" i="40"/>
  <c r="K63" i="40"/>
  <c r="I52" i="21"/>
  <c r="J52" i="21" s="1"/>
  <c r="U7" i="35"/>
  <c r="AB7" i="35"/>
  <c r="T38" i="35" s="1"/>
  <c r="G38" i="35" s="1"/>
  <c r="R49" i="21"/>
  <c r="E48" i="21"/>
  <c r="G52" i="21"/>
  <c r="H52" i="21" s="1"/>
  <c r="G53" i="21"/>
  <c r="H53" i="21" s="1"/>
  <c r="F7" i="35"/>
  <c r="Q67" i="67"/>
  <c r="L57" i="67"/>
  <c r="L60" i="67" s="1"/>
  <c r="L46" i="67" s="1"/>
  <c r="C36" i="15" l="1"/>
  <c r="J19" i="15"/>
  <c r="J17" i="15" s="1"/>
  <c r="Q49" i="15"/>
  <c r="J14" i="15"/>
  <c r="C13" i="15"/>
  <c r="C57" i="15"/>
  <c r="L57" i="15"/>
  <c r="L60" i="15" s="1"/>
  <c r="L46" i="15" s="1"/>
  <c r="C45" i="67"/>
  <c r="C46" i="67" s="1"/>
  <c r="Q65" i="67"/>
  <c r="Q47" i="67"/>
  <c r="Q53" i="67" s="1"/>
  <c r="C83" i="67"/>
  <c r="C82" i="67" s="1"/>
  <c r="Q56" i="67"/>
  <c r="D2" i="67"/>
  <c r="B3" i="67" s="1"/>
  <c r="C22" i="68"/>
  <c r="C56" i="11"/>
  <c r="C57" i="11" s="1"/>
  <c r="C41" i="69"/>
  <c r="C28" i="68"/>
  <c r="C27" i="68" s="1"/>
  <c r="C13" i="71"/>
  <c r="D14" i="71"/>
  <c r="C28" i="69"/>
  <c r="C27" i="69" s="1"/>
  <c r="C25" i="69"/>
  <c r="C22" i="69" s="1"/>
  <c r="C46" i="68"/>
  <c r="C45" i="68" s="1"/>
  <c r="C43" i="68"/>
  <c r="C41" i="68" s="1"/>
  <c r="C46" i="69"/>
  <c r="C45" i="69" s="1"/>
  <c r="C49" i="69" s="1"/>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B2" i="67"/>
  <c r="C56" i="15" l="1"/>
  <c r="C65" i="15" s="1"/>
  <c r="Q70" i="15"/>
  <c r="C37" i="15"/>
  <c r="C30" i="15" s="1"/>
  <c r="C39" i="15" s="1"/>
  <c r="C75" i="15"/>
  <c r="C61" i="15"/>
  <c r="C59" i="15" s="1"/>
  <c r="C64" i="15"/>
  <c r="J22" i="15"/>
  <c r="J13" i="15"/>
  <c r="J23" i="15" s="1"/>
  <c r="Q62" i="67"/>
  <c r="Q66" i="15"/>
  <c r="Q57" i="15"/>
  <c r="C31" i="68"/>
  <c r="C49" i="68"/>
  <c r="C51" i="68" s="1"/>
  <c r="C31" i="69"/>
  <c r="C52" i="69" s="1"/>
  <c r="C12" i="71"/>
  <c r="T13" i="71"/>
  <c r="D13" i="71"/>
  <c r="U13" i="71" s="1"/>
  <c r="M69" i="39"/>
  <c r="N67" i="39"/>
  <c r="R39" i="35"/>
  <c r="E38" i="35"/>
  <c r="M63" i="40"/>
  <c r="L65" i="40"/>
  <c r="L51" i="15"/>
  <c r="J16" i="15" l="1"/>
  <c r="J25" i="15" s="1"/>
  <c r="C58" i="15"/>
  <c r="C67" i="15" s="1"/>
  <c r="C68" i="15" s="1"/>
  <c r="C71" i="15" s="1"/>
  <c r="Q67" i="15"/>
  <c r="Q69" i="15"/>
  <c r="Q68" i="15" s="1"/>
  <c r="C40" i="15"/>
  <c r="C80" i="15"/>
  <c r="C79" i="15" s="1"/>
  <c r="C52" i="68"/>
  <c r="B2" i="68" s="1"/>
  <c r="B3" i="68" s="1"/>
  <c r="B2" i="69"/>
  <c r="B3" i="69" s="1"/>
  <c r="C57" i="69"/>
  <c r="C56" i="69" s="1"/>
  <c r="C11" i="71"/>
  <c r="D12" i="71"/>
  <c r="O67" i="39"/>
  <c r="O69" i="39" s="1"/>
  <c r="N69" i="39"/>
  <c r="F7" i="39"/>
  <c r="C39" i="35"/>
  <c r="B2" i="35" s="1"/>
  <c r="B3" i="35" s="1"/>
  <c r="C38" i="35"/>
  <c r="N63" i="40"/>
  <c r="M65" i="40"/>
  <c r="E43" i="35"/>
  <c r="F43" i="35" s="1"/>
  <c r="E42" i="35"/>
  <c r="F42" i="35" s="1"/>
  <c r="I43" i="35"/>
  <c r="J43" i="35" s="1"/>
  <c r="C46" i="15" l="1"/>
  <c r="C43" i="15"/>
  <c r="Q65" i="15"/>
  <c r="Q75" i="15" s="1"/>
  <c r="B2" i="15"/>
  <c r="Q56" i="15"/>
  <c r="Q62" i="15" s="1"/>
  <c r="C83" i="15"/>
  <c r="C82" i="15" s="1"/>
  <c r="Q47" i="15"/>
  <c r="Q53" i="15" s="1"/>
  <c r="C57" i="68"/>
  <c r="C56" i="68" s="1"/>
  <c r="D11" i="71"/>
  <c r="C10" i="71"/>
  <c r="H7" i="39"/>
  <c r="J7" i="39"/>
  <c r="S7" i="39"/>
  <c r="AA7" i="39"/>
  <c r="R47" i="39" s="1"/>
  <c r="O63" i="40"/>
  <c r="O65" i="40" s="1"/>
  <c r="N65" i="40"/>
  <c r="D19" i="9"/>
  <c r="AO6" i="1"/>
  <c r="D21" i="9" l="1"/>
  <c r="D102" i="9"/>
  <c r="G19" i="9"/>
  <c r="D22" i="9"/>
  <c r="B6" i="70"/>
  <c r="B2" i="70" s="1"/>
  <c r="B3" i="70" s="1"/>
  <c r="B3" i="15"/>
  <c r="D10" i="71"/>
  <c r="C9" i="71"/>
  <c r="W7" i="39"/>
  <c r="AC7" i="39"/>
  <c r="V47" i="39" s="1"/>
  <c r="I47" i="39" s="1"/>
  <c r="E47" i="39"/>
  <c r="R48" i="39"/>
  <c r="U7" i="39"/>
  <c r="AB7" i="39"/>
  <c r="T47" i="39" s="1"/>
  <c r="G47" i="39" s="1"/>
  <c r="J7" i="40"/>
  <c r="F7" i="40"/>
  <c r="H7" i="40"/>
  <c r="D20" i="9"/>
  <c r="D12" i="80" l="1"/>
  <c r="E12" i="80"/>
  <c r="G12" i="80"/>
  <c r="I12" i="80"/>
  <c r="F12" i="80"/>
  <c r="H12" i="80"/>
  <c r="J12" i="80"/>
  <c r="G21" i="9"/>
  <c r="D103" i="9"/>
  <c r="G20" i="9"/>
  <c r="C32" i="9" s="1"/>
  <c r="C35" i="9" s="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13" i="80" l="1"/>
  <c r="H14" i="80"/>
  <c r="H15" i="80"/>
  <c r="H16" i="80"/>
  <c r="H17" i="80"/>
  <c r="I13" i="80"/>
  <c r="I14" i="80"/>
  <c r="I15" i="80"/>
  <c r="I16" i="80"/>
  <c r="I17" i="80"/>
  <c r="E13" i="80"/>
  <c r="E14" i="80"/>
  <c r="E15" i="80"/>
  <c r="E16" i="80"/>
  <c r="E17" i="80"/>
  <c r="J13" i="80"/>
  <c r="J14" i="80"/>
  <c r="J15" i="80"/>
  <c r="J16" i="80"/>
  <c r="J17" i="80"/>
  <c r="F13" i="80"/>
  <c r="F14" i="80"/>
  <c r="F15" i="80"/>
  <c r="F16" i="80"/>
  <c r="F17" i="80"/>
  <c r="G13" i="80"/>
  <c r="G14" i="80"/>
  <c r="G15" i="80"/>
  <c r="G16" i="80"/>
  <c r="G17" i="80"/>
  <c r="D14" i="80"/>
  <c r="D15" i="80"/>
  <c r="D16" i="80"/>
  <c r="D17" i="80"/>
  <c r="D13" i="80"/>
  <c r="D18" i="80" s="1"/>
  <c r="C12" i="80"/>
  <c r="K12" i="80"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8" i="80" l="1"/>
  <c r="G19" i="80" s="1"/>
  <c r="F18" i="80"/>
  <c r="I18" i="80"/>
  <c r="I19" i="80" s="1"/>
  <c r="H18" i="80"/>
  <c r="J18" i="80"/>
  <c r="J19" i="80" s="1"/>
  <c r="E18" i="80"/>
  <c r="C17" i="80"/>
  <c r="K17" i="80" s="1"/>
  <c r="C15" i="80"/>
  <c r="K15" i="80" s="1"/>
  <c r="C16" i="80"/>
  <c r="K16" i="80" s="1"/>
  <c r="C14" i="80"/>
  <c r="K14" i="80" s="1"/>
  <c r="F19" i="80"/>
  <c r="E19" i="80"/>
  <c r="H19" i="80"/>
  <c r="C13" i="80"/>
  <c r="K13" i="80" s="1"/>
  <c r="D19" i="80"/>
  <c r="C6" i="71"/>
  <c r="D7" i="71"/>
  <c r="C42" i="40"/>
  <c r="C43" i="40"/>
  <c r="E47" i="40"/>
  <c r="F47" i="40" s="1"/>
  <c r="E46" i="40"/>
  <c r="F46" i="40" s="1"/>
  <c r="I47" i="40"/>
  <c r="J47" i="40" s="1"/>
  <c r="C18" i="80" l="1"/>
  <c r="K18" i="80"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C104" i="9" s="1"/>
  <c r="H101" i="9" l="1"/>
  <c r="H107" i="9" s="1"/>
  <c r="I118" i="9"/>
  <c r="I4" i="52" s="1"/>
  <c r="H4" i="52"/>
  <c r="D14" i="74"/>
  <c r="E14" i="74" s="1"/>
  <c r="D5" i="53"/>
  <c r="F119" i="9"/>
  <c r="F5" i="52" s="1"/>
  <c r="B53" i="72" s="1"/>
  <c r="G118" i="9"/>
  <c r="G4" i="52" s="1"/>
  <c r="B52" i="72" s="1"/>
  <c r="D4" i="52"/>
  <c r="B47" i="72" s="1"/>
  <c r="H119" i="9"/>
  <c r="H5" i="52" s="1"/>
  <c r="D45" i="9" l="1"/>
  <c r="C64" i="9" s="1"/>
  <c r="C63" i="9" s="1"/>
  <c r="C67" i="9" s="1"/>
  <c r="M48" i="9"/>
  <c r="H102" i="9"/>
  <c r="D7" i="53" s="1"/>
  <c r="B21" i="72" s="1"/>
  <c r="F14" i="74"/>
  <c r="B5" i="74"/>
  <c r="D5" i="74" s="1"/>
  <c r="C105" i="9"/>
  <c r="E118" i="9"/>
  <c r="E4" i="52" s="1"/>
  <c r="B48" i="72" s="1"/>
  <c r="D13" i="53"/>
  <c r="M49" i="9"/>
  <c r="D122" i="9"/>
  <c r="H108" i="9"/>
  <c r="D15" i="53" s="1"/>
  <c r="B31" i="72" s="1"/>
  <c r="D6" i="53"/>
  <c r="B22" i="72" s="1"/>
  <c r="B20" i="72"/>
  <c r="C85" i="9" l="1"/>
  <c r="D52" i="9"/>
  <c r="C5" i="74"/>
  <c r="C72" i="9"/>
  <c r="C93" i="9"/>
  <c r="C86" i="9" s="1"/>
  <c r="C78" i="9"/>
  <c r="C73" i="9" s="1"/>
  <c r="D53" i="9"/>
  <c r="D55" i="9"/>
  <c r="M53" i="9" s="1"/>
  <c r="C95" i="9"/>
  <c r="C79" i="9"/>
  <c r="C80" i="9" s="1"/>
  <c r="E80" i="9" s="1"/>
  <c r="E81" i="9" s="1"/>
  <c r="C96" i="9"/>
  <c r="E96" i="9" s="1"/>
  <c r="E97" i="9" s="1"/>
  <c r="D123" i="9"/>
  <c r="D9" i="52" s="1"/>
  <c r="D8" i="52"/>
  <c r="G14" i="74"/>
  <c r="B6" i="74" s="1"/>
  <c r="B30" i="72"/>
  <c r="D14" i="53"/>
  <c r="B32" i="72" s="1"/>
  <c r="D59" i="9"/>
  <c r="M55" i="9" s="1"/>
  <c r="C68" i="9"/>
  <c r="D54" i="9" s="1"/>
  <c r="L65" i="9"/>
  <c r="M65" i="9" s="1"/>
  <c r="L63" i="9"/>
  <c r="M63" i="9" s="1"/>
  <c r="L66" i="9"/>
  <c r="M66" i="9" s="1"/>
  <c r="L68" i="9"/>
  <c r="M68" i="9" s="1"/>
  <c r="L64" i="9"/>
  <c r="M64" i="9" s="1"/>
  <c r="L67" i="9"/>
  <c r="M67" i="9" s="1"/>
  <c r="C97" i="9" l="1"/>
  <c r="D58" i="9" s="1"/>
  <c r="D56" i="9" s="1"/>
  <c r="M54" i="9" s="1"/>
  <c r="N57" i="9" s="1"/>
  <c r="N58" i="9" s="1"/>
  <c r="M69" i="9"/>
  <c r="N69" i="9" s="1"/>
  <c r="C6" i="74"/>
  <c r="D6" i="74"/>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<sst xmlns="http://schemas.openxmlformats.org/spreadsheetml/2006/main" count="7573" uniqueCount="3277">
  <si>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</si>
  <si>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</si>
  <si>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</si>
  <si>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</si>
  <si>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</si>
  <si>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</si>
  <si>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</si>
  <si>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</si>
  <si>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</si>
  <si>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</si>
  <si>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</si>
  <si>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</si>
  <si>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</si>
  <si>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</si>
  <si>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</si>
  <si>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</si>
  <si>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</si>
  <si>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</si>
  <si>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</si>
  <si>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</si>
  <si>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</si>
  <si>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</si>
  <si>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</si>
  <si>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</si>
  <si>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</si>
  <si>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</si>
  <si>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</si>
  <si>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</si>
  <si>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</si>
  <si>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</si>
  <si>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</si>
  <si>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</si>
  <si>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</si>
  <si>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</si>
  <si>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</si>
  <si>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</si>
  <si>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</si>
  <si>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</si>
  <si>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</si>
  <si>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</si>
  <si>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</si>
  <si>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</si>
  <si>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</si>
  <si>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</si>
  <si>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</si>
  <si>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</si>
  <si>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</si>
  <si>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</si>
  <si>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</si>
  <si>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</si>
  <si>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</si>
  <si>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</si>
  <si>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</si>
  <si>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</si>
  <si>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</si>
  <si>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</si>
  <si>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</si>
  <si>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</si>
  <si>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</si>
  <si>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</si>
  <si>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</si>
  <si>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</si>
  <si>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</si>
  <si>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</si>
  <si>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</si>
  <si>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</si>
  <si>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</si>
  <si>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</si>
  <si>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</si>
  <si>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</si>
  <si>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</si>
  <si>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</si>
  <si>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</si>
  <si>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</si>
  <si>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</si>
  <si>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</si>
  <si>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</si>
  <si>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</si>
  <si>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</si>
  <si>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</si>
  <si>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</si>
  <si>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</si>
  <si>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</si>
  <si>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</si>
  <si>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</si>
  <si>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</si>
  <si>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</si>
  <si>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</si>
  <si>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</si>
  <si>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</si>
  <si>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</si>
  <si>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</si>
  <si>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</si>
  <si>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</si>
  <si>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</si>
  <si>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</si>
  <si>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</si>
  <si>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</si>
  <si>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</si>
  <si>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</si>
  <si>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</si>
  <si>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</si>
  <si>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</si>
  <si>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</si>
  <si>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</si>
  <si>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</si>
  <si>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</si>
  <si>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</si>
  <si>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</si>
  <si>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</si>
  <si>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</si>
  <si>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</si>
  <si>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</si>
  <si>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</si>
  <si>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</si>
  <si>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</si>
  <si>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</si>
  <si>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</si>
  <si>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</si>
  <si>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</si>
  <si>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</si>
  <si>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</si>
  <si>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</si>
  <si>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</si>
  <si>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</si>
  <si>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</si>
  <si>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</si>
  <si>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</si>
  <si>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</si>
  <si>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</si>
  <si>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</si>
  <si>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</si>
  <si>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</si>
  <si>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</si>
  <si>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</si>
  <si>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</si>
  <si>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</si>
  <si>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</si>
  <si>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</si>
  <si>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</si>
  <si>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</si>
  <si>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</si>
  <si>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</si>
  <si>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</si>
  <si>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</si>
  <si>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</si>
  <si>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</si>
  <si>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</si>
  <si>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</si>
  <si>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</si>
  <si>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</si>
  <si>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</si>
  <si>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</si>
  <si>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</si>
  <si>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</si>
  <si>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</si>
  <si>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</si>
  <si>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</si>
  <si>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</si>
  <si>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</si>
  <si>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</si>
  <si>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</si>
  <si>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</si>
  <si>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</si>
  <si>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</si>
  <si>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</si>
  <si>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</si>
  <si>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</si>
  <si>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</si>
  <si>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</si>
  <si>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</si>
  <si>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</si>
  <si>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</si>
  <si>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</si>
  <si>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</si>
  <si>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</si>
  <si>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</si>
  <si>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</si>
  <si>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</si>
  <si>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</si>
  <si>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</si>
  <si>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</si>
  <si>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</si>
  <si>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</si>
  <si>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</si>
  <si>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</si>
  <si>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</si>
  <si>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</si>
  <si>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</si>
  <si>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</si>
  <si>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</si>
  <si>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</si>
  <si>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</si>
  <si>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</si>
  <si>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</si>
  <si>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</si>
  <si>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</si>
  <si>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</si>
  <si>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</si>
  <si>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</si>
  <si>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</si>
  <si>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</si>
  <si>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</si>
  <si>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</si>
  <si>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</si>
  <si>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</si>
  <si>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</si>
  <si>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</si>
  <si>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</si>
  <si>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</si>
  <si>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</si>
  <si>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</si>
  <si>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</si>
  <si>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</si>
  <si>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</si>
  <si>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</si>
  <si>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</si>
  <si>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</si>
  <si>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</si>
  <si>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</si>
  <si>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</si>
  <si>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</si>
  <si>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</si>
  <si>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</si>
  <si>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</si>
  <si>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</si>
  <si>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</si>
  <si>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</si>
  <si>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</si>
  <si>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</si>
  <si>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</si>
  <si>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</si>
  <si>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</si>
  <si>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</si>
  <si>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</si>
  <si>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</si>
  <si>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</si>
  <si>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</si>
  <si>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</si>
  <si>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</si>
  <si>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</si>
  <si>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</si>
  <si>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</si>
  <si>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</si>
  <si>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</si>
  <si>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</si>
  <si>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</si>
  <si>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</si>
  <si>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</si>
  <si>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</si>
  <si>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</si>
  <si>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</si>
  <si>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</si>
  <si>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</si>
  <si>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</si>
  <si>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</si>
  <si>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</si>
  <si>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</si>
  <si>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</si>
  <si>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</si>
  <si>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</si>
  <si>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</si>
  <si>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</si>
  <si>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</si>
  <si>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</si>
  <si>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</si>
  <si>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</si>
  <si>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</si>
  <si>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</si>
  <si>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</si>
  <si>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</si>
  <si>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</si>
  <si>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</si>
  <si>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</si>
  <si>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</si>
  <si>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</si>
  <si>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</si>
  <si>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</si>
  <si>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</si>
  <si>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</si>
  <si>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</si>
  <si>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</si>
  <si>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</si>
  <si>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</si>
  <si>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</si>
  <si>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</si>
  <si>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</si>
  <si>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</si>
  <si>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</si>
  <si>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</si>
  <si>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</si>
  <si>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</si>
  <si>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</si>
  <si>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</si>
  <si>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</si>
  <si>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</si>
  <si>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</si>
  <si>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</si>
  <si>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</si>
  <si>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</si>
  <si>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</si>
  <si>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</si>
  <si>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</si>
  <si>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</si>
  <si>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</si>
  <si>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</si>
  <si>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</si>
  <si>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</si>
  <si>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</si>
  <si>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</si>
  <si>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</si>
  <si>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</si>
  <si>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</si>
  <si>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</si>
  <si>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</si>
  <si>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</si>
  <si>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</si>
  <si>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</si>
  <si>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</si>
  <si>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</si>
  <si>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</si>
  <si>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</si>
  <si>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</si>
  <si>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</si>
  <si>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</si>
  <si>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</si>
  <si>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</si>
  <si>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</si>
  <si>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</si>
  <si>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</si>
  <si>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</si>
  <si>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</si>
  <si>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</si>
  <si>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</si>
  <si>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</si>
  <si>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</si>
  <si>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</si>
  <si>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</si>
  <si>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</si>
  <si>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</si>
  <si>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</si>
  <si>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</si>
  <si>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</si>
  <si>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</si>
  <si>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</si>
  <si>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</si>
  <si>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</si>
  <si>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</si>
  <si>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</si>
  <si>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</si>
  <si>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</si>
  <si>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</si>
  <si>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</si>
  <si>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</si>
  <si>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</si>
  <si>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</si>
  <si>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</si>
  <si>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</si>
  <si>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</si>
  <si>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</si>
  <si>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</si>
  <si>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</si>
  <si>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</si>
  <si>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</si>
  <si>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</si>
  <si>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</si>
  <si>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</si>
  <si>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</si>
  <si>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</si>
  <si>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</si>
  <si>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</si>
  <si>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</si>
  <si>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</si>
  <si>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</si>
  <si>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</si>
  <si>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</si>
  <si>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</si>
  <si>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</si>
  <si>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</si>
  <si>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</si>
  <si>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</si>
  <si>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</si>
  <si>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</si>
  <si>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</si>
  <si>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</si>
  <si>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</si>
  <si>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</si>
  <si>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</si>
  <si>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</si>
  <si>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</si>
  <si>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</si>
  <si>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</si>
  <si>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</si>
  <si>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</si>
  <si>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</si>
  <si>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</si>
  <si>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</si>
  <si>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</si>
  <si>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</si>
  <si>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</si>
  <si>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</si>
  <si>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</si>
  <si>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</si>
  <si>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</si>
  <si>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</si>
  <si>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</si>
  <si>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</si>
  <si>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</si>
  <si>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</si>
  <si>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</si>
  <si>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</si>
  <si>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</si>
  <si>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</si>
  <si>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</si>
  <si>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</si>
  <si>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</si>
  <si>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</si>
  <si>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</si>
  <si>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</si>
  <si>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</si>
  <si>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</si>
  <si>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</si>
  <si>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</si>
  <si>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</si>
  <si>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</si>
  <si>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</si>
  <si>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</si>
  <si>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</si>
  <si>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</si>
  <si>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</si>
  <si>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</si>
  <si>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</si>
  <si>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</si>
  <si>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</si>
  <si>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</si>
  <si>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</si>
  <si>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</si>
  <si>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</si>
  <si>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</si>
  <si>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</si>
  <si>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</si>
  <si>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</si>
  <si>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</si>
  <si>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</si>
  <si>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</si>
  <si>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</si>
  <si>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</si>
  <si>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</si>
  <si>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</si>
  <si>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</si>
  <si>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</si>
  <si>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</si>
  <si>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</si>
  <si>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</si>
  <si>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</si>
  <si>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</si>
  <si>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</si>
  <si>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</si>
  <si>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</si>
  <si>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</si>
  <si>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</si>
  <si>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</si>
  <si>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</si>
  <si>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</si>
  <si>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</si>
  <si>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</si>
  <si>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</si>
  <si>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</si>
  <si>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</si>
  <si>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</si>
  <si>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</si>
  <si>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</si>
  <si>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</si>
  <si>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</si>
  <si>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</si>
  <si>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</si>
  <si>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</si>
  <si>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</si>
  <si>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</si>
  <si>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</si>
  <si>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</si>
  <si>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</si>
  <si>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</si>
  <si>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</si>
  <si>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</si>
  <si>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</si>
  <si>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</si>
  <si>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</si>
  <si>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</si>
  <si>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</si>
  <si>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</si>
  <si>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</si>
  <si>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</si>
  <si>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</si>
  <si>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</si>
  <si>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</si>
  <si>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</si>
  <si>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</si>
  <si>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</si>
  <si>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</si>
  <si>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</si>
  <si>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</si>
  <si>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</si>
  <si>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</si>
  <si>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</si>
  <si>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</si>
  <si>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</si>
  <si>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</si>
  <si>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</si>
  <si>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</si>
  <si>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</si>
  <si>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</si>
  <si>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</si>
  <si>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</si>
  <si>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</si>
  <si>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</si>
  <si>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</si>
  <si>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</si>
  <si>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</si>
  <si>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</si>
  <si>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</si>
  <si>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</si>
  <si>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</si>
  <si>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</si>
  <si>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</si>
  <si>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</si>
  <si>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</si>
  <si>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</si>
  <si>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</si>
  <si>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</si>
  <si>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</si>
  <si>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</si>
  <si>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</si>
  <si>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</si>
  <si>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</si>
  <si>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</si>
  <si>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</si>
  <si>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</si>
  <si>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</si>
  <si>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</si>
  <si>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</si>
  <si>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</si>
  <si>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</si>
  <si>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</si>
  <si>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</si>
  <si>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</si>
  <si>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</si>
  <si>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</si>
  <si>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</si>
  <si>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</si>
  <si>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</si>
  <si>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</si>
  <si>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</si>
  <si>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</si>
  <si>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</si>
  <si>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</si>
  <si>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</si>
  <si>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</si>
  <si>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</si>
  <si>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</si>
  <si>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</si>
  <si>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</si>
  <si>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</si>
  <si>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</si>
  <si>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</si>
  <si>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</si>
  <si>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</si>
  <si>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</si>
  <si>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</si>
  <si>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</si>
  <si>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</si>
  <si>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</si>
  <si>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</si>
  <si>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</si>
  <si>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</si>
  <si>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</si>
  <si>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</si>
  <si>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</si>
  <si>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</si>
  <si>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</si>
  <si>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</si>
  <si>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</si>
  <si>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</si>
  <si>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</si>
  <si>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</si>
  <si>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</si>
  <si>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</si>
  <si>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</si>
  <si>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</si>
  <si>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</si>
  <si>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</si>
  <si>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</si>
  <si>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</si>
  <si>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</si>
  <si>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</si>
  <si>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</si>
  <si>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</si>
  <si>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</si>
  <si>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</si>
  <si>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</si>
  <si>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</si>
  <si>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</si>
  <si>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</si>
  <si>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</si>
  <si>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</si>
  <si>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</si>
  <si>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</si>
  <si>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</si>
  <si>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</si>
  <si>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</si>
  <si>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</si>
  <si>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</si>
  <si>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</si>
  <si>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</si>
  <si>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</si>
  <si>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</si>
  <si>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</si>
  <si>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</si>
  <si>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</si>
  <si>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</si>
  <si>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</si>
  <si>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</si>
  <si>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</si>
  <si>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</si>
  <si>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</si>
  <si>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</si>
  <si>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</si>
  <si>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</si>
  <si>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</si>
  <si>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</si>
  <si>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</si>
  <si>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</si>
  <si>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</si>
  <si>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</si>
  <si>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</si>
  <si>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</si>
  <si>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</si>
  <si>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</si>
  <si>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</si>
  <si>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</si>
  <si>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</si>
  <si>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</si>
  <si>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</si>
  <si>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</si>
  <si>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</si>
  <si>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</si>
  <si>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</si>
  <si>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</si>
  <si>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</si>
  <si>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</si>
  <si>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</si>
  <si>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</si>
  <si>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</si>
  <si>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</si>
  <si>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</si>
  <si>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</si>
  <si>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</si>
  <si>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</si>
  <si>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</si>
  <si>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</si>
  <si>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</si>
  <si>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</si>
  <si>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</si>
  <si>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</si>
  <si>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</si>
  <si>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</si>
  <si>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</si>
  <si>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</si>
  <si>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</si>
  <si>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</si>
  <si>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</si>
  <si>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</si>
  <si>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</si>
  <si>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</si>
  <si>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</si>
  <si>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</si>
  <si>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</si>
  <si>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</si>
  <si>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</si>
  <si>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</si>
  <si>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</si>
  <si>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</si>
  <si>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</si>
  <si>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</si>
  <si>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</si>
  <si>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</si>
  <si>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</si>
  <si>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</si>
  <si>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</si>
  <si>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</si>
  <si>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</si>
  <si>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</si>
  <si>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</si>
  <si>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</si>
  <si>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</si>
  <si>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</si>
  <si>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</si>
  <si>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</si>
  <si>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</si>
  <si>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</si>
  <si>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</si>
  <si>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</si>
  <si>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</si>
  <si>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</si>
  <si>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</si>
  <si>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</si>
  <si>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</si>
  <si>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</si>
  <si>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</si>
  <si>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</si>
  <si>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</si>
  <si>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</si>
  <si>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</si>
  <si>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</si>
  <si>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</si>
  <si>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</si>
  <si>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</si>
  <si>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</si>
  <si>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</si>
  <si>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</si>
  <si>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</si>
  <si>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</si>
  <si>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</si>
  <si>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</si>
  <si>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</si>
  <si>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</si>
  <si>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</si>
  <si>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</si>
  <si>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</si>
  <si>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</si>
  <si>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</si>
  <si>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</si>
  <si>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</si>
  <si>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</si>
  <si>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</si>
  <si>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</si>
  <si>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</si>
  <si>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</si>
  <si>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</si>
  <si>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</si>
  <si>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</si>
  <si>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</si>
  <si>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</si>
  <si>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</si>
  <si>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</si>
  <si>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</si>
  <si>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</si>
  <si>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</si>
  <si>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</si>
  <si>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</si>
  <si>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</si>
  <si>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</si>
  <si>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</si>
  <si>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</si>
  <si>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</si>
  <si>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</si>
  <si>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</si>
  <si>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</si>
  <si>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</si>
  <si>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</si>
  <si>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</si>
  <si>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</si>
  <si>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</si>
  <si>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</si>
  <si>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</si>
  <si>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</si>
  <si>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</si>
  <si>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</si>
  <si>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</si>
  <si>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</si>
  <si>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</si>
  <si>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</si>
  <si>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</si>
  <si>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</si>
  <si>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</si>
  <si>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</si>
  <si>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</si>
  <si>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</si>
  <si>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</si>
  <si>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</si>
  <si>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</si>
  <si>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</si>
  <si>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</si>
  <si>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</si>
  <si>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</si>
  <si>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</si>
  <si>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</si>
  <si>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</si>
  <si>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</si>
  <si>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</si>
  <si>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</si>
  <si>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</si>
  <si>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</si>
  <si>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</si>
  <si>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</si>
  <si>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</si>
  <si>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</si>
  <si>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</si>
  <si>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</si>
  <si>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</si>
  <si>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</si>
  <si>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</si>
  <si>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</si>
  <si>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</si>
  <si>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</si>
  <si>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</si>
  <si>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</si>
  <si>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</si>
  <si>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</si>
  <si>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</si>
  <si>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</si>
  <si>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</si>
  <si>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</si>
  <si>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</si>
  <si>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</si>
  <si>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</si>
  <si>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</si>
  <si>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</si>
  <si>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</si>
  <si>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</si>
  <si>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</si>
  <si>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</si>
  <si>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</si>
  <si>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</si>
  <si>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</si>
  <si>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</si>
  <si>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</si>
  <si>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</si>
  <si>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</si>
  <si>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</si>
  <si>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</si>
  <si>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</si>
  <si>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</si>
  <si>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</si>
  <si>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</si>
  <si>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</si>
  <si>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</si>
  <si>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</si>
  <si>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</si>
  <si>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</si>
  <si>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</si>
  <si>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</si>
  <si>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</si>
  <si>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</si>
  <si>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</si>
  <si>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</si>
  <si>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</si>
  <si>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</si>
  <si>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</si>
  <si>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</si>
  <si>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</si>
  <si>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</si>
  <si>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</si>
  <si>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</si>
  <si>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</si>
  <si>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</si>
  <si>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</si>
  <si>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</si>
  <si>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</si>
  <si>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</si>
  <si>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</si>
  <si>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</si>
  <si>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</si>
  <si>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</si>
  <si>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</si>
  <si>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</si>
  <si>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</si>
  <si>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</si>
  <si>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</si>
  <si>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</si>
  <si>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</si>
  <si>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</si>
  <si>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</si>
  <si>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</si>
  <si>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</si>
  <si>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</si>
  <si>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</si>
  <si>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</si>
  <si>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</si>
  <si>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</si>
  <si>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</si>
  <si>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</si>
  <si>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</si>
  <si>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</si>
  <si>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</si>
  <si>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</si>
  <si>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</si>
  <si>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</si>
  <si>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</si>
  <si>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</si>
  <si>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</si>
  <si>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</si>
  <si>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</si>
  <si>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</si>
  <si>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</si>
  <si>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</si>
  <si>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</si>
  <si>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</si>
  <si>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</si>
  <si>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</si>
  <si>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</si>
  <si>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</si>
  <si>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</si>
  <si>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</si>
  <si>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</si>
  <si>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</si>
  <si>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</si>
  <si>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</si>
  <si>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</si>
  <si>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</si>
  <si>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</si>
  <si>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</si>
  <si>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</si>
  <si>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</si>
  <si>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</si>
  <si>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</si>
  <si>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</si>
  <si>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</si>
  <si>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</si>
  <si>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</si>
  <si>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</si>
  <si>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</si>
  <si>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</si>
  <si>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</si>
  <si>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</si>
  <si>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</si>
  <si>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</si>
  <si>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</si>
  <si>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</si>
  <si>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</si>
  <si>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</si>
  <si>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</si>
  <si>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</si>
  <si>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</si>
  <si>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</si>
  <si>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</si>
  <si>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</si>
  <si>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</si>
  <si>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</si>
  <si>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</si>
  <si>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</si>
  <si>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</si>
  <si>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</si>
  <si>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</si>
  <si>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</si>
  <si>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</si>
  <si>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</si>
  <si>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</si>
  <si>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</si>
  <si>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</si>
  <si>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</si>
  <si>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</si>
  <si>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</si>
  <si>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</si>
  <si>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</si>
  <si>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</si>
  <si>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</si>
  <si>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</si>
  <si>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</si>
  <si>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</si>
  <si>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</si>
  <si>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</si>
  <si>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</si>
  <si>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</si>
  <si>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</si>
  <si>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</si>
  <si>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</si>
  <si>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</si>
  <si>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</si>
  <si>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</si>
  <si>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</si>
  <si>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</si>
  <si>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</si>
  <si>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</si>
  <si>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</si>
  <si>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</si>
  <si>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</si>
  <si>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</si>
  <si>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</si>
  <si>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</si>
  <si>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</si>
  <si>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</si>
  <si>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</si>
  <si>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</si>
  <si>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</si>
  <si>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</si>
  <si>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</si>
  <si>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</si>
  <si>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</si>
  <si>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</si>
  <si>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</si>
  <si>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</si>
  <si>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</si>
  <si>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</si>
  <si>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</si>
  <si>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</si>
  <si>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</si>
  <si>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</si>
  <si>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</si>
  <si>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</si>
  <si>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</si>
  <si>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</si>
  <si>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</si>
  <si>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</si>
  <si>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</si>
  <si>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</si>
  <si>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</si>
  <si>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</si>
  <si>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</si>
  <si>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</si>
  <si>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</si>
  <si>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</si>
  <si>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</si>
  <si>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</si>
  <si>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</si>
  <si>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</si>
  <si>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</si>
  <si>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</si>
  <si>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</si>
  <si>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</si>
  <si>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</si>
  <si>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</si>
  <si>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</si>
  <si>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</si>
  <si>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</si>
  <si>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</si>
  <si>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</si>
  <si>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</si>
  <si>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</si>
  <si>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</si>
  <si>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</si>
  <si>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</si>
  <si>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</si>
  <si>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</si>
  <si>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</si>
  <si>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</si>
  <si>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</si>
  <si>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</si>
  <si>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</si>
  <si>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</si>
  <si>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</si>
  <si>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</si>
  <si>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</si>
  <si>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</si>
  <si>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</si>
  <si>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</si>
  <si>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</si>
  <si>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</si>
  <si>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</si>
  <si>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</si>
  <si>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</si>
  <si>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</si>
  <si>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</si>
  <si>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</si>
  <si>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</si>
  <si>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</si>
  <si>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</si>
  <si>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</si>
  <si>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</si>
  <si>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</si>
  <si>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</si>
  <si>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</si>
  <si>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</si>
  <si>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</si>
  <si>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</si>
  <si>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</si>
  <si>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</si>
  <si>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</si>
  <si>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</si>
  <si>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</si>
  <si>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</si>
  <si>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</si>
  <si>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</si>
  <si>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</si>
  <si>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</si>
  <si>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</si>
  <si>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</si>
  <si>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</si>
  <si>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</si>
  <si>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</si>
  <si>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</si>
  <si>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</si>
  <si>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</si>
  <si>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</si>
  <si>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</si>
  <si>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</si>
  <si>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</si>
  <si>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</si>
  <si>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</si>
  <si>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</si>
  <si>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</si>
  <si>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</si>
  <si>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</si>
  <si>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</si>
  <si>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</si>
  <si>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</si>
  <si>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</si>
  <si>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</si>
  <si>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</si>
  <si>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</si>
  <si>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</si>
  <si>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</si>
  <si>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</si>
  <si>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</si>
  <si>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</si>
  <si>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</si>
  <si>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</si>
  <si>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</si>
  <si>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</si>
  <si>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</si>
  <si>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</si>
  <si>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</si>
  <si>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</si>
  <si>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</si>
  <si>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</si>
  <si>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</si>
  <si>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</si>
  <si>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</si>
  <si>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</si>
  <si>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</si>
  <si>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</si>
  <si>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</si>
  <si>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</si>
  <si>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</si>
  <si>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</si>
  <si>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</si>
  <si>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</si>
  <si>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</si>
  <si>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</si>
  <si>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</si>
  <si>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</si>
  <si>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</si>
  <si>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</si>
  <si>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</si>
  <si>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</si>
  <si>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</si>
  <si>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</si>
  <si>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</si>
  <si>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</si>
  <si>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</si>
  <si>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</si>
  <si>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</si>
  <si>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</si>
  <si>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</si>
  <si>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</si>
  <si>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</si>
  <si>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</si>
  <si>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</si>
  <si>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</si>
  <si>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</si>
  <si>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</si>
  <si>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</si>
  <si>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</si>
  <si>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</si>
  <si>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</si>
  <si>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</si>
  <si>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</si>
  <si>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</si>
  <si>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</si>
  <si>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</si>
  <si>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</si>
  <si>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</si>
  <si>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</si>
  <si>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</si>
  <si>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</si>
  <si>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</si>
  <si>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</si>
  <si>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</si>
  <si>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</si>
  <si>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</si>
  <si>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</si>
  <si>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</si>
  <si>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</si>
  <si>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</si>
  <si>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</si>
  <si>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</si>
  <si>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</si>
  <si>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</si>
  <si>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</si>
  <si>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</si>
  <si>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</si>
  <si>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</si>
  <si>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</si>
  <si>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</si>
  <si>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</si>
  <si>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</si>
  <si>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</si>
  <si>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</si>
  <si>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</si>
  <si>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</si>
  <si>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</si>
  <si>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</si>
  <si>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</si>
  <si>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</si>
  <si>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</si>
  <si>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</si>
  <si>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</si>
  <si>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</si>
  <si>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</si>
  <si>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</si>
  <si>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</si>
  <si>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</si>
  <si>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</si>
  <si>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</si>
  <si>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</si>
  <si>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</si>
  <si>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</si>
  <si>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</si>
  <si>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</si>
  <si>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</si>
  <si>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</si>
  <si>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</si>
  <si>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</si>
  <si>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</si>
  <si>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</si>
  <si>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</si>
  <si>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</si>
  <si>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</si>
  <si>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</si>
  <si>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</si>
  <si>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</si>
  <si>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</si>
  <si>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</si>
  <si>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</si>
  <si>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</si>
  <si>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</si>
  <si>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</si>
  <si>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</si>
  <si>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</si>
  <si>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</si>
  <si>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</si>
  <si>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</si>
  <si>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</si>
  <si>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</si>
  <si>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</si>
  <si>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</si>
  <si>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</si>
  <si>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</si>
  <si>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</si>
  <si>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</si>
  <si>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</si>
  <si>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</si>
  <si>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</si>
  <si>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</si>
  <si>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</si>
  <si>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</si>
  <si>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</si>
  <si>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</si>
  <si>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</si>
  <si>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</si>
  <si>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</si>
  <si>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</si>
  <si>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</si>
  <si>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</si>
  <si>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</si>
  <si>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</si>
  <si>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</si>
  <si>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</si>
  <si>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</si>
  <si>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</si>
  <si>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</si>
  <si>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</si>
  <si>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</si>
  <si>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</si>
  <si>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</si>
  <si>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</si>
  <si>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</si>
  <si>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</si>
  <si>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</si>
  <si>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</si>
  <si>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</si>
  <si>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</si>
  <si>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</si>
  <si>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</si>
  <si>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</si>
  <si>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</si>
  <si>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</si>
  <si>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</si>
  <si>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</si>
  <si>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</si>
  <si>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</si>
  <si>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</si>
  <si>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</si>
  <si>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</si>
  <si>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</si>
  <si>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</si>
  <si>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</si>
  <si>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</si>
  <si>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</si>
  <si>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</si>
  <si>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</si>
  <si>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</si>
  <si>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</si>
  <si>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</si>
  <si>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</si>
  <si>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</si>
  <si>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</si>
  <si>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</si>
  <si>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</si>
  <si>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</si>
  <si>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</si>
  <si>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</si>
  <si>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</si>
  <si>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</si>
  <si>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</si>
  <si>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</si>
  <si>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</si>
  <si>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</si>
  <si>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</si>
  <si>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</si>
  <si>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</si>
  <si>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</si>
  <si>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</si>
  <si>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</si>
  <si>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</si>
  <si>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</si>
  <si>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</si>
  <si>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</si>
  <si>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</si>
  <si>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</si>
  <si>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</si>
  <si>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</si>
  <si>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</si>
  <si>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</si>
  <si>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</si>
  <si>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</si>
  <si>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</si>
  <si>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</si>
  <si>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</si>
  <si>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</si>
  <si>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</si>
  <si>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</si>
  <si>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</si>
  <si>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</si>
  <si>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</si>
  <si>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</si>
  <si>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</si>
  <si>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</si>
  <si>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</si>
  <si>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</si>
  <si>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</si>
  <si>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</si>
  <si>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</si>
  <si>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</si>
  <si>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</si>
  <si>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</si>
  <si>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</si>
  <si>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</si>
  <si>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</si>
  <si>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</si>
  <si>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</si>
  <si>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</si>
  <si>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</si>
  <si>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</si>
  <si>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</si>
  <si>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</si>
  <si>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</si>
  <si>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</si>
  <si>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</si>
  <si>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</si>
  <si>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</si>
  <si>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</si>
  <si>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</si>
  <si>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</si>
  <si>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</si>
  <si>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</si>
  <si>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</si>
  <si>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</si>
  <si>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</si>
  <si>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</si>
  <si>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</si>
  <si>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</si>
  <si>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</si>
  <si>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</si>
  <si>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</si>
  <si>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</si>
  <si>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</si>
  <si>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</si>
  <si>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</si>
  <si>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</si>
  <si>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</si>
  <si>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</si>
  <si>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</si>
  <si>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</si>
  <si>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</si>
  <si>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</si>
  <si>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</si>
  <si>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</si>
  <si>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</si>
  <si>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</si>
  <si>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</si>
  <si>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</si>
  <si>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</si>
  <si>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</si>
  <si>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</si>
  <si>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</si>
  <si>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</si>
  <si>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</si>
  <si>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</si>
  <si>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</si>
  <si>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</si>
  <si>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</si>
  <si>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</si>
  <si>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</si>
  <si>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</si>
  <si>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</si>
  <si>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</si>
  <si>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</si>
  <si>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</si>
  <si>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</si>
  <si>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</si>
  <si>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</si>
  <si>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</si>
  <si>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</si>
  <si>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</si>
  <si>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</si>
  <si>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</si>
  <si>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</si>
  <si>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</si>
  <si>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</si>
  <si>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</si>
  <si>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</si>
  <si>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</si>
  <si>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</si>
  <si>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</si>
  <si>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</si>
  <si>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</si>
  <si>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</si>
  <si>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</si>
  <si>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</si>
  <si>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</si>
  <si>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</si>
  <si>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</si>
  <si>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</si>
  <si>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</si>
  <si>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</si>
  <si>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</si>
  <si>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</si>
  <si>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</si>
  <si>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</si>
  <si>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</si>
  <si>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</si>
  <si>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</si>
  <si>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</si>
  <si>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</si>
  <si>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</si>
  <si>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</si>
  <si>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</si>
  <si>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</si>
  <si>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</si>
  <si>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</si>
  <si>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</si>
  <si>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</si>
  <si>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</si>
  <si>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</si>
  <si>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</si>
  <si>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</si>
  <si>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</si>
  <si>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</si>
  <si>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</si>
  <si>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</si>
  <si>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</si>
  <si>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</si>
  <si>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</si>
  <si>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</si>
  <si>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</si>
  <si>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</si>
  <si>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</si>
  <si>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</si>
  <si>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</si>
  <si>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</si>
  <si>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</si>
  <si>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</si>
  <si>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</si>
  <si>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</si>
  <si>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</si>
  <si>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</si>
  <si>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</si>
  <si>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</si>
  <si>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</si>
  <si>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</si>
  <si>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</si>
  <si>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</si>
  <si>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</si>
  <si>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</si>
  <si>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</si>
  <si>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</si>
  <si>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</si>
  <si>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</si>
  <si>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</si>
  <si>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</si>
  <si>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</si>
  <si>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</si>
  <si>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</si>
  <si>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</si>
  <si>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</si>
  <si>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</si>
  <si>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</si>
  <si>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</si>
  <si>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</si>
  <si>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</si>
  <si>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</si>
  <si>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</si>
  <si>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</si>
  <si>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</si>
  <si>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</si>
  <si>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</si>
  <si>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</si>
  <si>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</si>
  <si>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</si>
  <si>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</si>
  <si>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</si>
  <si>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</si>
  <si>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</si>
  <si>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</si>
  <si>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</si>
  <si>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</si>
  <si>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</si>
  <si>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</si>
  <si>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</si>
  <si>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</si>
  <si>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</si>
  <si>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</si>
  <si>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</si>
  <si>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</si>
  <si>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</si>
  <si>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</si>
  <si>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</si>
  <si>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</si>
  <si>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</si>
  <si>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</si>
  <si>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</si>
  <si>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</si>
  <si>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</si>
  <si>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</si>
  <si>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</si>
  <si>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</si>
  <si>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</si>
  <si>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</si>
  <si>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</si>
  <si>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</si>
  <si>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</si>
  <si>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</si>
  <si>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</si>
  <si>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</si>
  <si>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</si>
  <si>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</si>
  <si>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</si>
  <si>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</si>
  <si>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</si>
  <si>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</si>
  <si>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</si>
  <si>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</si>
  <si>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</si>
  <si>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</si>
  <si>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</si>
  <si>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</si>
  <si>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</si>
  <si>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</si>
  <si>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</si>
  <si>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</si>
  <si>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</si>
  <si>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</si>
  <si>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</si>
  <si>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</si>
  <si>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</si>
  <si>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</si>
  <si>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</si>
  <si>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</si>
  <si>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</si>
  <si>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</si>
  <si>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</si>
  <si>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</si>
  <si>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</si>
  <si>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</si>
  <si>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</si>
  <si>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</si>
  <si>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</si>
  <si>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</si>
  <si>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</si>
  <si>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</si>
  <si>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</si>
  <si>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</si>
  <si>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</si>
  <si>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</si>
  <si>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</si>
  <si>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</si>
  <si>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</si>
  <si>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</si>
  <si>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</si>
  <si>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</si>
  <si>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</si>
  <si>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</si>
  <si>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</si>
  <si>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</si>
  <si>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</si>
  <si>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</si>
  <si>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</si>
  <si>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</si>
  <si>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</si>
  <si>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</si>
  <si>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</si>
  <si>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</si>
  <si>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</si>
  <si>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</si>
  <si>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</si>
  <si>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</si>
  <si>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</si>
  <si>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</si>
  <si>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</si>
  <si>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</si>
  <si>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</si>
  <si>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</si>
  <si>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</si>
  <si>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</si>
  <si>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</si>
  <si>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</si>
  <si>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</si>
  <si>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</si>
  <si>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</si>
  <si>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</si>
  <si>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</si>
  <si>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</si>
  <si>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</si>
  <si>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</si>
  <si>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</si>
  <si>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</si>
  <si>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</si>
  <si>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</si>
  <si>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</si>
  <si>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</si>
  <si>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</si>
  <si>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</si>
  <si>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</si>
  <si>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</si>
  <si>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</si>
  <si>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</si>
  <si>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</si>
  <si>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</si>
  <si>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</si>
  <si>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</si>
  <si>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</si>
  <si>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</si>
  <si>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</si>
  <si>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</si>
  <si>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</si>
  <si>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</si>
  <si>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</si>
  <si>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</si>
  <si>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</si>
  <si>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</si>
  <si>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</si>
  <si>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</si>
  <si>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</si>
  <si>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</si>
  <si>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</si>
  <si>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</si>
  <si>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</si>
  <si>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</si>
  <si>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</si>
  <si>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</si>
  <si>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</si>
  <si>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</si>
  <si>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</si>
  <si>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</si>
  <si>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</si>
  <si>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</si>
  <si>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</si>
  <si>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</si>
  <si>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</si>
  <si>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</si>
  <si>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</si>
  <si>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</si>
  <si>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</si>
  <si>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</si>
  <si>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</si>
  <si>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</si>
  <si>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</si>
  <si>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</si>
  <si>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</si>
  <si>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</si>
  <si>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</si>
  <si>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</si>
  <si>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</si>
  <si>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</si>
  <si>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</si>
  <si>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</si>
  <si>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</si>
  <si>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</si>
  <si>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</si>
  <si>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</si>
  <si>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</si>
  <si>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</si>
  <si>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</si>
  <si>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</si>
  <si>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</si>
  <si>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</si>
  <si>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</si>
  <si>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</si>
  <si>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</si>
  <si>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</si>
  <si>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</si>
  <si>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</si>
  <si>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</si>
  <si>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</si>
  <si>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</si>
  <si>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</si>
  <si>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</si>
  <si>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</si>
  <si>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</si>
  <si>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</si>
  <si>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</si>
  <si>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</si>
  <si>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</si>
  <si>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</si>
  <si>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</si>
  <si>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</si>
  <si>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</si>
  <si>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</si>
  <si>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</si>
  <si>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</si>
  <si>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</si>
  <si>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</si>
  <si>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</si>
  <si>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</si>
  <si>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</si>
  <si>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</si>
  <si>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</si>
  <si>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</si>
  <si>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</si>
  <si>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</si>
  <si>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</si>
  <si>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</si>
  <si>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</si>
  <si>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</si>
  <si>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</si>
  <si>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</si>
  <si>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</si>
  <si>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</si>
  <si>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</si>
  <si>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</si>
  <si>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</si>
  <si>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</si>
  <si>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</si>
  <si>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</si>
  <si>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</si>
  <si>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</si>
  <si>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</si>
  <si>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</si>
  <si>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</si>
  <si>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</si>
  <si>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</si>
  <si>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</si>
  <si>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</si>
  <si>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</si>
  <si>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</si>
  <si>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</si>
  <si>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</si>
  <si>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</si>
  <si>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</si>
  <si>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</si>
  <si>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</si>
  <si>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</si>
  <si>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</si>
  <si>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</si>
  <si>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</si>
  <si>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</si>
  <si>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</si>
  <si>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</si>
  <si>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</si>
  <si>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</si>
  <si>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</si>
  <si>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</si>
  <si>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</si>
  <si>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</si>
  <si>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</si>
  <si>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</si>
  <si>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</si>
  <si>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</si>
  <si>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</si>
  <si>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</si>
  <si>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</si>
  <si>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</si>
  <si>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</si>
  <si>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</si>
  <si>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</si>
  <si>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</si>
  <si>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</si>
  <si>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</si>
  <si>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</si>
  <si>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</si>
  <si>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</si>
  <si>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</si>
  <si>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</si>
  <si>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</si>
  <si>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</si>
  <si>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</si>
  <si>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</si>
  <si>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</si>
  <si>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</si>
  <si>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</si>
  <si>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</si>
  <si>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</si>
  <si>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</si>
  <si>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</si>
  <si>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</si>
  <si>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</si>
  <si>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</si>
  <si>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</si>
  <si>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</si>
  <si>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</si>
  <si>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</si>
  <si>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</si>
  <si>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</si>
  <si>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</si>
  <si>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</si>
  <si>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</si>
  <si>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</si>
  <si>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</si>
  <si>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</si>
  <si>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</si>
  <si>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</si>
  <si>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</si>
  <si>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</si>
  <si>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</si>
  <si>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</si>
  <si>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</si>
  <si>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</si>
  <si>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</si>
  <si>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</si>
  <si>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</si>
  <si>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</si>
  <si>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</si>
  <si>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</si>
  <si>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</si>
  <si>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</si>
  <si>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</si>
  <si>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</si>
  <si>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</si>
  <si>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</si>
  <si>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</si>
  <si>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</si>
  <si>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</si>
  <si>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</si>
  <si>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</si>
  <si>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</si>
  <si>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</si>
  <si>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</si>
  <si>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</si>
  <si>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</si>
  <si>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</si>
  <si>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</si>
  <si>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</si>
  <si>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</si>
  <si>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</si>
  <si>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</si>
  <si>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</si>
  <si>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</si>
  <si>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</si>
  <si>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</si>
  <si>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</si>
  <si>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</si>
  <si>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</si>
  <si>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</si>
  <si>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</si>
  <si>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</si>
  <si>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</si>
  <si>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</si>
  <si>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</si>
  <si>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</si>
  <si>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</si>
  <si>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</si>
  <si>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</si>
  <si>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</si>
  <si>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</si>
  <si>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</si>
  <si>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</si>
  <si>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</si>
  <si>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</si>
  <si>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</si>
  <si>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</si>
  <si>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</si>
  <si>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</si>
  <si>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</si>
  <si>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</si>
  <si>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</si>
  <si>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</si>
  <si>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</si>
  <si>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</si>
  <si>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</si>
  <si>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</si>
  <si>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</si>
  <si>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</si>
  <si>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</si>
  <si>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</si>
  <si>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</si>
  <si>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</si>
  <si>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</si>
  <si>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</si>
  <si>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</si>
  <si>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</si>
  <si>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</si>
  <si>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</si>
  <si>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</si>
  <si>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</si>
  <si>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</si>
  <si>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</si>
  <si>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</si>
  <si>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</si>
  <si>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</si>
  <si>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</si>
  <si>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</si>
  <si>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</si>
  <si>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</si>
  <si>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</si>
  <si>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</si>
  <si>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</si>
  <si>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</si>
  <si>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</si>
  <si>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</si>
  <si>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</si>
  <si>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</si>
  <si>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</si>
  <si>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</si>
  <si>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</si>
  <si>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</si>
  <si>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</si>
  <si>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</si>
  <si>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</si>
  <si>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</si>
  <si>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</si>
  <si>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</si>
  <si>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</si>
  <si>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</si>
  <si>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</si>
  <si>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</si>
  <si>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</si>
  <si>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</si>
  <si>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</si>
  <si>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</si>
  <si>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</si>
  <si>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</si>
  <si>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</si>
  <si>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</si>
  <si>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</si>
  <si>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</si>
  <si>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</si>
  <si>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</si>
  <si>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</si>
  <si>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</si>
  <si>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</si>
  <si>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</si>
  <si>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</si>
  <si>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</si>
  <si>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</si>
  <si>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</si>
  <si>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</si>
  <si>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</si>
  <si>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</si>
  <si>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</si>
  <si>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</si>
  <si>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</si>
  <si>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</si>
  <si>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</si>
  <si>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</si>
  <si>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</si>
  <si>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</si>
  <si>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</si>
  <si>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</si>
  <si>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</si>
  <si>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</si>
  <si>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</si>
  <si>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</si>
  <si>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</si>
  <si>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</si>
  <si>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</si>
  <si>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</si>
  <si>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</si>
  <si>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</si>
  <si>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</si>
  <si>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</si>
  <si>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</si>
  <si>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</si>
  <si>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</si>
  <si>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</si>
  <si>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</si>
  <si>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</si>
  <si>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</si>
  <si>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</si>
  <si>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</si>
  <si>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</si>
  <si>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</si>
  <si>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</si>
  <si>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</si>
  <si>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</si>
  <si>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</si>
  <si>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</si>
  <si>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</si>
  <si>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</si>
  <si>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</si>
  <si>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</si>
  <si>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</si>
  <si>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</si>
  <si>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</si>
  <si>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</si>
  <si>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</si>
  <si>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</si>
  <si>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</si>
  <si>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</si>
  <si>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</si>
  <si>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</si>
  <si>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</si>
  <si>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</si>
  <si>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</si>
  <si>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</si>
  <si>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</si>
  <si>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</si>
  <si>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</si>
  <si>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</si>
  <si>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</si>
  <si>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</si>
  <si>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</si>
  <si>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</si>
  <si>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</si>
  <si>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</si>
  <si>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</si>
  <si>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</si>
  <si>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</si>
  <si>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</si>
  <si>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</si>
  <si>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</si>
  <si>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</si>
  <si>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</si>
  <si>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</si>
  <si>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</si>
  <si>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</si>
  <si>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</si>
  <si>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</si>
  <si>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</si>
  <si>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</si>
  <si>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</si>
  <si>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</si>
  <si>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</si>
  <si>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</si>
  <si>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</si>
  <si>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</si>
  <si>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</si>
  <si>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</si>
  <si>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</si>
  <si>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</si>
  <si>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</si>
  <si>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</si>
  <si>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</si>
  <si>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</si>
  <si>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</si>
  <si>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</si>
  <si>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</si>
  <si>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</si>
  <si>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</si>
  <si>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</si>
  <si>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</si>
  <si>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</si>
  <si>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</si>
  <si>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</si>
  <si>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</si>
  <si>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</si>
  <si>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</si>
  <si>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</si>
  <si>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</si>
  <si>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</si>
  <si>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</si>
  <si>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</si>
  <si>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</si>
  <si>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</si>
  <si>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</si>
  <si>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</si>
  <si>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</si>
  <si>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</si>
  <si>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</si>
  <si>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</si>
  <si>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</si>
  <si>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</si>
  <si>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</si>
  <si>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</si>
  <si>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</si>
  <si>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</si>
  <si>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</si>
  <si>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</si>
  <si>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</si>
  <si>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</si>
  <si>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</si>
  <si>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</si>
  <si>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</si>
  <si>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</si>
  <si>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</si>
  <si>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</si>
  <si>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</si>
  <si>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</si>
  <si>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</si>
  <si>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</si>
  <si>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</si>
  <si>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</si>
  <si>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</si>
  <si>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</si>
  <si>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</si>
  <si>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</si>
  <si>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</si>
  <si>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</si>
  <si>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</si>
  <si>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</si>
  <si>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</si>
  <si>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</si>
  <si>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</si>
  <si>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</si>
  <si>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</si>
  <si>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</si>
  <si>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</si>
  <si>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</si>
  <si>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</si>
  <si>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</si>
  <si>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</si>
  <si>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</si>
  <si>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</si>
  <si>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</si>
  <si>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</si>
  <si>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</si>
  <si>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</si>
  <si>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</si>
  <si>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</si>
  <si>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</si>
  <si>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</si>
  <si>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</si>
  <si>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</si>
  <si>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</si>
  <si>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</si>
  <si>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</si>
  <si>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</si>
  <si>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</si>
  <si>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</si>
  <si>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</si>
  <si>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</si>
  <si>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</si>
  <si>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</si>
  <si>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</si>
  <si>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</si>
  <si>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</si>
  <si>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</si>
  <si>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</si>
  <si>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</si>
  <si>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</si>
  <si>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</si>
  <si>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</si>
  <si>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</si>
  <si>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</si>
  <si>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</si>
  <si>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</si>
  <si>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</si>
  <si>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</si>
  <si>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</si>
  <si>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</si>
  <si>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</si>
  <si>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</si>
  <si>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</si>
  <si>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</si>
  <si>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</si>
  <si>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</si>
  <si>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</si>
  <si>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</si>
  <si>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</si>
  <si>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</si>
  <si>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</si>
  <si>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</si>
  <si>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</si>
  <si>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</si>
  <si>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</si>
  <si>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</si>
  <si>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</si>
  <si>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</si>
  <si>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</si>
  <si>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</si>
  <si>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</si>
  <si>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</si>
  <si>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</si>
  <si>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</si>
  <si>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</si>
  <si>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</si>
  <si>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</si>
  <si>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</si>
  <si>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</si>
  <si>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</si>
  <si>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</si>
  <si>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</si>
  <si>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</si>
  <si>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</si>
  <si>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</si>
  <si>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</si>
  <si>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</si>
  <si>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</si>
  <si>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</si>
  <si>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</si>
  <si>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</si>
  <si>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</si>
  <si>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</si>
  <si>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</si>
  <si>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</si>
  <si>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</si>
  <si>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</si>
  <si>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</si>
  <si>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</si>
  <si>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</si>
  <si>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</si>
  <si>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</si>
  <si>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</si>
  <si>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</si>
  <si>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</si>
  <si>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</si>
  <si>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</si>
  <si>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</si>
  <si>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</si>
  <si>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</si>
  <si>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</si>
  <si>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</si>
  <si>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</si>
  <si>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</si>
  <si>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</si>
  <si>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</si>
  <si>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</si>
  <si>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</si>
  <si>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</si>
  <si>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</si>
  <si>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</si>
  <si>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</si>
  <si>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</si>
  <si>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</si>
  <si>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</si>
  <si>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</si>
  <si>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</si>
  <si>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</si>
  <si>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</si>
  <si>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</si>
  <si>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</si>
  <si>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</si>
  <si>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</si>
  <si>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</si>
  <si>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</si>
  <si>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</si>
  <si>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</si>
  <si>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</si>
  <si>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</si>
  <si>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</si>
  <si>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</si>
  <si>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</si>
  <si>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</si>
  <si>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</si>
  <si>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</si>
  <si>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</si>
  <si>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</si>
  <si>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</si>
  <si>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</si>
  <si>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</si>
  <si>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</si>
  <si>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</si>
  <si>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</si>
  <si>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</si>
  <si>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</si>
  <si>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</si>
  <si>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</si>
  <si>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</si>
  <si>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</si>
  <si>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</si>
  <si>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</si>
  <si>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</si>
  <si>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</si>
  <si>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</si>
  <si>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</si>
  <si>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</si>
  <si>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</si>
  <si>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</si>
  <si>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</si>
  <si>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</si>
  <si>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</si>
  <si>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</si>
  <si>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</si>
  <si>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</si>
  <si>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</si>
  <si>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</si>
  <si>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</si>
  <si>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</si>
  <si>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</si>
  <si>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</si>
  <si>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</si>
  <si>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</si>
  <si>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</si>
  <si>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</si>
  <si>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</si>
  <si>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</si>
  <si>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</si>
  <si>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</si>
  <si>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</si>
  <si>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</si>
  <si>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</si>
  <si>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</si>
  <si>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</si>
  <si>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</si>
  <si>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</si>
  <si>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</si>
  <si>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</si>
  <si>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</si>
  <si>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</si>
  <si>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</si>
  <si>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</si>
  <si>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</si>
  <si>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</si>
  <si>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</si>
  <si>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</si>
  <si>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</si>
  <si>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</si>
  <si>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</si>
  <si>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</si>
  <si>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</si>
  <si>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</si>
  <si>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</si>
  <si>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</si>
  <si>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</si>
  <si>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</si>
  <si>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</si>
  <si>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</si>
  <si>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</si>
  <si>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</si>
  <si>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</si>
  <si>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</si>
  <si>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</si>
  <si>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</si>
  <si>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</si>
  <si>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</si>
  <si>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</si>
  <si>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</si>
  <si>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</si>
  <si>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</si>
  <si>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</si>
  <si>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</si>
  <si>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</si>
  <si>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</si>
  <si>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</si>
  <si>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</si>
  <si>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</si>
  <si>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</si>
  <si>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</si>
  <si>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</si>
  <si>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</si>
  <si>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</si>
  <si>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</si>
  <si>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</si>
  <si>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</si>
  <si>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</si>
  <si>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</si>
  <si>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</si>
  <si>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</si>
  <si>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</si>
  <si>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</si>
  <si>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</si>
  <si>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</si>
  <si>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</si>
  <si>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</si>
  <si>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</si>
  <si>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</si>
  <si>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</si>
  <si>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</si>
  <si>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</si>
  <si>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</si>
  <si>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</si>
  <si>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</si>
  <si>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</si>
  <si>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</si>
  <si>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</si>
  <si>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</si>
  <si>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</si>
  <si>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</si>
  <si>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</si>
  <si>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</si>
  <si>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</si>
  <si>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</si>
  <si>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</si>
  <si>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</si>
  <si>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</si>
  <si>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</si>
  <si>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</si>
  <si>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</si>
  <si>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</si>
  <si>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</si>
  <si>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</si>
  <si>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</si>
  <si>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</si>
  <si>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</si>
  <si>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</si>
  <si>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</si>
  <si>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</si>
  <si>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</si>
  <si>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</si>
  <si>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</si>
  <si>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</si>
  <si>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</si>
  <si>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</si>
  <si>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</si>
  <si>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</si>
  <si>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</si>
  <si>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</si>
  <si>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</si>
  <si>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</si>
  <si>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</si>
  <si>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</si>
  <si>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</si>
  <si>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</si>
  <si>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</si>
  <si>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</si>
  <si>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</si>
  <si>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</si>
  <si>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</si>
  <si>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</si>
  <si>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</si>
  <si>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</si>
  <si>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</si>
  <si>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</si>
  <si>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</si>
  <si>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</si>
  <si>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</si>
  <si>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</si>
  <si>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</si>
  <si>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</si>
  <si>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</si>
  <si>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</si>
  <si>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</si>
  <si>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</si>
  <si>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</si>
  <si>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</si>
  <si>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</si>
  <si>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</si>
  <si>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</si>
  <si>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</si>
  <si>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</si>
  <si>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</si>
  <si>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</si>
  <si>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</si>
  <si>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</si>
  <si>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</si>
  <si>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</si>
  <si>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</si>
  <si>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</si>
  <si>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</si>
  <si>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</si>
  <si>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</si>
  <si>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</si>
  <si>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</si>
  <si>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</si>
  <si>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</si>
  <si>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</si>
  <si>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</si>
  <si>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</si>
  <si>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</si>
  <si>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</si>
  <si>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</si>
  <si>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</si>
  <si>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</si>
  <si>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</si>
  <si>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</si>
  <si>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</si>
  <si>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</si>
  <si>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</si>
  <si>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</si>
  <si>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</si>
  <si>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</si>
  <si>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</si>
  <si>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</si>
  <si>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</si>
  <si>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</si>
  <si>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</si>
  <si>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</si>
  <si>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</si>
  <si>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</si>
  <si>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</si>
  <si>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</si>
  <si>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</si>
  <si>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</si>
  <si>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</si>
  <si>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</si>
  <si>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</si>
  <si>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</si>
  <si>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</si>
  <si>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</si>
  <si>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</si>
  <si>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</si>
  <si>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</si>
  <si>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</si>
  <si>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</si>
  <si>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</si>
  <si>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</si>
  <si>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</si>
  <si>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</si>
  <si>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</si>
  <si>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</si>
  <si>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</si>
  <si>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</si>
  <si>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</si>
  <si>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</si>
  <si>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</si>
  <si>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</si>
  <si>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</si>
  <si>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</si>
  <si>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</si>
  <si>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</si>
  <si>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</si>
  <si>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</si>
  <si>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</si>
  <si>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</si>
  <si>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</si>
  <si>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</si>
  <si>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</si>
  <si>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</si>
  <si>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</si>
  <si>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</si>
  <si>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</si>
  <si>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</si>
  <si>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</si>
  <si>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</si>
  <si>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</si>
  <si>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</si>
  <si>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</si>
  <si>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</si>
  <si>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</si>
  <si>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</si>
  <si>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</si>
  <si>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</si>
  <si>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</si>
  <si>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</si>
  <si>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</si>
  <si>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</si>
  <si>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</si>
  <si>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</si>
  <si>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</si>
  <si>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</si>
  <si>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</si>
  <si>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</si>
  <si>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</si>
  <si>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</si>
  <si>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</si>
  <si>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</si>
  <si>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</si>
  <si>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</si>
  <si>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</si>
  <si>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</si>
  <si>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</si>
  <si>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</si>
  <si>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</si>
  <si>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</si>
  <si>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</si>
  <si>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</si>
  <si>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</si>
  <si>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</si>
  <si>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</si>
  <si>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</si>
  <si>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</si>
  <si>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</si>
  <si>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</si>
  <si>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</si>
  <si>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</si>
  <si>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</si>
  <si>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</si>
  <si>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</si>
  <si>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</si>
  <si>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</si>
  <si>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</si>
  <si>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</si>
  <si>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</si>
  <si>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</si>
  <si>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</si>
  <si>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</si>
  <si>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</si>
  <si>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</si>
  <si>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</si>
  <si>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</si>
  <si>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</si>
  <si>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</si>
  <si>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</si>
  <si>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</si>
  <si>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</si>
  <si>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</si>
  <si>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</si>
  <si>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</si>
  <si>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</si>
  <si>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</si>
  <si>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</si>
  <si>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</si>
  <si>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</si>
  <si>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</si>
  <si>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</si>
  <si>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</si>
  <si>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</si>
  <si>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</si>
  <si>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</si>
  <si>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</si>
  <si>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</si>
  <si>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</si>
  <si>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</si>
  <si>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</si>
  <si>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</si>
  <si>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</si>
  <si>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</si>
  <si>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</si>
  <si>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</si>
  <si>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</si>
  <si>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</si>
  <si>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</si>
  <si>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</si>
  <si>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</si>
  <si>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</si>
  <si>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</si>
  <si>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</si>
  <si>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</si>
  <si>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</si>
  <si>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</si>
  <si>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</si>
  <si>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</si>
  <si>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</si>
  <si>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</si>
  <si>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</si>
  <si>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</si>
  <si>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</si>
  <si>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</si>
  <si>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</si>
  <si>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</si>
  <si>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</si>
  <si>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</si>
  <si>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</si>
  <si>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</si>
  <si>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</si>
  <si>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</si>
  <si>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</si>
  <si>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</si>
  <si>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</si>
  <si>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</si>
  <si>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</si>
  <si>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</si>
  <si>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</si>
  <si>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</si>
  <si>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</si>
  <si>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</si>
  <si>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</si>
  <si>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</si>
  <si>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</si>
  <si>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</si>
  <si>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</si>
  <si>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</si>
  <si>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</si>
  <si>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</si>
  <si>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</si>
  <si>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</si>
  <si>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</si>
  <si>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</si>
  <si>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</si>
  <si>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</si>
  <si>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</si>
  <si>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</si>
  <si>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</si>
  <si>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</si>
  <si>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</si>
  <si>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</si>
  <si>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</si>
  <si>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</si>
  <si>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</si>
  <si>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</si>
  <si>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</si>
  <si>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</si>
  <si>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</si>
  <si>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</si>
  <si>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</si>
  <si>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</si>
  <si>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</si>
  <si>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</si>
  <si>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</si>
  <si>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</si>
  <si>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</si>
  <si>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</si>
  <si>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</si>
  <si>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</si>
  <si>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</si>
  <si>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</si>
  <si>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</si>
  <si>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</si>
  <si>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</si>
  <si>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</si>
  <si>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</si>
  <si>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</si>
  <si>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</si>
  <si>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</si>
  <si>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</si>
  <si>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</si>
  <si>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</si>
  <si>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</si>
  <si>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</si>
  <si>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</si>
  <si>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</si>
  <si>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</si>
  <si>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</si>
  <si>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</si>
  <si>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</si>
  <si>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</si>
  <si>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</si>
  <si>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</si>
  <si>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</si>
  <si>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</si>
  <si>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</si>
  <si>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</si>
  <si>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</si>
  <si>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</si>
  <si>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</si>
  <si>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</si>
  <si>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</si>
  <si>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</si>
  <si>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</si>
  <si>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</si>
  <si>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</si>
  <si>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</si>
  <si>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</si>
  <si>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</si>
  <si>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</si>
  <si>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</si>
  <si>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</si>
  <si>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</si>
  <si>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</si>
  <si>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</si>
  <si>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</si>
  <si>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</si>
  <si>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</si>
  <si>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</si>
  <si>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</si>
  <si>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</si>
  <si>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</si>
  <si>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</si>
  <si>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</si>
  <si>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</si>
  <si>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</si>
  <si>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</si>
  <si>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</si>
  <si>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</si>
  <si>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</si>
  <si>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</si>
  <si>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</si>
  <si>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</si>
  <si>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</si>
  <si>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</si>
  <si>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</si>
  <si>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</si>
  <si>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</si>
  <si>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</si>
  <si>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</si>
  <si>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</si>
  <si>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</si>
  <si>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</si>
  <si>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</si>
  <si>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</si>
  <si>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</si>
  <si>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</si>
  <si>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</si>
  <si>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</si>
  <si>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</si>
  <si>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</si>
  <si>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</si>
  <si>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</si>
  <si>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</si>
  <si>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</si>
  <si>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</si>
  <si>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</si>
  <si>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</si>
  <si>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</si>
  <si>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</si>
  <si>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</si>
  <si>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</si>
  <si>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</si>
  <si>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</si>
  <si>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</si>
  <si>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</si>
  <si>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</si>
  <si>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</si>
  <si>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</si>
  <si>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</si>
  <si>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</si>
  <si>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</si>
  <si>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</si>
  <si>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</si>
  <si>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</si>
  <si>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</si>
  <si>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</si>
  <si>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</si>
  <si>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</si>
  <si>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</si>
  <si>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</si>
  <si>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</si>
  <si>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</si>
  <si>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</si>
  <si>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</si>
  <si>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</si>
  <si>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</si>
  <si>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</si>
  <si>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</si>
  <si>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</si>
  <si>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</si>
  <si>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</si>
  <si>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</si>
  <si>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</si>
  <si>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</si>
  <si>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</si>
  <si>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</si>
  <si>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</si>
  <si>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</si>
  <si>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</si>
  <si>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</si>
  <si>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</si>
  <si>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</si>
  <si>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</si>
  <si>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</si>
  <si>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</si>
  <si>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</si>
  <si>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</si>
  <si>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</si>
  <si>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</si>
  <si>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</si>
  <si>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</si>
  <si>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</si>
  <si>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</si>
  <si>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</si>
  <si>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</si>
  <si>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</si>
  <si>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</si>
  <si>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</si>
  <si>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</si>
  <si>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</si>
  <si>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</si>
  <si>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</si>
  <si>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</si>
  <si>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</si>
  <si>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</si>
  <si>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</si>
  <si>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</si>
  <si>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</si>
  <si>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</si>
  <si>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</si>
  <si>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</si>
  <si>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</si>
  <si>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</si>
  <si>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</si>
  <si>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</si>
  <si>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</si>
  <si>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</si>
  <si>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</si>
  <si>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</si>
  <si>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</si>
  <si>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</si>
  <si>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</si>
  <si>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</si>
  <si>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</si>
  <si>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</si>
  <si>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</si>
  <si>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</si>
  <si>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</si>
  <si>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</si>
  <si>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</si>
  <si>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</si>
  <si>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</si>
  <si>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</si>
  <si>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</si>
  <si>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</si>
  <si>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</si>
  <si>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</si>
  <si>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</si>
  <si>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</si>
  <si>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</si>
  <si>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</si>
  <si>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</si>
  <si>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</si>
  <si>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</si>
  <si>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</si>
  <si>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</si>
  <si>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</si>
  <si>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</si>
  <si>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</si>
  <si>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</si>
  <si>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</si>
  <si>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</si>
  <si>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</si>
  <si>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</si>
  <si>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</si>
  <si>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</si>
  <si>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</si>
  <si>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</si>
  <si>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</si>
  <si>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</si>
  <si>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</si>
  <si>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</si>
  <si>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</si>
  <si>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</si>
  <si>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</si>
  <si>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</si>
  <si>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</si>
  <si>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</si>
  <si>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</si>
  <si>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</si>
  <si>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</si>
  <si>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</si>
  <si>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</si>
  <si>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</si>
  <si>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</si>
  <si>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</si>
  <si>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</si>
  <si>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</si>
  <si>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</si>
  <si>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</si>
  <si>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</si>
  <si>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</si>
  <si>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</si>
  <si>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</si>
  <si>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</si>
  <si>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</si>
  <si>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</si>
  <si>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</si>
  <si>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</si>
  <si>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</si>
  <si>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</si>
  <si>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</si>
  <si>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</si>
  <si>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</si>
  <si>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</si>
  <si>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</si>
  <si>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</si>
  <si>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</si>
  <si>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</si>
  <si>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</si>
  <si>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</si>
  <si>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</si>
  <si>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</si>
  <si>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</si>
  <si>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</si>
  <si>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</si>
  <si>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</si>
  <si>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</si>
  <si>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</si>
  <si>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</si>
  <si>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</si>
  <si>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</si>
  <si>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</si>
  <si>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</si>
  <si>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</si>
  <si>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</si>
  <si>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</si>
  <si>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</si>
  <si>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</si>
  <si>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</si>
  <si>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</si>
  <si>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</si>
  <si>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</si>
  <si>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</si>
  <si>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</si>
  <si>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</si>
  <si>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</si>
  <si>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</si>
  <si>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</si>
  <si>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</si>
  <si>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</si>
  <si>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</si>
  <si>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</si>
  <si>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</si>
  <si>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</si>
  <si>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</si>
  <si>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</si>
  <si>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</si>
  <si>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</si>
  <si>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</si>
  <si>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</si>
  <si>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</si>
  <si>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</si>
  <si>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</si>
  <si>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</si>
  <si>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</si>
  <si>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</si>
  <si>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</si>
  <si>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</si>
  <si>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</si>
  <si>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</si>
  <si>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</si>
  <si>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</si>
  <si>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</si>
  <si>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</si>
  <si>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</si>
  <si>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</si>
  <si>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</si>
  <si>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</si>
  <si>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</si>
  <si>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</si>
  <si>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</si>
  <si>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</si>
  <si>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</si>
  <si>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</si>
  <si>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</si>
  <si>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</si>
  <si>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</si>
  <si>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</si>
  <si>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</si>
  <si>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</si>
  <si>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</si>
  <si>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</si>
  <si>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</si>
  <si>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</si>
  <si>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</si>
  <si>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</si>
  <si>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</si>
  <si>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</si>
  <si>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</si>
  <si>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</si>
  <si>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</si>
  <si>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</si>
  <si>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</si>
  <si>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</si>
  <si>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</si>
  <si>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</si>
  <si>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</si>
  <si>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</si>
  <si>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</si>
  <si>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</si>
  <si>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</si>
  <si>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</si>
  <si>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</si>
  <si>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</si>
  <si>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</si>
  <si>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</si>
  <si>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</si>
  <si>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</si>
  <si>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</si>
  <si>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</si>
  <si>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</si>
  <si>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</si>
  <si>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</si>
  <si>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</si>
  <si>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</si>
  <si>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</si>
  <si>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</si>
  <si>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</si>
  <si>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</si>
  <si>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</si>
  <si>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</si>
  <si>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</si>
  <si>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</si>
  <si>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</si>
  <si>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</si>
  <si>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</si>
  <si>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</si>
  <si>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</si>
  <si>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</si>
  <si>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</si>
  <si>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</si>
  <si>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</si>
  <si>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</si>
  <si>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</si>
  <si>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</si>
  <si>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</si>
  <si>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</si>
  <si>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</si>
  <si>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</si>
  <si>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</si>
  <si>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</si>
  <si>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</si>
  <si>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</si>
  <si>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</si>
  <si>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</si>
  <si>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</si>
  <si>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</si>
  <si>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</si>
  <si>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</si>
  <si>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</si>
  <si>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</si>
  <si>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</si>
  <si>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</si>
  <si>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</si>
  <si>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</si>
  <si>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</si>
  <si>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</si>
  <si>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</si>
  <si>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</si>
  <si>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</si>
  <si>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</si>
  <si>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</si>
  <si>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</si>
  <si>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</si>
  <si>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</si>
  <si>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</si>
  <si>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</si>
  <si>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</si>
  <si>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</si>
  <si>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</si>
  <si>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</si>
  <si>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</si>
  <si>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</si>
  <si>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</si>
  <si>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</si>
  <si>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</si>
  <si>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</si>
  <si>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</si>
  <si>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</si>
  <si>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</si>
  <si>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</si>
  <si>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</si>
  <si>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</si>
  <si>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</si>
  <si>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</si>
  <si>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</si>
  <si>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</si>
  <si>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</si>
  <si>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</si>
  <si>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</si>
  <si>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</si>
  <si>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</si>
  <si>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</si>
  <si>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</si>
  <si>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</si>
  <si>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</si>
  <si>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</si>
  <si>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</si>
  <si>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</si>
  <si>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</si>
  <si>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</si>
  <si>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</si>
  <si>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</si>
  <si>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</si>
  <si>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</si>
  <si>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</si>
  <si>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</si>
  <si>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</si>
  <si>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</si>
  <si>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</si>
  <si>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</si>
  <si>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</si>
  <si>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</si>
  <si>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</si>
  <si>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</si>
  <si>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</si>
  <si>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</si>
  <si>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</si>
  <si>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</si>
  <si>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</si>
  <si>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</si>
  <si>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</si>
  <si>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</si>
  <si>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</si>
  <si>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</si>
  <si>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</si>
  <si>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</si>
  <si>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</si>
  <si>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</si>
  <si>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</si>
  <si>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</si>
  <si>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</si>
  <si>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</si>
  <si>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</si>
  <si>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</si>
  <si>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</si>
  <si>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</si>
  <si>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</si>
  <si>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</si>
  <si>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</si>
  <si>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</si>
  <si>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</si>
  <si>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</si>
  <si>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</si>
  <si>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</si>
  <si>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</si>
  <si>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</si>
  <si>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房地产抵押价值</t>
  </si>
  <si>
    <t>抵押</t>
  </si>
  <si>
    <t>其他：</t>
  </si>
  <si>
    <t>企业</t>
  </si>
  <si>
    <t>出让</t>
  </si>
  <si>
    <t>2层</t>
    <phoneticPr fontId="140" type="noConversion"/>
  </si>
  <si>
    <t>1层</t>
    <phoneticPr fontId="140" type="noConversion"/>
  </si>
  <si>
    <t>商业1</t>
    <phoneticPr fontId="140" type="noConversion"/>
  </si>
  <si>
    <t>商业2</t>
    <phoneticPr fontId="140" type="noConversion"/>
  </si>
  <si>
    <t>3层</t>
    <phoneticPr fontId="140" type="noConversion"/>
  </si>
  <si>
    <t>商业3</t>
  </si>
  <si>
    <t>4层</t>
    <phoneticPr fontId="140" type="noConversion"/>
  </si>
  <si>
    <t>商业4</t>
  </si>
  <si>
    <t>5层</t>
  </si>
  <si>
    <t>商业5</t>
  </si>
  <si>
    <t>6层</t>
  </si>
  <si>
    <t>小计</t>
    <phoneticPr fontId="140" type="noConversion"/>
  </si>
  <si>
    <t>2层</t>
    <phoneticPr fontId="140" type="noConversion"/>
  </si>
  <si>
    <t>商业2</t>
    <phoneticPr fontId="140" type="noConversion"/>
  </si>
  <si>
    <t>商业3</t>
    <phoneticPr fontId="140" type="noConversion"/>
  </si>
  <si>
    <t>3层</t>
    <phoneticPr fontId="140" type="noConversion"/>
  </si>
  <si>
    <t>商业1</t>
    <phoneticPr fontId="140" type="noConversion"/>
  </si>
  <si>
    <t>商业2</t>
    <phoneticPr fontId="140" type="noConversion"/>
  </si>
  <si>
    <t>1层</t>
    <phoneticPr fontId="140" type="noConversion"/>
  </si>
  <si>
    <t>5层</t>
    <phoneticPr fontId="140" type="noConversion"/>
  </si>
  <si>
    <t>合计</t>
    <phoneticPr fontId="140" type="noConversion"/>
  </si>
  <si>
    <t>6层</t>
    <phoneticPr fontId="140" type="noConversion"/>
  </si>
  <si>
    <t>负一层</t>
    <phoneticPr fontId="140" type="noConversion"/>
  </si>
  <si>
    <t>1层</t>
    <phoneticPr fontId="140" type="noConversion"/>
  </si>
  <si>
    <t>商业6</t>
  </si>
  <si>
    <t>商业7</t>
  </si>
  <si>
    <t>1层</t>
    <phoneticPr fontId="140" type="noConversion"/>
  </si>
  <si>
    <t>商业1</t>
    <phoneticPr fontId="140" type="noConversion"/>
  </si>
  <si>
    <t>小计</t>
    <phoneticPr fontId="140" type="noConversion"/>
  </si>
  <si>
    <t>商业2</t>
    <phoneticPr fontId="140" type="noConversion"/>
  </si>
  <si>
    <t>2层</t>
    <phoneticPr fontId="140" type="noConversion"/>
  </si>
  <si>
    <t>商业8</t>
  </si>
  <si>
    <t>商业9</t>
  </si>
  <si>
    <t>商业10</t>
  </si>
  <si>
    <t>3层</t>
    <phoneticPr fontId="140" type="noConversion"/>
  </si>
  <si>
    <t>商业11</t>
  </si>
  <si>
    <t>合计</t>
    <phoneticPr fontId="140" type="noConversion"/>
  </si>
  <si>
    <t>成新度</t>
  </si>
  <si>
    <t>利息：取LPR加浮动点数</t>
  </si>
  <si>
    <t>收益法</t>
  </si>
  <si>
    <r>
      <t>渝（2</t>
    </r>
    <r>
      <rPr>
        <sz val="11"/>
        <color theme="1"/>
        <rFont val="宋体"/>
        <family val="3"/>
        <charset val="134"/>
        <scheme val="minor"/>
      </rPr>
      <t>019）南岸区不动产权第000484904号</t>
    </r>
    <phoneticPr fontId="140" type="noConversion"/>
  </si>
  <si>
    <t>渝（2019）南岸区不动产权第000217687号</t>
    <phoneticPr fontId="140" type="noConversion"/>
  </si>
  <si>
    <t>1层</t>
    <phoneticPr fontId="140" type="noConversion"/>
  </si>
  <si>
    <t>2层</t>
    <phoneticPr fontId="140" type="noConversion"/>
  </si>
  <si>
    <t>3层</t>
    <phoneticPr fontId="140" type="noConversion"/>
  </si>
  <si>
    <t>合计</t>
    <phoneticPr fontId="140" type="noConversion"/>
  </si>
  <si>
    <t>楼层</t>
    <phoneticPr fontId="140" type="noConversion"/>
  </si>
  <si>
    <t>原建筑面积</t>
    <phoneticPr fontId="140" type="noConversion"/>
  </si>
  <si>
    <t>现抵押面积</t>
    <phoneticPr fontId="140" type="noConversion"/>
  </si>
  <si>
    <t>解押面积</t>
    <phoneticPr fontId="140" type="noConversion"/>
  </si>
  <si>
    <t>1层汇总</t>
    <phoneticPr fontId="140" type="noConversion"/>
  </si>
  <si>
    <t>2层汇总</t>
    <phoneticPr fontId="140" type="noConversion"/>
  </si>
  <si>
    <t>3层汇总</t>
  </si>
  <si>
    <t>4层汇总</t>
  </si>
  <si>
    <t>5层汇总</t>
  </si>
  <si>
    <t>6层汇总</t>
  </si>
  <si>
    <t>负1层汇总</t>
    <phoneticPr fontId="140" type="noConversion"/>
  </si>
  <si>
    <t>是</t>
  </si>
  <si>
    <t>地上</t>
  </si>
  <si>
    <t>地下</t>
  </si>
  <si>
    <t>商业</t>
    <phoneticPr fontId="7" type="noConversion"/>
  </si>
  <si>
    <t>面积</t>
    <phoneticPr fontId="140" type="noConversion"/>
  </si>
  <si>
    <t>租金</t>
    <phoneticPr fontId="140" type="noConversion"/>
  </si>
  <si>
    <t>楼层系数</t>
    <phoneticPr fontId="140" type="noConversion"/>
  </si>
  <si>
    <t>典型户型修正</t>
  </si>
  <si>
    <t>押一</t>
  </si>
  <si>
    <t>钢混</t>
  </si>
  <si>
    <t>非生产用房</t>
  </si>
  <si>
    <t>按租金收入计税</t>
  </si>
  <si>
    <t>售价</t>
  </si>
  <si>
    <t>正常</t>
    <phoneticPr fontId="31" type="noConversion"/>
  </si>
  <si>
    <t>项目</t>
    <phoneticPr fontId="140" type="noConversion"/>
  </si>
  <si>
    <t>售价</t>
    <phoneticPr fontId="140" type="noConversion"/>
  </si>
  <si>
    <t>面积</t>
    <phoneticPr fontId="140" type="noConversion"/>
  </si>
  <si>
    <t>建成年代</t>
    <phoneticPr fontId="140" type="noConversion"/>
  </si>
  <si>
    <t>泽科星泽汇</t>
    <phoneticPr fontId="140" type="noConversion"/>
  </si>
  <si>
    <t>天誉智慧城</t>
    <phoneticPr fontId="140" type="noConversion"/>
  </si>
  <si>
    <r>
      <t>蓝光c</t>
    </r>
    <r>
      <rPr>
        <sz val="11"/>
        <color theme="1"/>
        <rFont val="宋体"/>
        <family val="3"/>
        <charset val="134"/>
        <scheme val="minor"/>
      </rPr>
      <t>oco</t>
    </r>
    <phoneticPr fontId="140" type="noConversion"/>
  </si>
  <si>
    <t>一般</t>
    <phoneticPr fontId="31" type="noConversion"/>
  </si>
  <si>
    <t>一般</t>
    <phoneticPr fontId="31" type="noConversion"/>
  </si>
  <si>
    <t>较好</t>
    <phoneticPr fontId="31" type="noConversion"/>
  </si>
  <si>
    <t>较好</t>
    <phoneticPr fontId="31" type="noConversion"/>
  </si>
  <si>
    <t>六通</t>
    <phoneticPr fontId="31" type="noConversion"/>
  </si>
  <si>
    <t>六通</t>
    <phoneticPr fontId="31" type="noConversion"/>
  </si>
  <si>
    <t>好</t>
    <phoneticPr fontId="31" type="noConversion"/>
  </si>
  <si>
    <t>较差</t>
    <phoneticPr fontId="31" type="noConversion"/>
  </si>
  <si>
    <t>总价</t>
  </si>
  <si>
    <t>负1层</t>
    <phoneticPr fontId="140" type="noConversion"/>
  </si>
  <si>
    <t>4层</t>
    <phoneticPr fontId="140" type="noConversion"/>
  </si>
  <si>
    <t>5层</t>
    <phoneticPr fontId="140" type="noConversion"/>
  </si>
  <si>
    <t>6层</t>
    <phoneticPr fontId="140" type="noConversion"/>
  </si>
  <si>
    <t>合计</t>
    <phoneticPr fontId="140" type="noConversion"/>
  </si>
  <si>
    <t>面积</t>
    <phoneticPr fontId="140" type="noConversion"/>
  </si>
  <si>
    <t>比较法中每层所占价值比例</t>
    <phoneticPr fontId="140" type="noConversion"/>
  </si>
  <si>
    <t>每层价值</t>
    <phoneticPr fontId="140" type="noConversion"/>
  </si>
  <si>
    <t>渝（2018）南岸区不动产权第000035500号</t>
    <phoneticPr fontId="140" type="noConversion"/>
  </si>
  <si>
    <t>楼面单价</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</si>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</sst>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9" fillId="0" borderId="0" xfId="0" applyFont="1">
      <alignment vertical="center"/>
    </xf>
    <xf numFmtId="0" fontId="0" fillId="0" borderId="0" xfId="0" applyProtection="1">
      <alignment vertical="center"/>
      <protection locked="0"/>
    </xf>
    <xf numFmtId="0" fontId="98" fillId="0" borderId="0" xfId="0" applyFont="1" applyFill="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center" vertical="center"/>
    </xf>
    <xf numFmtId="0" fontId="111" fillId="0" borderId="1" xfId="0" applyFont="1" applyBorder="1">
      <alignment vertical="center"/>
    </xf>
    <xf numFmtId="0" fontId="117" fillId="0" borderId="1" xfId="0" applyFont="1" applyBorder="1">
      <alignment vertical="center"/>
    </xf>
    <xf numFmtId="10" fontId="117" fillId="0" borderId="1" xfId="0" applyNumberFormat="1" applyFont="1" applyBorder="1">
      <alignment vertical="center"/>
    </xf>
    <xf numFmtId="0" fontId="117" fillId="0" borderId="1" xfId="0" applyNumberFormat="1"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332134</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33334" cy="7800001"/>
        </a:xfrm>
        <a:prstGeom prst="rect">
          <a:avLst/>
        </a:prstGeom>
      </xdr:spPr>
    </xdr:pic>
    <xdr:clientData/>
  </xdr:twoCellAnchor>
  <xdr:twoCellAnchor editAs="oneCell">
    <xdr:from>
      <xdr:col>0</xdr:col>
      <xdr:colOff>0</xdr:colOff>
      <xdr:row>46</xdr:row>
      <xdr:rowOff>0</xdr:rowOff>
    </xdr:from>
    <xdr:to>
      <xdr:col>14</xdr:col>
      <xdr:colOff>360705</xdr:colOff>
      <xdr:row>91</xdr:row>
      <xdr:rowOff>151417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61905" cy="7866667"/>
        </a:xfrm>
        <a:prstGeom prst="rect">
          <a:avLst/>
        </a:prstGeom>
      </xdr:spPr>
    </xdr:pic>
    <xdr:clientData/>
  </xdr:twoCellAnchor>
  <xdr:twoCellAnchor editAs="oneCell">
    <xdr:from>
      <xdr:col>0</xdr:col>
      <xdr:colOff>0</xdr:colOff>
      <xdr:row>92</xdr:row>
      <xdr:rowOff>0</xdr:rowOff>
    </xdr:from>
    <xdr:to>
      <xdr:col>14</xdr:col>
      <xdr:colOff>494039</xdr:colOff>
      <xdr:row>137</xdr:row>
      <xdr:rowOff>122846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10095239" cy="7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43-P06DYGJ2&#37325;&#24198;&#24066;&#21335;&#23736;&#21306;&#28034;&#23665;&#38215;&#38451;&#20809;&#36335;1&#21495;3&#12289;5&#24162;&#38750;&#20303;&#23429;&#31561;&#20849;&#35745;65&#22871;&#21830;&#19994;&#29992;&#25151;&#25151;&#22320;&#20135;&#25269;&#25276;&#20215;&#20540;&#39044;&#35780;&#20272;-&#36793;&#36828;20200111-194622-&#36793;&#36828;20200113-102936-&#36793;&#36828;20200113-161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层面积"/>
      <sheetName val="租金"/>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I14">
            <v>2015.1799999999998</v>
          </cell>
        </row>
      </sheetData>
      <sheetData sheetId="12"/>
      <sheetData sheetId="13">
        <row r="8">
          <cell r="H8" t="str">
            <v>渝（2018）南岸区不动产权第000035435</v>
          </cell>
        </row>
        <row r="9">
          <cell r="H9" t="str">
            <v>渝（2018）南岸区不动产权第000035455</v>
          </cell>
        </row>
        <row r="10">
          <cell r="H10" t="str">
            <v>渝（2018）南岸区不动产权第000035469</v>
          </cell>
        </row>
      </sheetData>
      <sheetData sheetId="14">
        <row r="15">
          <cell r="F15">
            <v>529.12</v>
          </cell>
        </row>
        <row r="16">
          <cell r="F16">
            <v>529.12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估价对象为房地产，为所有。根据《国有土地使用证》[]，估价对象（分摊）出让国有建设用地使用权面积为0平方米，建筑面积为19251.75平方米。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估价对象为房地产,属开发建设的，该项目尚在开发建设中。根据《国有土地使用证》[]，估价对象（分摊）出让国有建设用地使用权面积为0平方米，规划建筑面积为19251.75平方米。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2022年6月14日</v>
      </c>
    </row>
    <row r="13" spans="1:2" s="1318" customFormat="1">
      <c r="A13" s="1316" t="s">
        <v>954</v>
      </c>
      <c r="B13" s="1317" t="str">
        <f>'预评函-1'!A18</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本次评估采用的主估价方法为基准地价系数修正法和收益法。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28866</v>
      </c>
    </row>
    <row r="21" spans="1:2" s="1318" customFormat="1">
      <c r="A21" s="1316" t="s">
        <v>962</v>
      </c>
      <c r="B21" s="1317">
        <f ca="1">'预评函-2'!D7</f>
        <v>14994</v>
      </c>
    </row>
    <row r="22" spans="1:2" s="1318" customFormat="1">
      <c r="A22" s="1316" t="s">
        <v>963</v>
      </c>
      <c r="B22" s="1317" t="str">
        <f ca="1">'预评函-2'!D6</f>
        <v>贰亿捌仟捌佰陆拾陆万元整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28866</v>
      </c>
    </row>
    <row r="31" spans="1:2" s="1318" customFormat="1">
      <c r="A31" s="1316" t="s">
        <v>1001</v>
      </c>
      <c r="B31" s="1317">
        <f ca="1">'预评函-2'!D15</f>
        <v>14994</v>
      </c>
    </row>
    <row r="32" spans="1:2" s="1318" customFormat="1">
      <c r="A32" s="1316" t="s">
        <v>968</v>
      </c>
      <c r="B32" s="1317" t="str">
        <f ca="1">'预评函-2'!D14</f>
        <v>贰亿捌仟捌佰陆拾陆万元整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19251.75</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690" t="s">
        <v>651</v>
      </c>
      <c r="C54" s="1687" t="s">
        <v>1008</v>
      </c>
    </row>
    <row r="55" spans="1:4">
      <c r="A55" s="3289"/>
      <c r="B55" s="1690" t="s">
        <v>652</v>
      </c>
      <c r="C55" s="1687" t="s">
        <v>1009</v>
      </c>
    </row>
    <row r="56" spans="1:4">
      <c r="A56" s="3289"/>
      <c r="B56" s="1690" t="s">
        <v>653</v>
      </c>
      <c r="C56" s="1687" t="s">
        <v>1013</v>
      </c>
    </row>
    <row r="57" spans="1:4">
      <c r="A57" s="328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1" sqref="I3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98" t="str">
        <f>IF(B10="北京市","北京市",C10)&amp;F10&amp;IF(结果表!G1="在建","出让国有建设用地使用权及在建建筑物",IF(结果表!G1="土地","出让国有建设用地使用权",))&amp;B9&amp;"预评估"</f>
        <v>房地产抵押价值预评估</v>
      </c>
      <c r="C1" s="3299"/>
      <c r="D1" s="3299"/>
      <c r="E1" s="3299"/>
      <c r="F1" s="3299"/>
      <c r="G1" s="3299"/>
      <c r="H1" s="3299"/>
      <c r="I1" s="3300"/>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2670</v>
      </c>
      <c r="B3" s="2547"/>
      <c r="C3" s="2548" t="s">
        <v>2671</v>
      </c>
      <c r="D3" s="2547">
        <v>44726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301" t="s">
        <v>2677</v>
      </c>
      <c r="E8" s="2565" t="s">
        <v>3174</v>
      </c>
      <c r="F8" s="2566"/>
      <c r="G8" s="2840"/>
      <c r="H8" s="2840"/>
      <c r="I8" s="2840"/>
      <c r="J8" s="2615"/>
      <c r="K8" s="2790"/>
      <c r="L8" s="2789"/>
      <c r="M8" s="2789"/>
      <c r="N8" s="2615"/>
      <c r="O8" s="2626"/>
      <c r="P8" s="2615"/>
      <c r="Q8" s="2615"/>
      <c r="R8" s="2615"/>
    </row>
    <row r="9" spans="1:28" ht="13.5" thickBot="1">
      <c r="A9" s="2567" t="s">
        <v>2678</v>
      </c>
      <c r="B9" s="2568" t="s">
        <v>3174</v>
      </c>
      <c r="C9" s="2569"/>
      <c r="D9" s="3302"/>
      <c r="E9" s="2568"/>
      <c r="F9" s="2570"/>
      <c r="G9" s="2842"/>
      <c r="H9" s="2842"/>
      <c r="I9" s="2842"/>
      <c r="J9" s="2615"/>
      <c r="K9" s="2792"/>
      <c r="L9" s="2789"/>
      <c r="M9" s="2789"/>
      <c r="N9" s="2615"/>
      <c r="O9" s="2626"/>
      <c r="P9" s="2615"/>
      <c r="Q9" s="2615"/>
      <c r="R9" s="2615"/>
    </row>
    <row r="10" spans="1:28" ht="13.5"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52327</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20.82</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308"/>
      <c r="C16" s="3309"/>
      <c r="D16" s="3310"/>
      <c r="E16" s="2589" t="s">
        <v>2694</v>
      </c>
      <c r="F16" s="3311"/>
      <c r="G16" s="3312"/>
      <c r="H16" s="3312"/>
      <c r="I16" s="3313"/>
      <c r="J16" s="2615"/>
      <c r="K16" s="2794"/>
      <c r="L16" s="2627"/>
      <c r="M16" s="2627"/>
      <c r="N16" s="2685"/>
      <c r="O16" s="2627"/>
      <c r="P16" s="2685"/>
      <c r="Q16" s="2615"/>
      <c r="R16" s="2615"/>
    </row>
    <row r="17" spans="1:28">
      <c r="A17" s="319" t="s">
        <v>2695</v>
      </c>
      <c r="B17" s="308" t="s">
        <v>2696</v>
      </c>
      <c r="C17" s="11">
        <f>'数据-汇总表'!E3</f>
        <v>19251.75</v>
      </c>
      <c r="D17" s="2496" t="s">
        <v>2697</v>
      </c>
      <c r="E17" s="3314" t="s">
        <v>2698</v>
      </c>
      <c r="F17" s="3315"/>
      <c r="G17" s="3315"/>
      <c r="H17" s="3315"/>
      <c r="I17" s="3316"/>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17" t="s">
        <v>2702</v>
      </c>
      <c r="F18" s="3318"/>
      <c r="G18" s="3318"/>
      <c r="H18" s="3318"/>
      <c r="I18" s="3319"/>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304" t="s">
        <v>2706</v>
      </c>
      <c r="C20" s="3305"/>
      <c r="D20" s="3306" t="s">
        <v>2707</v>
      </c>
      <c r="E20" s="3307"/>
      <c r="F20" s="2824" t="s">
        <v>1501</v>
      </c>
      <c r="G20" s="2841"/>
      <c r="H20" s="2841"/>
      <c r="I20" s="2841"/>
      <c r="J20" s="2615"/>
      <c r="K20" s="3303"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3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3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1"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1"/>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1"/>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2"/>
      <c r="B30" s="308" t="s">
        <v>2718</v>
      </c>
      <c r="C30" s="3293"/>
      <c r="D30" s="3294"/>
      <c r="E30" s="2841"/>
      <c r="F30" s="2841"/>
      <c r="G30" s="2841"/>
      <c r="H30" s="2841"/>
      <c r="I30" s="2841"/>
      <c r="J30" s="2615"/>
      <c r="K30" s="2792"/>
      <c r="L30" s="2789"/>
      <c r="M30" s="2789"/>
      <c r="N30" s="2615"/>
      <c r="O30" s="2626"/>
      <c r="P30" s="2615"/>
      <c r="Q30" s="2615"/>
      <c r="R30" s="2615"/>
      <c r="S30" s="2615"/>
      <c r="T30" s="2615"/>
      <c r="U30" s="2615"/>
      <c r="V30" s="2615"/>
    </row>
    <row r="31" spans="1:28">
      <c r="A31" s="3295"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6"/>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6"/>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90" t="s">
        <v>2728</v>
      </c>
      <c r="T34" s="2604" t="str">
        <f>NUMBERSTRING(7-K34,1)&amp;"通"</f>
        <v>七通</v>
      </c>
      <c r="U34" s="2615"/>
      <c r="V34" s="2615"/>
    </row>
    <row r="35" spans="1:30">
      <c r="A35" s="2605"/>
      <c r="B35" s="3297" t="s">
        <v>2729</v>
      </c>
      <c r="C35" s="3297"/>
      <c r="D35" s="3297"/>
      <c r="E35" s="3297"/>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0"/>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19251.75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19251.75</v>
      </c>
      <c r="H5" s="16">
        <f t="shared" ref="H5:AT5" si="0">SUM(H13:H656)</f>
        <v>19251.75</v>
      </c>
      <c r="I5" s="16">
        <f t="shared" si="0"/>
        <v>18937.57</v>
      </c>
      <c r="J5" s="16">
        <f t="shared" si="0"/>
        <v>0</v>
      </c>
      <c r="K5" s="16">
        <f t="shared" si="0"/>
        <v>314.17999999999995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19251.75</v>
      </c>
      <c r="BA5" s="18">
        <f t="shared" si="1"/>
        <v>19251.75</v>
      </c>
      <c r="BB5" s="18">
        <f t="shared" si="1"/>
        <v>18937.57</v>
      </c>
      <c r="BC5" s="18">
        <f t="shared" si="1"/>
        <v>314.17999999999995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3237</v>
      </c>
      <c r="J9" s="899"/>
      <c r="K9" s="1739" t="s">
        <v>3238</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3236</v>
      </c>
      <c r="E13" s="16">
        <f>IF($C$3="是",ROUND($A$3*G13/$B$3,2),ROUND($A$3*(G13-AT13)/$B$3,2))</f>
        <v>0</v>
      </c>
      <c r="F13" s="32"/>
      <c r="G13" s="33">
        <f>H13+AC13+AT13</f>
        <v>19251.75</v>
      </c>
      <c r="H13" s="20">
        <f>SUMIF(I$12:AB$12,"总值",I13:AB13)</f>
        <v>19251.75</v>
      </c>
      <c r="I13" s="1762">
        <f>面积清单!L3+面积清单!L4+面积清单!L5+面积清单!L6+面积清单!L7+面积清单!L8</f>
        <v>18937.57</v>
      </c>
      <c r="J13" s="1762"/>
      <c r="K13" s="1762">
        <f>面积清单!L9</f>
        <v>314.17999999999995</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19251.75</v>
      </c>
      <c r="BA13" s="16">
        <f>SUM(BB13:BK13)</f>
        <v>19251.75</v>
      </c>
      <c r="BB13" s="16">
        <f>IF($D13="是",I13-J13,0)</f>
        <v>18937.57</v>
      </c>
      <c r="BC13" s="16">
        <f>IF($D13="是",K13-L13,0)</f>
        <v>314.17999999999995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1" t="s">
        <v>1576</v>
      </c>
      <c r="B2" s="3331"/>
      <c r="C2" s="3331"/>
      <c r="D2" s="885" t="s">
        <v>1552</v>
      </c>
      <c r="E2" s="1775" t="s">
        <v>1553</v>
      </c>
      <c r="F2" s="2836"/>
      <c r="G2" s="2827"/>
      <c r="H2" s="2828"/>
      <c r="I2" s="2499" t="s">
        <v>1577</v>
      </c>
      <c r="J2" s="2836"/>
      <c r="K2" s="2836"/>
      <c r="L2" s="2836"/>
      <c r="M2" s="2836"/>
      <c r="N2" s="2838"/>
      <c r="O2" s="2836"/>
      <c r="P2" s="2836"/>
    </row>
    <row r="3" spans="1:16" ht="15.75" thickBot="1">
      <c r="A3" s="3332" t="s">
        <v>1550</v>
      </c>
      <c r="B3" s="3332"/>
      <c r="C3" s="3332"/>
      <c r="D3" s="46">
        <f>'数据-基础表'!AY6</f>
        <v>0</v>
      </c>
      <c r="E3" s="46">
        <f>'数据-基础表'!AZ5</f>
        <v>19251.75</v>
      </c>
      <c r="F3" s="2836"/>
      <c r="G3" s="1260"/>
      <c r="H3" s="1138" t="s">
        <v>1551</v>
      </c>
      <c r="I3" s="945" t="e">
        <f>ROUND('数据-基础表'!B3/'数据-基础表'!A3,2)</f>
        <v>#DIV/0!</v>
      </c>
      <c r="J3" s="2836"/>
      <c r="K3" s="2836"/>
      <c r="L3" s="2836"/>
      <c r="M3" s="2836"/>
      <c r="N3" s="2838"/>
      <c r="O3" s="2836"/>
      <c r="P3" s="2836"/>
    </row>
    <row r="4" spans="1:16" ht="15">
      <c r="A4" s="3333"/>
      <c r="B4" s="3334"/>
      <c r="C4" s="3335"/>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36" t="s">
        <v>1555</v>
      </c>
      <c r="C5" s="3336"/>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36" t="s">
        <v>1556</v>
      </c>
      <c r="C6" s="3336"/>
      <c r="D6" s="48">
        <f>ROUND($D$3*E6/$E$3,2)</f>
        <v>0</v>
      </c>
      <c r="E6" s="49">
        <f>E3-E5</f>
        <v>19251.75</v>
      </c>
      <c r="F6" s="2836"/>
      <c r="G6" s="2830" t="s">
        <v>1557</v>
      </c>
      <c r="H6" s="1261" t="s">
        <v>1558</v>
      </c>
      <c r="I6" s="2831" t="e">
        <f>ROUND(F31/D31,2)</f>
        <v>#DIV/0!</v>
      </c>
      <c r="J6" s="2836"/>
      <c r="K6" s="2836"/>
      <c r="L6" s="2836"/>
      <c r="M6" s="2836"/>
      <c r="N6" s="2836"/>
      <c r="O6" s="2836"/>
      <c r="P6" s="2836"/>
    </row>
    <row r="7" spans="1:16" ht="15.75" thickBot="1">
      <c r="A7" s="3328"/>
      <c r="B7" s="3329"/>
      <c r="C7" s="3330"/>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18937.57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314.17999999999995</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19251.75</v>
      </c>
      <c r="F16" s="2836"/>
      <c r="G16" s="2837"/>
      <c r="H16" s="1784" t="s">
        <v>1580</v>
      </c>
      <c r="I16" s="1785"/>
      <c r="J16" s="1254"/>
      <c r="K16" s="3325" t="s">
        <v>1580</v>
      </c>
      <c r="L16" s="3326"/>
      <c r="M16" s="3326"/>
      <c r="N16" s="3326"/>
      <c r="O16" s="3326"/>
      <c r="P16" s="3327"/>
    </row>
    <row r="17" spans="1:19" ht="15">
      <c r="A17" s="1786" t="s">
        <v>1581</v>
      </c>
      <c r="B17" s="1787" t="s">
        <v>1582</v>
      </c>
      <c r="C17" s="1788" t="s">
        <v>1583</v>
      </c>
      <c r="D17" s="1789" t="s">
        <v>1571</v>
      </c>
      <c r="E17" s="1790" t="s">
        <v>1572</v>
      </c>
      <c r="F17" s="1791"/>
      <c r="G17" s="1792"/>
      <c r="H17" s="1793" t="s">
        <v>1584</v>
      </c>
      <c r="I17" s="1794" t="s">
        <v>1569</v>
      </c>
      <c r="J17" s="1254"/>
      <c r="K17" s="3322" t="s">
        <v>1585</v>
      </c>
      <c r="L17" s="3323"/>
      <c r="M17" s="3324"/>
      <c r="N17" s="3322" t="s">
        <v>1586</v>
      </c>
      <c r="O17" s="3323"/>
      <c r="P17" s="332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3239</v>
      </c>
      <c r="D19" s="48">
        <f>ROUND($D$3*E19/$E$3,2)</f>
        <v>0</v>
      </c>
      <c r="E19" s="56">
        <f t="shared" ref="E19:E26" si="1">SUM(F19:G19)</f>
        <v>19251.75</v>
      </c>
      <c r="F19" s="2976">
        <f>'数据-基础表'!I13</f>
        <v>18937.57</v>
      </c>
      <c r="G19" s="2977">
        <f>'数据-基础表'!K13</f>
        <v>314.17999999999995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19251.75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19251.75</v>
      </c>
      <c r="F27" s="1255">
        <f>IF(SUM(F19:F26)=E8,SUM(F19:F26),"地上面积有误")</f>
        <v>18937.57</v>
      </c>
      <c r="G27" s="1257">
        <f>SUM(G19:G26)</f>
        <v>314.17999999999995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19251.75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19251.75</v>
      </c>
      <c r="F31" s="686">
        <f>F27+F30</f>
        <v>18937.57</v>
      </c>
      <c r="G31" s="687">
        <f>G27+G30</f>
        <v>314.17999999999995</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52327</v>
      </c>
      <c r="F6" s="68">
        <f>SUMIF(项目基本情况!D$12:I$12,C6,项目基本情况!D$15:I$15)</f>
        <v>20.82</v>
      </c>
      <c r="G6" s="69">
        <f>IF(ISERROR(ROUND(POWER(1+H6,D6-F6)*(POWER(1+H6,F6)-1)/(POWER(1+H6,D6)-1),3)),0,ROUND(POWER(1+H6,D6-F6)*(POWER(1+H6,F6)-1)/(POWER(1+H6,D6)-1),3))</f>
        <v>0.76100000000000001</v>
      </c>
      <c r="H6" s="741">
        <v>5.5E-2</v>
      </c>
      <c r="I6" s="741">
        <f>H6+0.005</f>
        <v>0.06</v>
      </c>
      <c r="J6" s="70">
        <f>I6+0.015</f>
        <v>7.4999999999999997E-2</v>
      </c>
      <c r="K6" s="1142">
        <f>SUMIF('数据-汇总表'!C$19:C$33,A6,'数据-汇总表'!E$19:E$33)</f>
        <v>19251.75</v>
      </c>
      <c r="L6" s="742">
        <v>3000</v>
      </c>
      <c r="M6" s="71">
        <f t="shared" ref="M6:M14" si="0">ROUND(K6*L6/10000,0)</f>
        <v>5776</v>
      </c>
      <c r="N6" s="740">
        <f>Q21</f>
        <v>0.81</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f>面积清单!M10</f>
        <v>3.03</v>
      </c>
      <c r="V6" s="75">
        <v>0.03</v>
      </c>
      <c r="W6" s="75">
        <v>0.1</v>
      </c>
      <c r="X6" s="1152"/>
      <c r="Y6" s="76">
        <f>N6</f>
        <v>0.81</v>
      </c>
      <c r="Z6" s="77"/>
      <c r="AA6" s="70"/>
      <c r="AB6" s="70"/>
      <c r="AC6" s="1152"/>
      <c r="AD6" s="78"/>
      <c r="AE6" s="1153">
        <f ca="1">IF(AN6="",0,SUMIF(INDIRECT("'"&amp;AN6&amp;"'"&amp;"!E:E"),$AE$5,INDIRECT("'"&amp;AN6&amp;"'"&amp;"!F:F")))</f>
        <v>20.82</v>
      </c>
      <c r="AF6" s="1483"/>
      <c r="AG6" s="143">
        <f>IF(AF6="",0,AE6-AF6)</f>
        <v>0</v>
      </c>
      <c r="AH6" s="79"/>
      <c r="AI6" s="81">
        <v>365</v>
      </c>
      <c r="AJ6" s="82"/>
      <c r="AK6" s="83">
        <v>0.01</v>
      </c>
      <c r="AL6" s="84">
        <v>1E-3</v>
      </c>
      <c r="AM6" s="85">
        <v>0.01</v>
      </c>
      <c r="AN6" s="1852" t="s">
        <v>3218</v>
      </c>
      <c r="AO6" s="55">
        <f ca="1">SUMIF(INDIRECT("'"&amp;AN6&amp;"'"&amp;"!A:A"),"总价",INDIRECT("'"&amp;AN6&amp;"'"&amp;"!B:B"))</f>
        <v>22272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0.76100000000000001</v>
      </c>
      <c r="H16" s="95">
        <f>ROUND(SUMPRODUCT(H6:H13,K6:K13)/SUMPRODUCT((H6:H13&gt;0)*(K6:K13)),3)</f>
        <v>5.5E-2</v>
      </c>
      <c r="I16" s="96"/>
      <c r="J16" s="96"/>
      <c r="K16" s="97">
        <f>SUM(K6:K15)</f>
        <v>19251.75</v>
      </c>
      <c r="L16" s="98">
        <f>ROUND(M16*10000/SUM(K6:K14),0)</f>
        <v>3000</v>
      </c>
      <c r="M16" s="98">
        <f>SUM(M6:M14)</f>
        <v>5776</v>
      </c>
      <c r="N16" s="99">
        <f>ROUND(SUMPRODUCT(M6:M14,N6:N14)/M16,3)</f>
        <v>0.81</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3233">
        <v>16397.330000000002</v>
      </c>
      <c r="O21" s="3233">
        <v>2010</v>
      </c>
      <c r="P21" s="3233">
        <f>ROUND(1-(2022-O21)/60,2)</f>
        <v>0.8</v>
      </c>
      <c r="Q21" s="3233">
        <f>ROUND((N21*P21+N22*P22+N23*P23)/N24,2)</f>
        <v>0.81</v>
      </c>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3233">
        <v>2015.1799999999998</v>
      </c>
      <c r="O22" s="3233">
        <v>2007</v>
      </c>
      <c r="P22" s="3233">
        <f t="shared" ref="P22:P23" si="12">ROUND(1-(2022-O22)/60,2)</f>
        <v>0.75</v>
      </c>
      <c r="Q22" s="3233"/>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3233">
        <v>2510.87</v>
      </c>
      <c r="O23" s="3233">
        <v>2017</v>
      </c>
      <c r="P23" s="3233">
        <f t="shared" si="12"/>
        <v>0.92</v>
      </c>
      <c r="Q23" s="3233"/>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3233">
        <v>20923.38</v>
      </c>
      <c r="O24" s="3233"/>
      <c r="P24" s="3233"/>
      <c r="Q24" s="3233"/>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290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290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150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3217</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20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211</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v>20</v>
      </c>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7" t="s">
        <v>2786</v>
      </c>
      <c r="B1" s="3338"/>
      <c r="C1" s="3338"/>
      <c r="D1" s="3338"/>
      <c r="E1" s="3338"/>
      <c r="F1" s="3338"/>
      <c r="G1" s="333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19251.75</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44726</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28866</v>
      </c>
      <c r="C5" s="2688">
        <f ca="1">ROUND(B5*10000/$B$1,0)</f>
        <v>14994</v>
      </c>
      <c r="D5" s="2688" t="e">
        <f ca="1">ROUND(B5*10000/$B$2,0)</f>
        <v>#DIV/0!</v>
      </c>
      <c r="E5" s="2865"/>
      <c r="F5" s="2866"/>
      <c r="G5" s="2866"/>
      <c r="H5" s="2867"/>
      <c r="I5" s="2867"/>
      <c r="J5" s="2867"/>
      <c r="K5" s="2867"/>
    </row>
    <row r="6" spans="1:11" ht="16.5">
      <c r="A6" s="2688" t="s">
        <v>1081</v>
      </c>
      <c r="B6" s="2688">
        <f ca="1">SUM(G14:G23)</f>
        <v>28866</v>
      </c>
      <c r="C6" s="2688">
        <f ca="1">ROUND(B6*10000/$B$1,0)</f>
        <v>14994</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19251.75</v>
      </c>
      <c r="C14" s="2694">
        <f>结果表!C118</f>
        <v>0</v>
      </c>
      <c r="D14" s="2694">
        <f ca="1">结果表!H118</f>
        <v>28866</v>
      </c>
      <c r="E14" s="2694">
        <f ca="1">ROUND(D14*10000/B14,0)</f>
        <v>14994</v>
      </c>
      <c r="F14" s="2694" t="e">
        <f ca="1">ROUND(D14*10000/C14,0)</f>
        <v>#DIV/0!</v>
      </c>
      <c r="G14" s="2694">
        <f ca="1">结果表!D122</f>
        <v>28866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27" sqref="M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3" t="str">
        <f>项目基本情况!S2</f>
        <v>房地产</v>
      </c>
      <c r="B2" s="3374"/>
      <c r="C2" s="3374"/>
      <c r="D2" s="3374"/>
      <c r="E2" s="3374"/>
      <c r="F2" s="3374"/>
      <c r="G2" s="3374"/>
      <c r="H2" s="3374"/>
      <c r="I2" s="3375"/>
    </row>
    <row r="3" spans="1:12" ht="12.75">
      <c r="A3" s="3377" t="s">
        <v>1709</v>
      </c>
      <c r="B3" s="3378"/>
      <c r="C3" s="3378"/>
      <c r="D3" s="3378"/>
      <c r="E3" s="3378"/>
      <c r="F3" s="3378"/>
      <c r="G3" s="3378"/>
      <c r="H3" s="3378"/>
      <c r="I3" s="3378"/>
    </row>
    <row r="4" spans="1:12" ht="14.25">
      <c r="A4" s="1891" t="s">
        <v>1710</v>
      </c>
      <c r="B4" s="1892" t="s">
        <v>1711</v>
      </c>
      <c r="C4" s="1893" t="s">
        <v>3243</v>
      </c>
      <c r="D4" s="1893" t="s">
        <v>3218</v>
      </c>
      <c r="E4" s="3379" t="s">
        <v>1712</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3" t="s">
        <v>1713</v>
      </c>
      <c r="B5" s="3340">
        <v>25</v>
      </c>
      <c r="C5" s="3356"/>
      <c r="D5" s="3376"/>
      <c r="E5" s="136" t="s">
        <v>1714</v>
      </c>
      <c r="F5" s="1894"/>
      <c r="G5" s="1894"/>
      <c r="H5" s="1894"/>
      <c r="I5" s="1508"/>
    </row>
    <row r="6" spans="1:12" ht="12.75">
      <c r="A6" s="3353"/>
      <c r="B6" s="3340"/>
      <c r="C6" s="3357"/>
      <c r="D6" s="3376"/>
      <c r="E6" s="136" t="s">
        <v>1715</v>
      </c>
      <c r="F6" s="1894"/>
      <c r="G6" s="1894"/>
      <c r="H6" s="1894"/>
      <c r="I6" s="1508"/>
    </row>
    <row r="7" spans="1:12" ht="12.75">
      <c r="A7" s="3353"/>
      <c r="B7" s="3340"/>
      <c r="C7" s="3358"/>
      <c r="D7" s="3376"/>
      <c r="E7" s="136" t="s">
        <v>1716</v>
      </c>
      <c r="F7" s="1894"/>
      <c r="G7" s="1894"/>
      <c r="H7" s="1894"/>
      <c r="I7" s="1508"/>
    </row>
    <row r="8" spans="1:12" ht="12.75">
      <c r="A8" s="3353" t="s">
        <v>1717</v>
      </c>
      <c r="B8" s="3340">
        <v>15</v>
      </c>
      <c r="C8" s="3356"/>
      <c r="D8" s="3376"/>
      <c r="E8" s="136" t="s">
        <v>1718</v>
      </c>
      <c r="F8" s="1894"/>
      <c r="G8" s="1894"/>
      <c r="H8" s="1894"/>
      <c r="I8" s="1508"/>
    </row>
    <row r="9" spans="1:12" ht="12.75">
      <c r="A9" s="3353"/>
      <c r="B9" s="3340"/>
      <c r="C9" s="3358"/>
      <c r="D9" s="3376"/>
      <c r="E9" s="136" t="s">
        <v>1719</v>
      </c>
      <c r="F9" s="1894"/>
      <c r="G9" s="1894"/>
      <c r="H9" s="1894"/>
      <c r="I9" s="1508"/>
    </row>
    <row r="10" spans="1:12" ht="12.75">
      <c r="A10" s="3353" t="s">
        <v>1720</v>
      </c>
      <c r="B10" s="3340">
        <v>15</v>
      </c>
      <c r="C10" s="3356"/>
      <c r="D10" s="3376"/>
      <c r="E10" s="136" t="s">
        <v>1721</v>
      </c>
      <c r="F10" s="1894"/>
      <c r="G10" s="1894"/>
      <c r="H10" s="1894"/>
      <c r="I10" s="1508"/>
    </row>
    <row r="11" spans="1:12" ht="12.75">
      <c r="A11" s="3353"/>
      <c r="B11" s="3340"/>
      <c r="C11" s="3358"/>
      <c r="D11" s="3376"/>
      <c r="E11" s="136" t="s">
        <v>1722</v>
      </c>
      <c r="F11" s="1894"/>
      <c r="G11" s="1894"/>
      <c r="H11" s="1894"/>
      <c r="I11" s="1508"/>
    </row>
    <row r="12" spans="1:12" ht="12.75">
      <c r="A12" s="3353" t="s">
        <v>1723</v>
      </c>
      <c r="B12" s="3340">
        <v>15</v>
      </c>
      <c r="C12" s="3356"/>
      <c r="D12" s="3376"/>
      <c r="E12" s="136" t="s">
        <v>1724</v>
      </c>
      <c r="F12" s="1894"/>
      <c r="G12" s="1894"/>
      <c r="H12" s="1894"/>
      <c r="I12" s="1508"/>
    </row>
    <row r="13" spans="1:12" ht="12.75">
      <c r="A13" s="3353"/>
      <c r="B13" s="3340"/>
      <c r="C13" s="3358"/>
      <c r="D13" s="3376"/>
      <c r="E13" s="136" t="s">
        <v>1725</v>
      </c>
      <c r="F13" s="1894"/>
      <c r="G13" s="1894"/>
      <c r="H13" s="1894"/>
      <c r="I13" s="1508"/>
    </row>
    <row r="14" spans="1:12" ht="12.75">
      <c r="A14" s="3353" t="s">
        <v>1726</v>
      </c>
      <c r="B14" s="3340">
        <v>30</v>
      </c>
      <c r="C14" s="3356">
        <v>6</v>
      </c>
      <c r="D14" s="3376">
        <v>4</v>
      </c>
      <c r="E14" s="136" t="s">
        <v>1727</v>
      </c>
      <c r="F14" s="1894"/>
      <c r="G14" s="1894"/>
      <c r="H14" s="1894"/>
      <c r="I14" s="1508"/>
    </row>
    <row r="15" spans="1:12" ht="12.75">
      <c r="A15" s="3353"/>
      <c r="B15" s="3340"/>
      <c r="C15" s="3357"/>
      <c r="D15" s="3376"/>
      <c r="E15" s="136" t="s">
        <v>1728</v>
      </c>
      <c r="F15" s="1894"/>
      <c r="G15" s="1894"/>
      <c r="H15" s="1894"/>
      <c r="I15" s="1508"/>
    </row>
    <row r="16" spans="1:12" ht="12.75">
      <c r="A16" s="3353"/>
      <c r="B16" s="3340"/>
      <c r="C16" s="3358"/>
      <c r="D16" s="3376"/>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63" t="s">
        <v>2631</v>
      </c>
      <c r="F18" s="3364"/>
      <c r="G18" s="3364"/>
      <c r="H18" s="3364"/>
      <c r="I18" s="3364"/>
      <c r="K18" s="308" t="s">
        <v>1734</v>
      </c>
      <c r="L18" s="308">
        <f>IF(C1="",'数据-汇总表'!E3,SUMIF(项目类型,C1,'数据-汇总表'!E17:E26)+SUMIF(项目类型,C1,'数据-汇总表'!I17:I26))</f>
        <v>19251.75</v>
      </c>
      <c r="M18" s="308">
        <f>IF(C1="",'数据-汇总表'!E3,SUMIF(项目类型,C1,'数据-汇总表'!E17:E26))</f>
        <v>19251.75</v>
      </c>
    </row>
    <row r="19" spans="1:36" ht="15">
      <c r="A19" s="1898" t="s">
        <v>1735</v>
      </c>
      <c r="B19" s="1899" t="s">
        <v>1736</v>
      </c>
      <c r="C19" s="139">
        <f ca="1">SUMIF(INDIRECT("'"&amp;C4&amp;"'"&amp;"!A:A"),结果表!B19,INDIRECT("'"&amp;C4&amp;"'"&amp;"!B:B"))</f>
        <v>33262</v>
      </c>
      <c r="D19" s="140">
        <f ca="1">SUMIF(INDIRECT("'"&amp;D4&amp;"'"&amp;"!A:A"),结果表!B19,INDIRECT("'"&amp;D4&amp;"'"&amp;"!B:B"))</f>
        <v>22272</v>
      </c>
      <c r="E19" s="1898" t="s">
        <v>1737</v>
      </c>
      <c r="F19" s="1899" t="s">
        <v>1736</v>
      </c>
      <c r="G19" s="141">
        <f ca="1">ROUND(C19*$C$18+D19*$D$18,0)</f>
        <v>28866</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17277</v>
      </c>
      <c r="D20" s="143">
        <f ca="1">SUMIF(INDIRECT("'"&amp;D4&amp;"'"&amp;"!A:A"),结果表!B20,INDIRECT("'"&amp;D4&amp;"'"&amp;"!B:B"))</f>
        <v>11569</v>
      </c>
      <c r="E20" s="1901"/>
      <c r="F20" s="1138" t="s">
        <v>1740</v>
      </c>
      <c r="G20" s="144">
        <f ca="1">ROUND(C20*$C$18+D20*$D$18,0)</f>
        <v>14994</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0.49344468390804597</v>
      </c>
      <c r="E22" s="134"/>
      <c r="F22" s="134"/>
      <c r="G22" s="134"/>
      <c r="H22" s="134"/>
      <c r="I22" s="134"/>
    </row>
    <row r="23" spans="1:36" ht="13.5" thickBot="1">
      <c r="A23" s="1884"/>
      <c r="B23" s="1884"/>
      <c r="C23" s="1884"/>
      <c r="D23" s="1884"/>
      <c r="E23" s="134"/>
      <c r="F23" s="134"/>
      <c r="G23" s="134"/>
      <c r="H23" s="134"/>
      <c r="I23" s="134"/>
    </row>
    <row r="24" spans="1:36" ht="14.25">
      <c r="A24" s="3347" t="s">
        <v>1744</v>
      </c>
      <c r="B24" s="1899" t="s">
        <v>1736</v>
      </c>
      <c r="C24" s="141">
        <f>IF(B30=0,0,D30)</f>
        <v>0</v>
      </c>
      <c r="D24" s="1906"/>
      <c r="E24" s="134"/>
      <c r="F24" s="134"/>
      <c r="G24" s="134"/>
      <c r="H24" s="134"/>
      <c r="I24" s="134"/>
    </row>
    <row r="25" spans="1:36" ht="14.25">
      <c r="A25" s="334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28866</v>
      </c>
      <c r="D32" s="1912" t="s">
        <v>3265</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67" t="s">
        <v>1757</v>
      </c>
      <c r="B36" s="1924" t="s">
        <v>1758</v>
      </c>
      <c r="C36" s="150"/>
      <c r="D36" s="1925"/>
      <c r="E36" s="1926"/>
      <c r="F36" s="1927"/>
      <c r="G36" s="134"/>
      <c r="H36" s="134"/>
      <c r="I36" s="134"/>
    </row>
    <row r="37" spans="1:15" ht="15.75" thickBot="1">
      <c r="A37" s="3368"/>
      <c r="B37" s="1811" t="s">
        <v>1759</v>
      </c>
      <c r="C37" s="152"/>
      <c r="D37" s="1254"/>
      <c r="E37" s="1254"/>
      <c r="F37" s="1927"/>
      <c r="G37" s="134"/>
      <c r="H37" s="134"/>
      <c r="I37" s="134"/>
    </row>
    <row r="38" spans="1:15" ht="15.75" thickBot="1">
      <c r="A38" s="336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4" t="s">
        <v>1771</v>
      </c>
      <c r="B45" s="3345"/>
      <c r="C45" s="3346"/>
      <c r="D45" s="160">
        <f ca="1">ROUND(H101*F45,0)</f>
        <v>28866</v>
      </c>
      <c r="E45" s="161" t="s">
        <v>1772</v>
      </c>
      <c r="F45" s="162">
        <v>1</v>
      </c>
      <c r="G45" s="163" t="s">
        <v>1773</v>
      </c>
      <c r="H45" s="134"/>
      <c r="I45" s="134"/>
      <c r="J45" s="3425" t="s">
        <v>1774</v>
      </c>
      <c r="K45" s="3425"/>
      <c r="L45" s="3425"/>
      <c r="M45" s="3425"/>
      <c r="N45" s="3425"/>
      <c r="O45" s="3425"/>
    </row>
    <row r="46" spans="1:15" ht="14.25" customHeight="1">
      <c r="A46" s="3341" t="s">
        <v>1775</v>
      </c>
      <c r="B46" s="3342"/>
      <c r="C46" s="3342"/>
      <c r="D46" s="3342"/>
      <c r="E46" s="3342"/>
      <c r="F46" s="3342"/>
      <c r="G46" s="3343"/>
      <c r="H46" s="1943"/>
      <c r="I46" s="164"/>
      <c r="J46" s="2699">
        <v>1</v>
      </c>
      <c r="K46" s="3406" t="s">
        <v>1776</v>
      </c>
      <c r="L46" s="3406"/>
      <c r="M46" s="3426"/>
      <c r="N46" s="3426"/>
      <c r="O46" s="3426"/>
    </row>
    <row r="47" spans="1:15" ht="12" customHeight="1">
      <c r="A47" s="165" t="s">
        <v>1777</v>
      </c>
      <c r="B47" s="166"/>
      <c r="C47" s="167"/>
      <c r="D47" s="1200" t="s">
        <v>1778</v>
      </c>
      <c r="E47" s="308" t="s">
        <v>1779</v>
      </c>
      <c r="F47" s="168" t="s">
        <v>1780</v>
      </c>
      <c r="G47" s="2722" t="s">
        <v>1781</v>
      </c>
      <c r="H47" s="2723"/>
      <c r="I47" s="164"/>
      <c r="J47" s="2699">
        <v>2</v>
      </c>
      <c r="K47" s="3406" t="s">
        <v>1782</v>
      </c>
      <c r="L47" s="3406"/>
      <c r="M47" s="3427">
        <f>'数据-取费表'!B2</f>
        <v>44726</v>
      </c>
      <c r="N47" s="3427"/>
      <c r="O47" s="3427"/>
    </row>
    <row r="48" spans="1:15" ht="25.5">
      <c r="A48" s="3372" t="s">
        <v>1783</v>
      </c>
      <c r="B48" s="3355"/>
      <c r="C48" s="3355"/>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06" t="s">
        <v>1785</v>
      </c>
      <c r="L48" s="3406"/>
      <c r="M48" s="3428">
        <f ca="1">H101</f>
        <v>28866</v>
      </c>
      <c r="N48" s="3428"/>
      <c r="O48" s="3428"/>
    </row>
    <row r="49" spans="1:35" ht="25.5" customHeight="1">
      <c r="A49" s="2507" t="s">
        <v>1786</v>
      </c>
      <c r="B49" s="3339" t="s">
        <v>1787</v>
      </c>
      <c r="C49" s="3339"/>
      <c r="D49" s="1726">
        <v>0</v>
      </c>
      <c r="E49" s="330" t="s">
        <v>1788</v>
      </c>
      <c r="F49" s="2600" t="s">
        <v>34</v>
      </c>
      <c r="G49" s="3412"/>
      <c r="H49" s="2479" t="s">
        <v>2634</v>
      </c>
      <c r="I49" s="2480"/>
      <c r="J49" s="2699">
        <v>4</v>
      </c>
      <c r="K49" s="3406" t="str">
        <f>IF(项目基本情况!E8="房地产抵押价值","房地产抵押价值","抵押担保权已注销时的房地产抵押价值")</f>
        <v>房地产抵押价值</v>
      </c>
      <c r="L49" s="3406"/>
      <c r="M49" s="3428">
        <f ca="1">IF(项目基本情况!E8="房地产抵押价值",H107,H109)</f>
        <v>28866</v>
      </c>
      <c r="N49" s="3428"/>
      <c r="O49" s="3428"/>
    </row>
    <row r="50" spans="1:35" ht="25.5" customHeight="1">
      <c r="A50" s="2727"/>
      <c r="B50" s="3339" t="s">
        <v>1789</v>
      </c>
      <c r="C50" s="3339"/>
      <c r="D50" s="2728"/>
      <c r="E50" s="338"/>
      <c r="F50" s="2600"/>
      <c r="G50" s="3413"/>
      <c r="H50" s="2481" t="s">
        <v>2635</v>
      </c>
      <c r="I50" s="2480"/>
      <c r="J50" s="3425" t="s">
        <v>1790</v>
      </c>
      <c r="K50" s="3425"/>
      <c r="L50" s="3425"/>
      <c r="M50" s="3425"/>
      <c r="N50" s="3425"/>
      <c r="O50" s="3425"/>
    </row>
    <row r="51" spans="1:35" ht="20.45" customHeight="1">
      <c r="A51" s="2729"/>
      <c r="B51" s="3339" t="s">
        <v>1791</v>
      </c>
      <c r="C51" s="3339"/>
      <c r="D51" s="1200"/>
      <c r="E51" s="333"/>
      <c r="F51" s="2600"/>
      <c r="G51" s="3414"/>
      <c r="H51" s="2481" t="s">
        <v>2636</v>
      </c>
      <c r="I51" s="2480"/>
      <c r="J51" s="2700" t="s">
        <v>1792</v>
      </c>
      <c r="K51" s="3406" t="s">
        <v>1793</v>
      </c>
      <c r="L51" s="3406"/>
      <c r="M51" s="2700" t="s">
        <v>1794</v>
      </c>
      <c r="N51" s="2700" t="s">
        <v>1795</v>
      </c>
      <c r="O51" s="2700" t="s">
        <v>1796</v>
      </c>
    </row>
    <row r="52" spans="1:35" ht="24" customHeight="1">
      <c r="A52" s="2509" t="s">
        <v>1797</v>
      </c>
      <c r="B52" s="3339" t="s">
        <v>1798</v>
      </c>
      <c r="C52" s="3339"/>
      <c r="D52" s="1200">
        <f ca="1">ROUND(D45*'数据-取费表'!B41/(1+'数据-取费表'!C42),0)</f>
        <v>1540</v>
      </c>
      <c r="E52" s="2508" t="s">
        <v>1799</v>
      </c>
      <c r="F52" s="2730">
        <f>'数据-取费表'!B41</f>
        <v>5.6000000000000001E-2</v>
      </c>
      <c r="G52" s="2731"/>
      <c r="H52" s="2720"/>
      <c r="I52" s="1944"/>
      <c r="J52" s="2699">
        <v>1</v>
      </c>
      <c r="K52" s="3407" t="s">
        <v>1800</v>
      </c>
      <c r="L52" s="3407"/>
      <c r="M52" s="2701" t="b">
        <f>D48</f>
        <v>0</v>
      </c>
      <c r="N52" s="2699" t="str">
        <f>E48</f>
        <v>销售额×税（费）率</v>
      </c>
      <c r="O52" s="2702">
        <f>F48</f>
        <v>5.6000000000000001E-2</v>
      </c>
    </row>
    <row r="53" spans="1:35" ht="12" customHeight="1">
      <c r="A53" s="2509" t="s">
        <v>1801</v>
      </c>
      <c r="B53" s="3365" t="s">
        <v>2791</v>
      </c>
      <c r="C53" s="3366"/>
      <c r="D53" s="1200">
        <f ca="1">ROUND(D45*'数据-取费表'!B41/(1+'数据-取费表'!C42),0)</f>
        <v>1540</v>
      </c>
      <c r="E53" s="2508" t="s">
        <v>1799</v>
      </c>
      <c r="F53" s="2730">
        <f>'数据-取费表'!B41</f>
        <v>5.6000000000000001E-2</v>
      </c>
      <c r="G53" s="2731"/>
      <c r="H53" s="2720"/>
      <c r="I53" s="1944"/>
      <c r="J53" s="2699">
        <v>2</v>
      </c>
      <c r="K53" s="3407" t="s">
        <v>1802</v>
      </c>
      <c r="L53" s="3407"/>
      <c r="M53" s="2701">
        <f t="shared" ref="M53:O54" ca="1" si="0">D55</f>
        <v>14</v>
      </c>
      <c r="N53" s="2699" t="str">
        <f t="shared" si="0"/>
        <v>销售额×税（费）率</v>
      </c>
      <c r="O53" s="2702" t="str">
        <f t="shared" si="0"/>
        <v>免征</v>
      </c>
    </row>
    <row r="54" spans="1:35" ht="12" customHeight="1">
      <c r="A54" s="2509" t="s">
        <v>1803</v>
      </c>
      <c r="B54" s="3365" t="s">
        <v>2792</v>
      </c>
      <c r="C54" s="3366"/>
      <c r="D54" s="1200">
        <f ca="1">C68</f>
        <v>1539</v>
      </c>
      <c r="E54" s="333" t="s">
        <v>1804</v>
      </c>
      <c r="F54" s="2730">
        <f>'数据-取费表'!B41</f>
        <v>5.6000000000000001E-2</v>
      </c>
      <c r="G54" s="2731"/>
      <c r="H54" s="2732"/>
      <c r="I54" s="1944"/>
      <c r="J54" s="2699">
        <v>3</v>
      </c>
      <c r="K54" s="3407" t="s">
        <v>1805</v>
      </c>
      <c r="L54" s="3407"/>
      <c r="M54" s="2701">
        <f t="shared" ca="1" si="0"/>
        <v>16338</v>
      </c>
      <c r="N54" s="2699" t="str">
        <f t="shared" si="0"/>
        <v>增值额×税（费）率</v>
      </c>
      <c r="O54" s="2703" t="str">
        <f t="shared" si="0"/>
        <v>免征</v>
      </c>
    </row>
    <row r="55" spans="1:35" ht="24" customHeight="1">
      <c r="A55" s="3354" t="s">
        <v>1806</v>
      </c>
      <c r="B55" s="3355"/>
      <c r="C55" s="3355"/>
      <c r="D55" s="2498">
        <f ca="1">IF(H55="个人住宅",0,ROUND(D45*I55,0))</f>
        <v>14</v>
      </c>
      <c r="E55" s="2508" t="s">
        <v>1807</v>
      </c>
      <c r="F55" s="2730" t="str">
        <f>IF(H55="正常",I55,"免征")</f>
        <v>免征</v>
      </c>
      <c r="G55" s="2731"/>
      <c r="H55" s="2726"/>
      <c r="I55" s="170">
        <f>'数据-取费表'!B49</f>
        <v>5.0000000000000001E-4</v>
      </c>
      <c r="J55" s="2699">
        <f>IF(H59="非个人房产","",4)</f>
        <v>4</v>
      </c>
      <c r="K55" s="3407" t="str">
        <f>IF(H59="非个人房产","——","个人所得税")</f>
        <v>个人所得税</v>
      </c>
      <c r="L55" s="3407"/>
      <c r="M55" s="2704">
        <f ca="1">D59</f>
        <v>275</v>
      </c>
      <c r="N55" s="2179" t="str">
        <f>E59</f>
        <v>差额计税</v>
      </c>
      <c r="O55" s="2705">
        <f>F59</f>
        <v>0.01</v>
      </c>
    </row>
    <row r="56" spans="1:35" ht="24.75">
      <c r="A56" s="3354" t="s">
        <v>1808</v>
      </c>
      <c r="B56" s="3355"/>
      <c r="C56" s="3355"/>
      <c r="D56" s="2498">
        <f ca="1">IF(H56="个人住宅",D57,D58)</f>
        <v>16338</v>
      </c>
      <c r="E56" s="2508" t="s">
        <v>1809</v>
      </c>
      <c r="F56" s="2730" t="str">
        <f>IF(H56="正常",F58,"免征")</f>
        <v>免征</v>
      </c>
      <c r="G56" s="2733" t="s">
        <v>1810</v>
      </c>
      <c r="H56" s="2734"/>
      <c r="I56" s="1945"/>
      <c r="J56" s="2699" t="str">
        <f>IF(项目基本情况!K6="上海银行",IF(J55="",4,J55+1),"")</f>
        <v/>
      </c>
      <c r="K56" s="3430" t="str">
        <f>IF(项目基本情况!K6="上海银行","其他处置费用","")</f>
        <v/>
      </c>
      <c r="L56" s="3431"/>
      <c r="M56" s="2701" t="str">
        <f>IF(项目基本情况!K6="上海银行",M69,"")</f>
        <v/>
      </c>
      <c r="N56" s="3430" t="str">
        <f>IF(项目基本情况!K6="上海银行","包含处置中涉及的律师、诉讼、拍卖、评估等费用","")</f>
        <v/>
      </c>
      <c r="O56" s="3433"/>
    </row>
    <row r="57" spans="1:35" ht="12.75">
      <c r="A57" s="2509" t="s">
        <v>1786</v>
      </c>
      <c r="B57" s="3365" t="s">
        <v>1811</v>
      </c>
      <c r="C57" s="3366"/>
      <c r="D57" s="1726">
        <v>0</v>
      </c>
      <c r="E57" s="330" t="s">
        <v>1788</v>
      </c>
      <c r="F57" s="308"/>
      <c r="G57" s="2731"/>
      <c r="H57" s="2735"/>
      <c r="I57" s="1945"/>
      <c r="J57" s="3407">
        <f>IF(AND(J55="",J56=""),4,IF(项目基本情况!K6="上海银行",结果表!J56+1,结果表!J55+1))</f>
        <v>5</v>
      </c>
      <c r="K57" s="3407" t="s">
        <v>1812</v>
      </c>
      <c r="L57" s="2706" t="s">
        <v>1813</v>
      </c>
      <c r="M57" s="2707"/>
      <c r="N57" s="2708">
        <f ca="1">SUMIF(M52:M56,"&lt;9e307")</f>
        <v>16627</v>
      </c>
      <c r="O57" s="2709"/>
      <c r="P57" s="2869">
        <f ca="1">N57/M49</f>
        <v>0.57600637428116119</v>
      </c>
    </row>
    <row r="58" spans="1:35" ht="24.75">
      <c r="A58" s="2509" t="s">
        <v>1797</v>
      </c>
      <c r="B58" s="3365" t="s">
        <v>1814</v>
      </c>
      <c r="C58" s="3339"/>
      <c r="D58" s="2498">
        <f ca="1">IF(H58="转让取得",C81,C97)</f>
        <v>16338</v>
      </c>
      <c r="E58" s="2508" t="s">
        <v>1809</v>
      </c>
      <c r="F58" s="308" t="s">
        <v>34</v>
      </c>
      <c r="G58" s="2731"/>
      <c r="H58" s="2734"/>
      <c r="I58" s="1945"/>
      <c r="J58" s="3407"/>
      <c r="K58" s="3407"/>
      <c r="L58" s="2706" t="s">
        <v>1815</v>
      </c>
      <c r="M58" s="2710"/>
      <c r="N58" s="2711" t="str">
        <f ca="1">NUMBERSTRING(INT(N57*10000),2)&amp;"元整"</f>
        <v>壹亿陆仟陆佰贰拾柒万元整</v>
      </c>
      <c r="O58" s="2712"/>
    </row>
    <row r="59" spans="1:35" ht="24.75" thickBot="1">
      <c r="A59" s="3410" t="s">
        <v>1816</v>
      </c>
      <c r="B59" s="3411"/>
      <c r="C59" s="3411"/>
      <c r="D59" s="2736">
        <f ca="1">IF(H59="非个人房产","——",IF(H59="个人住宅（满五唯一有凭证）",0,IF(H59="个人其他（无凭证）",ROUND(D45*F59,0),ROUND(C67*F59,0))))</f>
        <v>275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408">
        <f>J57+1</f>
        <v>6</v>
      </c>
      <c r="K59" s="3407" t="s">
        <v>1817</v>
      </c>
      <c r="L59" s="2699" t="s">
        <v>1813</v>
      </c>
      <c r="M59" s="2713"/>
      <c r="N59" s="2714">
        <f ca="1">M49-N57</f>
        <v>12239</v>
      </c>
      <c r="O59" s="2715"/>
    </row>
    <row r="60" spans="1:35" ht="12" customHeight="1">
      <c r="A60" s="1946"/>
      <c r="B60" s="1884"/>
      <c r="C60" s="1884"/>
      <c r="D60" s="1884"/>
      <c r="E60" s="1714"/>
      <c r="F60" s="1945"/>
      <c r="G60" s="1945"/>
      <c r="H60" s="1947"/>
      <c r="I60" s="134"/>
      <c r="J60" s="3409"/>
      <c r="K60" s="3407"/>
      <c r="L60" s="2706" t="s">
        <v>1815</v>
      </c>
      <c r="M60" s="2710"/>
      <c r="N60" s="2711" t="str">
        <f ca="1">NUMBERSTRING(INT(N59*10000),2)&amp;"元整"</f>
        <v>壹亿贰仟贰佰叁拾玖万元整</v>
      </c>
      <c r="O60" s="2712"/>
    </row>
    <row r="61" spans="1:35" ht="13.5" thickBot="1">
      <c r="A61" s="3352" t="s">
        <v>1818</v>
      </c>
      <c r="B61" s="3352"/>
      <c r="C61" s="3352"/>
      <c r="D61" s="3352"/>
      <c r="E61" s="3352"/>
      <c r="F61" s="1945"/>
      <c r="G61" s="1945"/>
      <c r="H61" s="1947"/>
      <c r="I61" s="134"/>
      <c r="J61" s="2699">
        <f>J59+1</f>
        <v>7</v>
      </c>
      <c r="K61" s="3407" t="s">
        <v>1819</v>
      </c>
      <c r="L61" s="3407"/>
      <c r="M61" s="2716"/>
      <c r="N61" s="2717">
        <f ca="1">ROUND(N59*10000/'数据-汇总表'!E3,0)</f>
        <v>6357</v>
      </c>
      <c r="O61" s="2718"/>
    </row>
    <row r="62" spans="1:35" ht="12.75">
      <c r="A62" s="3370" t="s">
        <v>1820</v>
      </c>
      <c r="B62" s="3371"/>
      <c r="C62" s="2160"/>
      <c r="D62" s="2160" t="s">
        <v>1821</v>
      </c>
      <c r="E62" s="171" t="s">
        <v>1822</v>
      </c>
      <c r="F62" s="1945"/>
      <c r="G62" s="1945"/>
      <c r="H62" s="1947"/>
      <c r="I62" s="134"/>
    </row>
    <row r="63" spans="1:35" ht="12.75">
      <c r="A63" s="178" t="s">
        <v>594</v>
      </c>
      <c r="B63" s="172" t="s">
        <v>1823</v>
      </c>
      <c r="C63" s="2740">
        <f ca="1">ROUND((C64+C65)/(1+'数据-取费表'!C42),0)</f>
        <v>27491</v>
      </c>
      <c r="D63" s="172"/>
      <c r="E63" s="173"/>
      <c r="F63" s="1945"/>
      <c r="G63" s="1945"/>
      <c r="H63" s="1947"/>
      <c r="I63" s="134"/>
      <c r="J63" s="3432" t="s">
        <v>1824</v>
      </c>
      <c r="K63" s="1453" t="s">
        <v>1825</v>
      </c>
      <c r="L63" s="1453">
        <f ca="1">IF(M49&gt;10000,M49*0.5%,IF(AND(M49&gt;1000,M49&lt;=10000),M49*1%,IF(AND(M49&gt;100,M49&lt;=1000),M49*3%,IF(AND(M49&gt;10,M49&lt;=100),M49*5%,M49*8%))))</f>
        <v>144.33000000000001</v>
      </c>
      <c r="M63" s="308">
        <f ca="1">ROUND(L63,1)</f>
        <v>144.30000000000001</v>
      </c>
      <c r="N63" s="2719"/>
      <c r="Z63" s="1889"/>
      <c r="AI63" s="1890"/>
    </row>
    <row r="64" spans="1:35" ht="14.25" customHeight="1">
      <c r="A64" s="174" t="s">
        <v>589</v>
      </c>
      <c r="B64" s="175" t="s">
        <v>1826</v>
      </c>
      <c r="C64" s="2741">
        <f ca="1">D45</f>
        <v>28866</v>
      </c>
      <c r="D64" s="175" t="s">
        <v>32</v>
      </c>
      <c r="E64" s="177"/>
      <c r="F64" s="1945"/>
      <c r="G64" s="1945"/>
      <c r="H64" s="1947"/>
      <c r="I64" s="134"/>
      <c r="J64" s="3432"/>
      <c r="K64" s="1453" t="s">
        <v>1827</v>
      </c>
      <c r="L64" s="1453">
        <f ca="1">IF(M49&gt;2000,M49*0.5%,IF(AND(M49&gt;1000,M49&lt;=2000),M49*0.6%,IF(AND(M49&gt;500,M49&lt;=1000),M49*0.7%,IF(AND(M49&gt;200,M49&lt;=500),M49*0.8%,IF(AND(M49&gt;100,M49&lt;=200),M49*0.9%,IF(AND(M49&gt;50,M49&lt;=100),M49*1%,IF(AND(M49&gt;20,M49&lt;=50),M49*1.5%,IF(AND(M49&gt;10,M49&lt;=20),M49*2%,IF(AND(M49&gt;1,M49&lt;=10),M49*2.5%)))))))))</f>
        <v>144.33000000000001</v>
      </c>
      <c r="M64" s="308">
        <f t="shared" ref="M64:M65" ca="1" si="1">ROUND(L64,1)</f>
        <v>144.30000000000001</v>
      </c>
      <c r="N64" s="2720" t="s">
        <v>1828</v>
      </c>
      <c r="Z64" s="1889"/>
      <c r="AI64" s="1890"/>
    </row>
    <row r="65" spans="1:35" ht="14.25" customHeight="1">
      <c r="A65" s="174" t="s">
        <v>590</v>
      </c>
      <c r="B65" s="175" t="s">
        <v>1829</v>
      </c>
      <c r="C65" s="2742"/>
      <c r="D65" s="175"/>
      <c r="E65" s="177"/>
      <c r="F65" s="1945"/>
      <c r="G65" s="1945"/>
      <c r="H65" s="1947"/>
      <c r="I65" s="134"/>
      <c r="J65" s="3432"/>
      <c r="K65" s="1453" t="s">
        <v>1830</v>
      </c>
      <c r="L65" s="1453">
        <f ca="1">IF(M49&gt;1000,M49*0.1%,IF(AND(M49&gt;500,M49&lt;=1000),M49*0.5%,IF(AND(M49&gt;50,M49&lt;=500),M49*1%,IF(AND(M49&gt;1,M49&lt;=50),M49*1.5%))))</f>
        <v>28.866</v>
      </c>
      <c r="M65" s="308">
        <f t="shared" ca="1" si="1"/>
        <v>28.9</v>
      </c>
      <c r="N65" s="2720" t="s">
        <v>1828</v>
      </c>
      <c r="Z65" s="1889"/>
      <c r="AI65" s="1890"/>
    </row>
    <row r="66" spans="1:35" ht="14.25" customHeight="1">
      <c r="A66" s="178" t="s">
        <v>591</v>
      </c>
      <c r="B66" s="179" t="s">
        <v>1831</v>
      </c>
      <c r="C66" s="2743"/>
      <c r="D66" s="179" t="s">
        <v>32</v>
      </c>
      <c r="E66" s="1460" t="s">
        <v>1096</v>
      </c>
      <c r="F66" s="1945"/>
      <c r="G66" s="1945"/>
      <c r="H66" s="1947"/>
      <c r="I66" s="134"/>
      <c r="J66" s="3432"/>
      <c r="K66" s="1453" t="s">
        <v>1832</v>
      </c>
      <c r="L66" s="1453">
        <f ca="1">M49*0.5%</f>
        <v>144.33000000000001</v>
      </c>
      <c r="M66" s="308">
        <f ca="1">IF(L66&gt;0.5,0.5,ROUND(L66,0))</f>
        <v>0.5</v>
      </c>
      <c r="N66" s="2720" t="s">
        <v>1833</v>
      </c>
      <c r="Z66" s="1889"/>
      <c r="AI66" s="1890"/>
    </row>
    <row r="67" spans="1:35" ht="14.25" customHeight="1">
      <c r="A67" s="178" t="s">
        <v>592</v>
      </c>
      <c r="B67" s="179" t="s">
        <v>1834</v>
      </c>
      <c r="C67" s="2744">
        <f ca="1">C63-C66</f>
        <v>27491</v>
      </c>
      <c r="D67" s="175" t="s">
        <v>32</v>
      </c>
      <c r="E67" s="177"/>
      <c r="F67" s="1945"/>
      <c r="G67" s="1945"/>
      <c r="H67" s="1947"/>
      <c r="I67" s="134"/>
      <c r="J67" s="3432"/>
      <c r="K67" s="1453" t="s">
        <v>1835</v>
      </c>
      <c r="L67" s="1453">
        <f ca="1">IF(M49&gt;=10000,(8.25+(M49-10000)*0.01%),IF(AND(M49&gt;=8000,M49&lt;10000),(7.85+(M49-8000)*0.02%),IF(AND(M49&gt;=5000,M49&lt;8000),(6.65+(M49-5000)*0.04%),IF(AND(M49&gt;=2000,M49&lt;5000),(4.25+(PM49-2000)*0.08%),IF(AND(M49&gt;=1000,M49&lt;2000),(2.75+(M49-1000)*0.15%),IF(AND(M49&gt;=100,M49&lt;1000),(0.5+(M49-100)*0.25%),IF(AND(M49&gt;0,M49&lt;100),M49*0.5%)))))))</f>
        <v>10.1366</v>
      </c>
      <c r="M67" s="308">
        <f ca="1">ROUND(L67*0.9,1)</f>
        <v>9.1</v>
      </c>
      <c r="N67" s="2719"/>
      <c r="Z67" s="1889"/>
      <c r="AI67" s="1890"/>
    </row>
    <row r="68" spans="1:35" ht="14.25" customHeight="1" thickBot="1">
      <c r="A68" s="181" t="s">
        <v>593</v>
      </c>
      <c r="B68" s="182" t="s">
        <v>1836</v>
      </c>
      <c r="C68" s="2745">
        <f ca="1">IF(C67&lt;=0,0,ROUND(C67*D68,0))</f>
        <v>1539</v>
      </c>
      <c r="D68" s="2746">
        <f>'数据-取费表'!B41</f>
        <v>5.6000000000000001E-2</v>
      </c>
      <c r="E68" s="184"/>
      <c r="F68" s="1945"/>
      <c r="G68" s="1945"/>
      <c r="H68" s="1947"/>
      <c r="I68" s="134"/>
      <c r="J68" s="3432"/>
      <c r="K68" s="1453" t="s">
        <v>1837</v>
      </c>
      <c r="L68" s="1453">
        <f ca="1">IF(M49&gt;10000,M49*0.5%,IF(AND(M49&gt;5000,M49&lt;=10000),M49*1%,IF(AND(M49&gt;1000,M49&lt;=5000),M49*2%,IF(AND(M49&gt;200,M49&lt;=1000),M49*3%,M49*5%))))</f>
        <v>144.33000000000001</v>
      </c>
      <c r="M68" s="308">
        <f ca="1">ROUND(L68,1)</f>
        <v>144.30000000000001</v>
      </c>
      <c r="N68" s="2719"/>
      <c r="Z68" s="1889"/>
      <c r="AI68" s="1890"/>
    </row>
    <row r="69" spans="1:35" s="1909" customFormat="1" ht="16.5" customHeight="1">
      <c r="A69" s="1948"/>
      <c r="B69" s="1949"/>
      <c r="C69" s="1950"/>
      <c r="D69" s="1951"/>
      <c r="E69" s="1952"/>
      <c r="F69" s="1714"/>
      <c r="G69" s="1714"/>
      <c r="H69" s="1713"/>
      <c r="I69" s="1884"/>
      <c r="J69" s="3432"/>
      <c r="K69" s="1453" t="s">
        <v>1838</v>
      </c>
      <c r="L69" s="1453"/>
      <c r="M69" s="308">
        <f ca="1">ROUND(SUM(M63:M68),0)</f>
        <v>471</v>
      </c>
      <c r="N69" s="2721">
        <f ca="1">M69/M49</f>
        <v>1.6316774059447099E-2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1" t="s">
        <v>1839</v>
      </c>
      <c r="B70" s="3392"/>
      <c r="C70" s="3392"/>
      <c r="D70" s="3392"/>
      <c r="E70" s="3392"/>
      <c r="F70" s="3392"/>
      <c r="G70" s="3392"/>
      <c r="H70" s="339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0" t="s">
        <v>1820</v>
      </c>
      <c r="B71" s="337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27491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165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5" t="s">
        <v>1847</v>
      </c>
      <c r="F76" s="3339"/>
      <c r="G76" s="3339"/>
      <c r="H76" s="339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165</v>
      </c>
      <c r="D78" s="2753">
        <f>'数据-取费表'!B43</f>
        <v>6.000000000000001E-3</v>
      </c>
      <c r="E78" s="3349" t="s">
        <v>1851</v>
      </c>
      <c r="F78" s="3350"/>
      <c r="G78" s="3350"/>
      <c r="H78" s="335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27326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165.61212121212122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16338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1" t="s">
        <v>1855</v>
      </c>
      <c r="B83" s="3392"/>
      <c r="C83" s="3392"/>
      <c r="D83" s="3392"/>
      <c r="E83" s="3392"/>
      <c r="F83" s="3392"/>
      <c r="G83" s="3392"/>
      <c r="H83" s="339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0" t="s">
        <v>1820</v>
      </c>
      <c r="B84" s="337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27491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165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4" t="s">
        <v>2629</v>
      </c>
      <c r="H90" s="3435"/>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9" t="s">
        <v>1864</v>
      </c>
      <c r="F91" s="3350"/>
      <c r="G91" s="335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9" t="s">
        <v>1867</v>
      </c>
      <c r="F92" s="3350"/>
      <c r="G92" s="3350"/>
      <c r="H92" s="3359"/>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165</v>
      </c>
      <c r="D93" s="2753">
        <f>'数据-取费表'!B43</f>
        <v>6.000000000000001E-3</v>
      </c>
      <c r="E93" s="3349" t="s">
        <v>1851</v>
      </c>
      <c r="F93" s="3350"/>
      <c r="G93" s="3350"/>
      <c r="H93" s="335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0" t="s">
        <v>1871</v>
      </c>
      <c r="F94" s="3361"/>
      <c r="G94" s="3361"/>
      <c r="H94" s="336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27326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165.61212121212122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16338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3" t="s">
        <v>1873</v>
      </c>
      <c r="B100" s="3334"/>
      <c r="C100" s="3334"/>
      <c r="D100" s="3351"/>
      <c r="E100" s="3334" t="s">
        <v>1874</v>
      </c>
      <c r="F100" s="3334"/>
      <c r="G100" s="3334"/>
      <c r="H100" s="3351"/>
      <c r="I100" s="134"/>
    </row>
    <row r="101" spans="1:35" ht="18.75" customHeight="1">
      <c r="A101" s="3415" t="s">
        <v>1875</v>
      </c>
      <c r="B101" s="3416"/>
      <c r="C101" s="2761" t="str">
        <f>C4</f>
        <v>典型户型修正</v>
      </c>
      <c r="D101" s="2762" t="str">
        <f>D4</f>
        <v>收益法</v>
      </c>
      <c r="E101" s="3429" t="s">
        <v>1876</v>
      </c>
      <c r="F101" s="3383"/>
      <c r="G101" s="1964" t="s">
        <v>1877</v>
      </c>
      <c r="H101" s="2771">
        <f ca="1">H118</f>
        <v>28866</v>
      </c>
      <c r="I101" s="134"/>
    </row>
    <row r="102" spans="1:35" ht="18.75" customHeight="1">
      <c r="A102" s="3385" t="s">
        <v>1878</v>
      </c>
      <c r="B102" s="2760" t="s">
        <v>1877</v>
      </c>
      <c r="C102" s="2761">
        <f ca="1">C19</f>
        <v>33262</v>
      </c>
      <c r="D102" s="2762">
        <f ca="1">D19</f>
        <v>22272</v>
      </c>
      <c r="E102" s="3429"/>
      <c r="F102" s="3383"/>
      <c r="G102" s="1964" t="s">
        <v>1879</v>
      </c>
      <c r="H102" s="2731">
        <f ca="1">I118</f>
        <v>14994</v>
      </c>
      <c r="I102" s="134"/>
    </row>
    <row r="103" spans="1:35" ht="42.75" customHeight="1">
      <c r="A103" s="3385"/>
      <c r="B103" s="2760" t="s">
        <v>1879</v>
      </c>
      <c r="C103" s="2763">
        <f ca="1">C20</f>
        <v>17277</v>
      </c>
      <c r="D103" s="2764">
        <f ca="1">D20</f>
        <v>11569</v>
      </c>
      <c r="E103" s="3423" t="s">
        <v>1880</v>
      </c>
      <c r="F103" s="3424"/>
      <c r="G103" s="1965" t="s">
        <v>1881</v>
      </c>
      <c r="H103" s="2771">
        <f>IF(D36="正常操作",H104+H105+H106,H105+H106)</f>
        <v>0</v>
      </c>
      <c r="I103" s="134"/>
    </row>
    <row r="104" spans="1:35" ht="18.75" customHeight="1">
      <c r="A104" s="3385" t="s">
        <v>1882</v>
      </c>
      <c r="B104" s="2765" t="s">
        <v>1877</v>
      </c>
      <c r="C104" s="2766">
        <f ca="1">H118</f>
        <v>28866</v>
      </c>
      <c r="D104" s="2767"/>
      <c r="E104" s="1811" t="s">
        <v>1883</v>
      </c>
      <c r="F104" s="1802"/>
      <c r="G104" s="1965" t="s">
        <v>1881</v>
      </c>
      <c r="H104" s="2772">
        <f>IF(D36="同一抵押权人同一抵押物续贷",C36&amp;"（续贷，未扣减，详见特别提示）",C36)</f>
        <v>0</v>
      </c>
      <c r="I104" s="134"/>
    </row>
    <row r="105" spans="1:35" ht="18.75" customHeight="1" thickBot="1">
      <c r="A105" s="3386"/>
      <c r="B105" s="2768" t="s">
        <v>1879</v>
      </c>
      <c r="C105" s="2769">
        <f ca="1">I118</f>
        <v>14994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2" t="str">
        <f>IF(项目基本情况!E8="已注销","——","3.房地产抵押价值")</f>
        <v>3.房地产抵押价值</v>
      </c>
      <c r="F107" s="3383"/>
      <c r="G107" s="1964" t="s">
        <v>1877</v>
      </c>
      <c r="H107" s="2771">
        <f ca="1">IF(E107="——","——",H101-H103)</f>
        <v>28866</v>
      </c>
      <c r="I107" s="134"/>
    </row>
    <row r="108" spans="1:35" ht="18.75" customHeight="1">
      <c r="A108" s="134"/>
      <c r="B108" s="134"/>
      <c r="C108" s="134"/>
      <c r="D108" s="134"/>
      <c r="E108" s="3382"/>
      <c r="F108" s="3383"/>
      <c r="G108" s="1964" t="s">
        <v>1879</v>
      </c>
      <c r="H108" s="2731">
        <f ca="1">ROUND(H107*10000/'数据-汇总表'!E3,0)</f>
        <v>14994</v>
      </c>
      <c r="I108" s="134"/>
    </row>
    <row r="109" spans="1:35" ht="18.75" customHeight="1">
      <c r="A109" s="134"/>
      <c r="B109" s="134"/>
      <c r="C109" s="134"/>
      <c r="D109" s="134"/>
      <c r="E109" s="3382" t="str">
        <f>IF(项目基本情况!E8="已注销及未注销","4.抵押担保权已注销时的房地产抵押价值",IF(项目基本情况!E8="已注销","3.抵押担保权已注销时的房地产抵押价值","——"))</f>
        <v>——</v>
      </c>
      <c r="F109" s="3383"/>
      <c r="G109" s="1964" t="s">
        <v>1877</v>
      </c>
      <c r="H109" s="2774" t="str">
        <f>IF(E109="——","——",H101-H105-H106)</f>
        <v>——</v>
      </c>
      <c r="I109" s="134"/>
    </row>
    <row r="110" spans="1:35" ht="18.75" customHeight="1">
      <c r="A110" s="134"/>
      <c r="B110" s="134"/>
      <c r="C110" s="134"/>
      <c r="D110" s="134"/>
      <c r="E110" s="3382"/>
      <c r="F110" s="3383"/>
      <c r="G110" s="1964" t="s">
        <v>1879</v>
      </c>
      <c r="H110" s="2731" t="str">
        <f>IF(H109="——","——",ROUND(H109*10000/'数据-汇总表'!E3,0))</f>
        <v>——</v>
      </c>
      <c r="I110" s="134"/>
    </row>
    <row r="111" spans="1:35" ht="18.75" customHeight="1">
      <c r="A111" s="134"/>
      <c r="B111" s="134"/>
      <c r="C111" s="134"/>
      <c r="D111" s="134"/>
      <c r="E111" s="3417" t="str">
        <f>IF(项目基本情况!E9="抵押净值",IF(OR(项目基本情况!E8="已注销",项目基本情况!E8="房地产抵押价值"),"4.抵押净值","5.抵押净值"),"——")</f>
        <v>——</v>
      </c>
      <c r="F111" s="3384"/>
      <c r="G111" s="1964" t="s">
        <v>1877</v>
      </c>
      <c r="H111" s="2771" t="str">
        <f>IF(E111="——","——",N59)</f>
        <v>——</v>
      </c>
      <c r="I111" s="134"/>
    </row>
    <row r="112" spans="1:35" ht="18.75" customHeight="1" thickBot="1">
      <c r="A112" s="134"/>
      <c r="B112" s="134"/>
      <c r="C112" s="134"/>
      <c r="D112" s="134"/>
      <c r="E112" s="3418"/>
      <c r="F112" s="3419"/>
      <c r="G112" s="1967" t="s">
        <v>1879</v>
      </c>
      <c r="H112" s="2775" t="str">
        <f>IF(E111="——","——",N61)</f>
        <v>——</v>
      </c>
      <c r="I112" s="134"/>
    </row>
    <row r="113" spans="1:27" ht="18.75" customHeight="1">
      <c r="A113" s="134"/>
      <c r="B113" s="134"/>
      <c r="C113" s="134"/>
      <c r="D113" s="134"/>
      <c r="E113" s="3387" t="s">
        <v>1885</v>
      </c>
      <c r="F113" s="3387"/>
      <c r="G113" s="3387"/>
      <c r="H113" s="3387"/>
      <c r="I113" s="134"/>
    </row>
    <row r="114" spans="1:27" ht="3.75" customHeight="1">
      <c r="A114" s="1884"/>
      <c r="B114" s="1884"/>
      <c r="C114" s="1884"/>
      <c r="D114" s="1884"/>
      <c r="E114" s="1946"/>
      <c r="F114" s="1946"/>
      <c r="G114" s="1946"/>
      <c r="H114" s="1946"/>
      <c r="I114" s="1884"/>
    </row>
    <row r="115" spans="1:27" ht="18.75" customHeight="1">
      <c r="A115" s="3400" t="s">
        <v>1887</v>
      </c>
      <c r="B115" s="3401"/>
      <c r="C115" s="3401"/>
      <c r="D115" s="3401"/>
      <c r="E115" s="3401"/>
      <c r="F115" s="3401"/>
      <c r="G115" s="3401"/>
      <c r="H115" s="3401"/>
      <c r="I115" s="3402"/>
    </row>
    <row r="116" spans="1:27" ht="27" customHeight="1">
      <c r="A116" s="3353" t="s">
        <v>1888</v>
      </c>
      <c r="B116" s="3388" t="s">
        <v>1889</v>
      </c>
      <c r="C116" s="3388" t="s">
        <v>1890</v>
      </c>
      <c r="D116" s="3404" t="s">
        <v>1891</v>
      </c>
      <c r="E116" s="3405"/>
      <c r="F116" s="3396" t="s">
        <v>1892</v>
      </c>
      <c r="G116" s="3396"/>
      <c r="H116" s="3353" t="s">
        <v>1893</v>
      </c>
      <c r="I116" s="3353"/>
    </row>
    <row r="117" spans="1:27" ht="18.75" customHeight="1">
      <c r="A117" s="3353"/>
      <c r="B117" s="3389"/>
      <c r="C117" s="3389"/>
      <c r="D117" s="2503" t="s">
        <v>1894</v>
      </c>
      <c r="E117" s="2503" t="s">
        <v>1895</v>
      </c>
      <c r="F117" s="2503" t="s">
        <v>1894</v>
      </c>
      <c r="G117" s="2503" t="s">
        <v>1896</v>
      </c>
      <c r="H117" s="2503" t="s">
        <v>1894</v>
      </c>
      <c r="I117" s="2503" t="s">
        <v>1896</v>
      </c>
    </row>
    <row r="118" spans="1:27" ht="24.75" customHeight="1">
      <c r="A118" s="2776" t="str">
        <f>项目基本情况!S2</f>
        <v>房地产</v>
      </c>
      <c r="B118" s="2503">
        <f>M18</f>
        <v>19251.75</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28866</v>
      </c>
      <c r="I118" s="2503">
        <f ca="1">ROUND(IF(D32="楼面单价",C32,H118*10000/B118),0)</f>
        <v>14994</v>
      </c>
    </row>
    <row r="119" spans="1:27" ht="18.75" customHeight="1">
      <c r="A119" s="3353" t="s">
        <v>1897</v>
      </c>
      <c r="B119" s="3353"/>
      <c r="C119" s="3353"/>
      <c r="D119" s="3393" t="e">
        <f ca="1">NUMBERSTRING(INT(D118*10000),2)&amp;"元整"</f>
        <v>#REF!</v>
      </c>
      <c r="E119" s="3395"/>
      <c r="F119" s="3393" t="e">
        <f ca="1">NUMBERSTRING(INT(F118*10000),2)&amp;"元整"</f>
        <v>#REF!</v>
      </c>
      <c r="G119" s="3395"/>
      <c r="H119" s="3393" t="str">
        <f ca="1">NUMBERSTRING(INT(H118*10000),2)&amp;"元整"</f>
        <v>贰亿捌仟捌佰陆拾陆万元整</v>
      </c>
      <c r="I119" s="3395"/>
    </row>
    <row r="120" spans="1:27" ht="18.75" customHeight="1">
      <c r="A120" s="3420" t="str">
        <f>IF(项目基本情况!B9="房地产市场价值","",MID(E103,3,LEN(E103)-2))</f>
        <v>估价师知悉的法定优先受偿款</v>
      </c>
      <c r="B120" s="3421"/>
      <c r="C120" s="3422"/>
      <c r="D120" s="3420">
        <f>H103</f>
        <v>0</v>
      </c>
      <c r="E120" s="3421"/>
      <c r="F120" s="3421"/>
      <c r="G120" s="3421"/>
      <c r="H120" s="3421"/>
      <c r="I120" s="342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7" t="s">
        <v>1897</v>
      </c>
      <c r="B121" s="3398"/>
      <c r="C121" s="3399"/>
      <c r="D121" s="3393" t="str">
        <f>IF(D120=0,"零元整",NUMBERSTRING(INT(D120*10000),2)&amp;"元整")</f>
        <v>零元整</v>
      </c>
      <c r="E121" s="3394"/>
      <c r="F121" s="3394"/>
      <c r="G121" s="3394"/>
      <c r="H121" s="3394"/>
      <c r="I121" s="3395"/>
      <c r="AA121" s="734"/>
    </row>
    <row r="122" spans="1:27" ht="18.75" customHeight="1">
      <c r="A122" s="3384" t="str">
        <f>IF(项目基本情况!B9="房地产市场价值","",MID(E107,3,LEN(E107)-2))</f>
        <v>房地产抵押价值</v>
      </c>
      <c r="B122" s="3384"/>
      <c r="C122" s="3384"/>
      <c r="D122" s="3420">
        <f ca="1">H107</f>
        <v>28866</v>
      </c>
      <c r="E122" s="3421"/>
      <c r="F122" s="3421"/>
      <c r="G122" s="3421"/>
      <c r="H122" s="3421"/>
      <c r="I122" s="3422"/>
      <c r="AA122" s="734"/>
    </row>
    <row r="123" spans="1:27" ht="18.75" customHeight="1">
      <c r="A123" s="3353" t="s">
        <v>1897</v>
      </c>
      <c r="B123" s="3353"/>
      <c r="C123" s="3353"/>
      <c r="D123" s="3393" t="str">
        <f ca="1">NUMBERSTRING(INT(D122*10000),2)&amp;"元整"</f>
        <v>贰亿捌仟捌佰陆拾陆万元整</v>
      </c>
      <c r="E123" s="3394"/>
      <c r="F123" s="3394"/>
      <c r="G123" s="3394"/>
      <c r="H123" s="3394"/>
      <c r="I123" s="3395"/>
      <c r="AA123" s="734"/>
    </row>
    <row r="124" spans="1:27" ht="18.75" customHeight="1">
      <c r="A124" s="3384" t="str">
        <f>IF(项目基本情况!B9="房地产市场价值","",MID(E109,3,LEN(E109)-2))</f>
        <v/>
      </c>
      <c r="B124" s="3384"/>
      <c r="C124" s="3384"/>
      <c r="D124" s="3420" t="str">
        <f>H109</f>
        <v>——</v>
      </c>
      <c r="E124" s="3421"/>
      <c r="F124" s="3421"/>
      <c r="G124" s="3421"/>
      <c r="H124" s="3421"/>
      <c r="I124" s="3422"/>
      <c r="AA124" s="734"/>
    </row>
    <row r="125" spans="1:27" ht="18.75" customHeight="1">
      <c r="A125" s="3353" t="s">
        <v>1897</v>
      </c>
      <c r="B125" s="3353"/>
      <c r="C125" s="3353"/>
      <c r="D125" s="3393" t="e">
        <f>NUMBERSTRING(INT(D124*10000),2)&amp;"元整"</f>
        <v>#VALUE!</v>
      </c>
      <c r="E125" s="3394"/>
      <c r="F125" s="3394"/>
      <c r="G125" s="3394"/>
      <c r="H125" s="3394"/>
      <c r="I125" s="3395"/>
      <c r="AA125" s="734"/>
    </row>
    <row r="126" spans="1:27" ht="18.75" customHeight="1">
      <c r="A126" s="3384" t="str">
        <f>IF(项目基本情况!B9="房地产市场价值","",MID(E111,3,LEN(E111)-2))</f>
        <v/>
      </c>
      <c r="B126" s="3384"/>
      <c r="C126" s="3384"/>
      <c r="D126" s="3420" t="str">
        <f>H111</f>
        <v>——</v>
      </c>
      <c r="E126" s="3421"/>
      <c r="F126" s="3421"/>
      <c r="G126" s="3421"/>
      <c r="H126" s="3421"/>
      <c r="I126" s="3422"/>
      <c r="AA126" s="734"/>
    </row>
    <row r="127" spans="1:27" ht="18.75" customHeight="1">
      <c r="A127" s="3353" t="s">
        <v>1897</v>
      </c>
      <c r="B127" s="3353"/>
      <c r="C127" s="3353"/>
      <c r="D127" s="3393" t="e">
        <f>NUMBERSTRING(INT(D126*10000),2)&amp;"元整"</f>
        <v>#VALUE!</v>
      </c>
      <c r="E127" s="3394"/>
      <c r="F127" s="3394"/>
      <c r="G127" s="3394"/>
      <c r="H127" s="3394"/>
      <c r="I127" s="3395"/>
      <c r="AA127" s="734"/>
    </row>
    <row r="128" spans="1:27" ht="21.75" customHeight="1">
      <c r="A128" s="3403" t="s">
        <v>1898</v>
      </c>
      <c r="B128" s="3403"/>
      <c r="C128" s="3403"/>
      <c r="D128" s="3403"/>
      <c r="E128" s="3403"/>
      <c r="F128" s="3403"/>
      <c r="G128" s="3403"/>
      <c r="H128" s="3403"/>
      <c r="I128" s="340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7448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3869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290</v>
      </c>
      <c r="F9" s="227"/>
      <c r="G9" s="1994"/>
      <c r="H9" s="1252"/>
      <c r="I9" s="1995"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19251.75</v>
      </c>
      <c r="E10" s="231">
        <f>'数据-取费表'!B28</f>
        <v>290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385</v>
      </c>
      <c r="D19" s="939">
        <f ca="1">D9+D10</f>
        <v>19251.75</v>
      </c>
      <c r="E19" s="217">
        <f>'数据-取费表'!B31</f>
        <v>200</v>
      </c>
      <c r="F19" s="237"/>
      <c r="G19" s="1993"/>
    </row>
    <row r="20" spans="1:7" s="220" customFormat="1" ht="13.5" customHeight="1">
      <c r="A20" s="261" t="s">
        <v>1938</v>
      </c>
      <c r="B20" s="216" t="s">
        <v>1939</v>
      </c>
      <c r="C20" s="238">
        <f ca="1">ROUND((C5+C19)*F20,0)</f>
        <v>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16</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529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6325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5776</v>
      </c>
      <c r="D34" s="223"/>
      <c r="E34" s="226"/>
      <c r="F34" s="263">
        <f ca="1">IF('数据-取费表'!B24=0,1,IF(B1="",'数据-取费表'!N16,INDIRECT("'数据-取费表'!n"&amp;$G$1)))</f>
        <v>1</v>
      </c>
      <c r="G34" s="225" t="s">
        <v>1971</v>
      </c>
    </row>
    <row r="35" spans="1:7" ht="13.5" customHeight="1">
      <c r="A35" s="869" t="s">
        <v>615</v>
      </c>
      <c r="B35" s="221" t="s">
        <v>1972</v>
      </c>
      <c r="C35" s="226">
        <f ca="1">ROUND(C34*F35,0)</f>
        <v>173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289</v>
      </c>
      <c r="D37" s="223">
        <f ca="1">D19</f>
        <v>19251.75</v>
      </c>
      <c r="E37" s="255">
        <f>'数据-取费表'!B35</f>
        <v>150</v>
      </c>
      <c r="F37" s="265"/>
      <c r="G37" s="267" t="s">
        <v>1977</v>
      </c>
    </row>
    <row r="38" spans="1:7" ht="13.5" customHeight="1">
      <c r="A38" s="869" t="s">
        <v>618</v>
      </c>
      <c r="B38" s="221" t="s">
        <v>1978</v>
      </c>
      <c r="C38" s="226">
        <f ca="1">ROUND(C34*F38,0)</f>
        <v>87</v>
      </c>
      <c r="D38" s="226"/>
      <c r="E38" s="226"/>
      <c r="F38" s="265">
        <f>'数据-取费表'!B36</f>
        <v>1.4999999999999999E-2</v>
      </c>
      <c r="G38" s="225" t="s">
        <v>1973</v>
      </c>
    </row>
    <row r="39" spans="1:7" s="220" customFormat="1" ht="13.5" customHeight="1">
      <c r="A39" s="261" t="s">
        <v>1979</v>
      </c>
      <c r="B39" s="216" t="s">
        <v>1980</v>
      </c>
      <c r="C39" s="238">
        <f ca="1">ROUND(C33*F20,0)</f>
        <v>127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133</v>
      </c>
      <c r="D42" s="244"/>
      <c r="E42" s="244"/>
      <c r="F42" s="245"/>
      <c r="G42" s="3436" t="s">
        <v>1989</v>
      </c>
    </row>
    <row r="43" spans="1:7" ht="13.5" customHeight="1">
      <c r="A43" s="869" t="s">
        <v>611</v>
      </c>
      <c r="B43" s="221" t="s">
        <v>1990</v>
      </c>
      <c r="C43" s="244">
        <f ca="1">ROUND(IF('数据-取费表'!B22&lt;=1,C39*F22*'数据-取费表'!B21/2,C39*(POWER((1+F22),'数据-取费表'!B21/2)-1)),0)</f>
        <v>3</v>
      </c>
      <c r="D43" s="244"/>
      <c r="E43" s="244"/>
      <c r="F43" s="245"/>
      <c r="G43" s="3437"/>
    </row>
    <row r="44" spans="1:7" ht="13.5" customHeight="1">
      <c r="A44" s="869" t="s">
        <v>612</v>
      </c>
      <c r="B44" s="221" t="s">
        <v>1991</v>
      </c>
      <c r="C44" s="244">
        <f ca="1">ROUND(IF('数据-取费表'!B22&lt;=1,C40*F22*'数据-取费表'!B21/2,C40*(POWER((1+F22),'数据-取费表'!B21/2)-1)),4)</f>
        <v>4.0000000000000002E-4</v>
      </c>
      <c r="D44" s="244"/>
      <c r="E44" s="244"/>
      <c r="F44" s="245"/>
      <c r="G44" s="3438"/>
    </row>
    <row r="45" spans="1:7" s="220" customFormat="1" ht="13.5" customHeight="1">
      <c r="A45" s="261" t="s">
        <v>1992</v>
      </c>
      <c r="B45" s="250" t="s">
        <v>1958</v>
      </c>
      <c r="C45" s="251">
        <f ca="1">C46</f>
        <v>1290</v>
      </c>
      <c r="D45" s="241">
        <f ca="1">C47</f>
        <v>4.0000000000000001E-3</v>
      </c>
      <c r="E45" s="242" t="s">
        <v>1984</v>
      </c>
      <c r="F45" s="2488">
        <f ca="1">F27</f>
        <v>0.2</v>
      </c>
      <c r="G45" s="253" t="s">
        <v>1993</v>
      </c>
    </row>
    <row r="46" spans="1:7" s="220" customFormat="1" ht="13.5" customHeight="1">
      <c r="A46" s="869" t="s">
        <v>610</v>
      </c>
      <c r="B46" s="254" t="s">
        <v>1994</v>
      </c>
      <c r="C46" s="255">
        <f ca="1">ROUND((C33+C39)*F27,0)</f>
        <v>1290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8542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6919</v>
      </c>
      <c r="D51" s="238"/>
      <c r="E51" s="238"/>
      <c r="F51" s="270"/>
      <c r="G51" s="240" t="s">
        <v>2005</v>
      </c>
    </row>
    <row r="52" spans="1:7" s="214" customFormat="1" ht="16.5" thickBot="1">
      <c r="A52" s="271" t="s">
        <v>2006</v>
      </c>
      <c r="B52" s="272"/>
      <c r="C52" s="273">
        <f ca="1">C31+C51</f>
        <v>7448</v>
      </c>
      <c r="D52" s="272"/>
      <c r="E52" s="272"/>
      <c r="F52" s="272"/>
      <c r="G52" s="274"/>
    </row>
    <row r="55" spans="1:7" ht="15">
      <c r="B55" s="276" t="s">
        <v>2007</v>
      </c>
      <c r="C55" s="277"/>
    </row>
    <row r="56" spans="1:7">
      <c r="B56" s="279" t="s">
        <v>1237</v>
      </c>
      <c r="C56" s="281">
        <f ca="1">1-C57</f>
        <v>7.0999999999999952E-2</v>
      </c>
    </row>
    <row r="57" spans="1:7">
      <c r="B57" s="279" t="s">
        <v>1238</v>
      </c>
      <c r="C57" s="280">
        <f ca="1">ROUND(C51/C52,3)</f>
        <v>0.92900000000000005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7" t="str">
        <f>项目基本情况!B1</f>
        <v>房地产抵押价值预评估</v>
      </c>
      <c r="C37" s="3247"/>
      <c r="D37" s="3247"/>
      <c r="E37" s="3247"/>
      <c r="F37" s="3247"/>
      <c r="G37" s="3247"/>
      <c r="H37" s="3247"/>
      <c r="I37" s="324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8213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4266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5583008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5583008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290</v>
      </c>
      <c r="F9" s="227"/>
      <c r="G9" s="232"/>
    </row>
    <row r="10" spans="1:8" s="220" customFormat="1" ht="13.5" customHeight="1">
      <c r="A10" s="868" t="s">
        <v>620</v>
      </c>
      <c r="B10" s="230" t="s">
        <v>1925</v>
      </c>
      <c r="C10" s="231">
        <f ca="1">ROUND(D10*E10,0)</f>
        <v>5583008</v>
      </c>
      <c r="D10" s="935">
        <f ca="1">IF(B1="",'数据-汇总表'!E6,IF(INDIRECT("'数据-取费表'!c"&amp;$G$1)="住宅",INDIRECT("'数据-取费表'!s"&amp;$G$1),INDIRECT("'数据-取费表'!k"&amp;$G$1)+INDIRECT("'数据-取费表'!s"&amp;$G$1)))</f>
        <v>19251.75</v>
      </c>
      <c r="E10" s="231">
        <f>'数据-取费表'!B28</f>
        <v>290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3850350</v>
      </c>
      <c r="D19" s="939">
        <f ca="1">D9+D10</f>
        <v>19251.75</v>
      </c>
      <c r="E19" s="217">
        <f>'数据-取费表'!B31</f>
        <v>200</v>
      </c>
      <c r="F19" s="237"/>
      <c r="G19" s="1993"/>
    </row>
    <row r="20" spans="1:7" s="220" customFormat="1" ht="13.5" customHeight="1">
      <c r="A20" s="261" t="s">
        <v>2019</v>
      </c>
      <c r="B20" s="216" t="s">
        <v>2020</v>
      </c>
      <c r="C20" s="238">
        <f ca="1">ROUND((C5+C19)*F20,0)</f>
        <v>188667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400163</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234486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161715</v>
      </c>
      <c r="D24" s="244"/>
      <c r="E24" s="244"/>
      <c r="F24" s="245"/>
      <c r="G24" s="246" t="s">
        <v>2031</v>
      </c>
    </row>
    <row r="25" spans="1:7" s="220" customFormat="1" ht="24">
      <c r="A25" s="869" t="s">
        <v>1921</v>
      </c>
      <c r="B25" s="221" t="s">
        <v>2032</v>
      </c>
      <c r="C25" s="1243">
        <f ca="1">ROUND(IF('数据-取费表'!B22&lt;=1,C20*F22*'数据-取费表'!B22/2,C20*(POWER((1+F22),'数据-取费表'!B22/2)-1)),0)</f>
        <v>3962</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1924405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1924405</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12953045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63242000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57755250</v>
      </c>
      <c r="D34" s="223"/>
      <c r="E34" s="226"/>
      <c r="F34" s="263"/>
      <c r="G34" s="225"/>
    </row>
    <row r="35" spans="1:7" ht="13.5" customHeight="1">
      <c r="A35" s="869" t="s">
        <v>615</v>
      </c>
      <c r="B35" s="221" t="s">
        <v>1972</v>
      </c>
      <c r="C35" s="226">
        <f ca="1">ROUND(C34*F35,0)</f>
        <v>1732658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2887763</v>
      </c>
      <c r="D37" s="223">
        <f ca="1">D19</f>
        <v>19251.75</v>
      </c>
      <c r="E37" s="255">
        <f>'数据-取费表'!B35</f>
        <v>150</v>
      </c>
      <c r="F37" s="265"/>
      <c r="G37" s="267"/>
    </row>
    <row r="38" spans="1:7" ht="13.5" customHeight="1">
      <c r="A38" s="869" t="s">
        <v>618</v>
      </c>
      <c r="B38" s="221" t="s">
        <v>1978</v>
      </c>
      <c r="C38" s="226">
        <f ca="1">ROUND(C34*F38,0)</f>
        <v>866329</v>
      </c>
      <c r="D38" s="226"/>
      <c r="E38" s="226"/>
      <c r="F38" s="265">
        <f>'数据-取费表'!B36</f>
        <v>1.4999999999999999E-2</v>
      </c>
      <c r="G38" s="225" t="s">
        <v>1973</v>
      </c>
    </row>
    <row r="39" spans="1:7" s="220" customFormat="1" ht="13.5" customHeight="1">
      <c r="A39" s="261" t="s">
        <v>1979</v>
      </c>
      <c r="B39" s="216" t="s">
        <v>1980</v>
      </c>
      <c r="C39" s="238">
        <f ca="1">ROUND(C33*F20,0)</f>
        <v>1264840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1354644</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1328082</v>
      </c>
      <c r="D42" s="244"/>
      <c r="E42" s="244"/>
      <c r="F42" s="245"/>
      <c r="G42" s="3436" t="s">
        <v>2036</v>
      </c>
    </row>
    <row r="43" spans="1:7" ht="13.5" customHeight="1">
      <c r="A43" s="869" t="s">
        <v>611</v>
      </c>
      <c r="B43" s="221" t="s">
        <v>1990</v>
      </c>
      <c r="C43" s="244">
        <f ca="1">ROUND(IF('数据-取费表'!B22&lt;=1,C39*F22*'数据-取费表'!B20/2,C39*(POWER((1+F22),'数据-取费表'!B20/2)-1)),0)</f>
        <v>26562</v>
      </c>
      <c r="D43" s="244"/>
      <c r="E43" s="244"/>
      <c r="F43" s="245"/>
      <c r="G43" s="3437"/>
    </row>
    <row r="44" spans="1:7" ht="13.5" customHeight="1">
      <c r="A44" s="869" t="s">
        <v>612</v>
      </c>
      <c r="B44" s="221" t="s">
        <v>1991</v>
      </c>
      <c r="C44" s="244">
        <f ca="1">ROUND(IF('数据-取费表'!B22&lt;=1,C40*F22*'数据-取费表'!B20/2,C40*(POWER((1+F22),'数据-取费表'!B20/2)-1)),4)</f>
        <v>4.0000000000000002E-4</v>
      </c>
      <c r="D44" s="244"/>
      <c r="E44" s="244"/>
      <c r="F44" s="245"/>
      <c r="G44" s="3438"/>
    </row>
    <row r="45" spans="1:7" s="220" customFormat="1" ht="13.5" customHeight="1">
      <c r="A45" s="261" t="s">
        <v>1992</v>
      </c>
      <c r="B45" s="250" t="s">
        <v>1958</v>
      </c>
      <c r="C45" s="251">
        <f ca="1">C46</f>
        <v>12901368</v>
      </c>
      <c r="D45" s="241">
        <f ca="1">C47</f>
        <v>4.0000000000000001E-3</v>
      </c>
      <c r="E45" s="242" t="s">
        <v>1984</v>
      </c>
      <c r="F45" s="2488">
        <f ca="1">F27</f>
        <v>0.2</v>
      </c>
      <c r="G45" s="253" t="s">
        <v>1993</v>
      </c>
    </row>
    <row r="46" spans="1:7" s="220" customFormat="1" ht="13.5" customHeight="1">
      <c r="A46" s="869" t="s">
        <v>610</v>
      </c>
      <c r="B46" s="254" t="s">
        <v>1994</v>
      </c>
      <c r="C46" s="255">
        <f ca="1">ROUND((C33+C39)*F27,0)</f>
        <v>12901368</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85398300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69172623</v>
      </c>
      <c r="D51" s="238"/>
      <c r="E51" s="238"/>
      <c r="F51" s="270"/>
      <c r="G51" s="240" t="s">
        <v>2005</v>
      </c>
    </row>
    <row r="52" spans="1:7" s="214" customFormat="1" ht="16.5" thickBot="1">
      <c r="A52" s="271" t="s">
        <v>2006</v>
      </c>
      <c r="B52" s="272"/>
      <c r="C52" s="273">
        <f ca="1">C31+C51</f>
        <v>82125668</v>
      </c>
      <c r="D52" s="272"/>
      <c r="E52" s="272"/>
      <c r="F52" s="272"/>
      <c r="G52" s="274"/>
    </row>
    <row r="55" spans="1:7" ht="15">
      <c r="B55" s="276" t="s">
        <v>2007</v>
      </c>
      <c r="C55" s="277"/>
    </row>
    <row r="56" spans="1:7">
      <c r="B56" s="279" t="s">
        <v>1237</v>
      </c>
      <c r="C56" s="281">
        <f ca="1">1-C57</f>
        <v>0.15800000000000003</v>
      </c>
    </row>
    <row r="57" spans="1:7">
      <c r="B57" s="279" t="s">
        <v>1238</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-664</v>
      </c>
      <c r="C2" s="282" t="s">
        <v>2040</v>
      </c>
      <c r="D2" s="282"/>
      <c r="E2" s="2987"/>
      <c r="F2" s="2987"/>
      <c r="G2" s="2987"/>
      <c r="H2" s="2987"/>
      <c r="I2" s="2987"/>
      <c r="J2" s="2987"/>
      <c r="K2" s="2987"/>
    </row>
    <row r="3" spans="1:33" ht="18" customHeight="1" thickBot="1">
      <c r="A3" s="209" t="s">
        <v>1909</v>
      </c>
      <c r="B3" s="210">
        <f ca="1">ROUND(B2*10000/IF(C1="",'数据-汇总表'!E3,INDIRECT("'数据-取费表'!K"&amp;$K$1)),0)</f>
        <v>-345</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19251.75</v>
      </c>
      <c r="E14" s="24">
        <f>'数据-取费表'!B35</f>
        <v>150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19251.75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558</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290</v>
      </c>
      <c r="F19" s="894"/>
      <c r="G19" s="15"/>
      <c r="H19" s="1304"/>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19251.75</v>
      </c>
      <c r="E20" s="24">
        <f>'数据-取费表'!B28</f>
        <v>290</v>
      </c>
      <c r="F20" s="894"/>
      <c r="G20" s="15"/>
      <c r="H20" s="899"/>
      <c r="I20" s="899"/>
      <c r="J20" s="899"/>
      <c r="K20" s="900"/>
    </row>
    <row r="21" spans="1:33" s="893" customFormat="1" ht="13.5" customHeight="1">
      <c r="A21" s="879" t="s">
        <v>621</v>
      </c>
      <c r="B21" s="903" t="s">
        <v>2076</v>
      </c>
      <c r="C21" s="904">
        <f ca="1">C16+C17+C18</f>
        <v>558</v>
      </c>
      <c r="D21" s="905"/>
      <c r="E21" s="287"/>
      <c r="F21" s="287"/>
      <c r="G21" s="136" t="s">
        <v>2077</v>
      </c>
      <c r="H21" s="897"/>
      <c r="I21" s="897"/>
      <c r="J21" s="897"/>
      <c r="K21" s="898"/>
    </row>
    <row r="22" spans="1:33" s="893" customFormat="1" ht="13.5" customHeight="1">
      <c r="A22" s="879" t="s">
        <v>2049</v>
      </c>
      <c r="B22" s="903" t="s">
        <v>2078</v>
      </c>
      <c r="C22" s="904">
        <f ca="1">ROUND(C21*F22,0)</f>
        <v>11</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114</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114</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-664</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9" t="s">
        <v>1127</v>
      </c>
      <c r="C6" s="1187">
        <f ca="1">ROUND(F6*F8*F7*(1-F9),0)</f>
        <v>0</v>
      </c>
      <c r="D6" s="160" t="s">
        <v>2605</v>
      </c>
      <c r="E6" s="308" t="s">
        <v>1129</v>
      </c>
      <c r="F6" s="309">
        <f ca="1">INDIRECT("'数据-取费表'!u"&amp;$G$1)</f>
        <v>0</v>
      </c>
      <c r="G6" s="1519"/>
      <c r="H6" s="1182" t="s">
        <v>822</v>
      </c>
      <c r="I6" s="3439" t="s">
        <v>1127</v>
      </c>
      <c r="J6" s="307">
        <f ca="1">ROUND(M6*M8*M7*(1-M9),0)</f>
        <v>0</v>
      </c>
      <c r="K6" s="1511" t="s">
        <v>2606</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0</v>
      </c>
      <c r="G7" s="1519"/>
      <c r="H7" s="310"/>
      <c r="I7" s="3440"/>
      <c r="J7" s="312"/>
      <c r="K7" s="313"/>
      <c r="L7" s="308" t="s">
        <v>1130</v>
      </c>
      <c r="M7" s="309">
        <f ca="1">F7</f>
        <v>0</v>
      </c>
    </row>
    <row r="8" spans="1:37" ht="18" customHeight="1">
      <c r="A8" s="310"/>
      <c r="B8" s="3440"/>
      <c r="C8" s="312"/>
      <c r="D8" s="313"/>
      <c r="E8" s="308" t="s">
        <v>1131</v>
      </c>
      <c r="F8" s="309">
        <f ca="1">INDIRECT("'数据-取费表'!ai"&amp;$G$1)</f>
        <v>0</v>
      </c>
      <c r="G8" s="1519"/>
      <c r="H8" s="310"/>
      <c r="I8" s="3440"/>
      <c r="J8" s="312"/>
      <c r="K8" s="313"/>
      <c r="L8" s="308" t="s">
        <v>1131</v>
      </c>
      <c r="M8" s="309">
        <f ca="1">INDIRECT("'数据-取费表'!ai"&amp;$G$1)</f>
        <v>0</v>
      </c>
    </row>
    <row r="9" spans="1:37" ht="18" customHeight="1">
      <c r="A9" s="310"/>
      <c r="B9" s="3441"/>
      <c r="C9" s="312"/>
      <c r="D9" s="313"/>
      <c r="E9" s="308" t="s">
        <v>1132</v>
      </c>
      <c r="F9" s="318">
        <f ca="1">INDIRECT("'数据-取费表'!w"&amp;$G$1)</f>
        <v>0</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150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42" t="s">
        <v>1272</v>
      </c>
      <c r="L53" s="344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50" t="s">
        <v>2821</v>
      </c>
      <c r="K2" s="3451"/>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52" t="s">
        <v>2831</v>
      </c>
      <c r="K3" s="3453"/>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52" t="s">
        <v>2833</v>
      </c>
      <c r="K4" s="3453"/>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58" t="s">
        <v>2837</v>
      </c>
      <c r="B6" s="3459"/>
      <c r="C6" s="3460"/>
      <c r="D6" s="3051"/>
      <c r="E6" s="3052"/>
      <c r="F6" s="3053"/>
      <c r="G6" s="3054"/>
      <c r="H6" s="3029"/>
      <c r="I6" s="3030"/>
      <c r="J6" s="3444">
        <v>1</v>
      </c>
      <c r="K6" s="3445"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4"/>
      <c r="K7" s="3446"/>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61" t="s">
        <v>2851</v>
      </c>
      <c r="C8" s="3462"/>
      <c r="D8" s="3070" t="s">
        <v>2852</v>
      </c>
      <c r="E8" s="3071" t="s">
        <v>2853</v>
      </c>
      <c r="F8" s="3072" t="s">
        <v>2854</v>
      </c>
      <c r="G8" s="3073"/>
      <c r="H8" s="3029"/>
      <c r="I8" s="3030"/>
      <c r="J8" s="3444"/>
      <c r="K8" s="3446"/>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61" t="s">
        <v>2857</v>
      </c>
      <c r="C9" s="3462"/>
      <c r="D9" s="3070">
        <f>ROUND(D6*E9,0)</f>
        <v>0</v>
      </c>
      <c r="E9" s="3074"/>
      <c r="F9" s="3075" t="s">
        <v>2858</v>
      </c>
      <c r="G9" s="3054"/>
      <c r="H9" s="3029"/>
      <c r="I9" s="3030"/>
      <c r="J9" s="3444"/>
      <c r="K9" s="3446"/>
      <c r="L9" s="3064" t="s">
        <v>2859</v>
      </c>
      <c r="M9" s="3065"/>
      <c r="N9" s="3041"/>
      <c r="O9" s="3066"/>
      <c r="P9" s="3066"/>
      <c r="Q9" s="3067">
        <v>365</v>
      </c>
      <c r="R9" s="3068">
        <f t="shared" si="0"/>
        <v>0</v>
      </c>
      <c r="S9" s="3022"/>
      <c r="T9" s="3022"/>
      <c r="U9" s="3022"/>
      <c r="V9" s="3030"/>
    </row>
    <row r="10" spans="1:22" s="3034" customFormat="1" ht="13.15" customHeight="1">
      <c r="A10" s="3069">
        <v>2</v>
      </c>
      <c r="B10" s="3461" t="s">
        <v>2860</v>
      </c>
      <c r="C10" s="3462"/>
      <c r="D10" s="3070">
        <f>ROUND(D6*E10,0)</f>
        <v>0</v>
      </c>
      <c r="E10" s="3074"/>
      <c r="F10" s="3075" t="s">
        <v>2861</v>
      </c>
      <c r="G10" s="3054"/>
      <c r="H10" s="3029"/>
      <c r="I10" s="3030"/>
      <c r="J10" s="3444"/>
      <c r="K10" s="3446"/>
      <c r="L10" s="3064" t="s">
        <v>2862</v>
      </c>
      <c r="M10" s="3065"/>
      <c r="N10" s="3041"/>
      <c r="O10" s="3066"/>
      <c r="P10" s="3066"/>
      <c r="Q10" s="3067">
        <v>365</v>
      </c>
      <c r="R10" s="3068">
        <f t="shared" si="0"/>
        <v>0</v>
      </c>
      <c r="S10" s="3022"/>
      <c r="T10" s="3022"/>
      <c r="U10" s="3022"/>
      <c r="V10" s="3030"/>
    </row>
    <row r="11" spans="1:22" s="3034" customFormat="1" ht="13.15" customHeight="1">
      <c r="A11" s="3069">
        <v>3</v>
      </c>
      <c r="B11" s="3461" t="s">
        <v>2863</v>
      </c>
      <c r="C11" s="3462"/>
      <c r="D11" s="3070">
        <f>D12+D14+D15+D16</f>
        <v>0</v>
      </c>
      <c r="E11" s="3076" t="e">
        <f>D11/D6</f>
        <v>#DIV/0!</v>
      </c>
      <c r="F11" s="3072"/>
      <c r="G11" s="3073"/>
      <c r="H11" s="3029"/>
      <c r="I11" s="3030"/>
      <c r="J11" s="3444"/>
      <c r="K11" s="3446"/>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54" t="s">
        <v>2866</v>
      </c>
      <c r="C12" s="3455"/>
      <c r="D12" s="3078">
        <f>ROUND(D13*1.2%*(1-30%),0)</f>
        <v>0</v>
      </c>
      <c r="E12" s="3079">
        <v>1.2E-2</v>
      </c>
      <c r="F12" s="3072" t="s">
        <v>2867</v>
      </c>
      <c r="G12" s="3073"/>
      <c r="H12" s="3029"/>
      <c r="I12" s="3030"/>
      <c r="J12" s="3444"/>
      <c r="K12" s="3446"/>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4"/>
      <c r="K13" s="3446"/>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54" t="s">
        <v>2872</v>
      </c>
      <c r="C14" s="3455"/>
      <c r="D14" s="3078">
        <f>ROUND(E14*B5/10000,0)</f>
        <v>0</v>
      </c>
      <c r="E14" s="3067"/>
      <c r="F14" s="3072" t="s">
        <v>2873</v>
      </c>
      <c r="G14" s="3073"/>
      <c r="H14" s="3029"/>
      <c r="I14" s="3030"/>
      <c r="J14" s="3444"/>
      <c r="K14" s="3447"/>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54" t="s">
        <v>2876</v>
      </c>
      <c r="C15" s="3455"/>
      <c r="D15" s="3078">
        <f>ROUND(D6*E15,0)</f>
        <v>0</v>
      </c>
      <c r="E15" s="3079">
        <v>5.5E-2</v>
      </c>
      <c r="F15" s="3072" t="s">
        <v>2877</v>
      </c>
      <c r="G15" s="3054"/>
      <c r="H15" s="3029"/>
      <c r="I15" s="3030"/>
      <c r="J15" s="3444">
        <v>2</v>
      </c>
      <c r="K15" s="3445"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54" t="s">
        <v>2885</v>
      </c>
      <c r="C16" s="3455"/>
      <c r="D16" s="3089">
        <f>D6*E16</f>
        <v>0</v>
      </c>
      <c r="E16" s="3090"/>
      <c r="F16" s="3075" t="s">
        <v>2886</v>
      </c>
      <c r="G16" s="3054"/>
      <c r="H16" s="3029"/>
      <c r="I16" s="3030"/>
      <c r="J16" s="3444"/>
      <c r="K16" s="3446"/>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56" t="s">
        <v>2888</v>
      </c>
      <c r="C17" s="3457"/>
      <c r="D17" s="3092">
        <f>ROUND(D6*E17,0)</f>
        <v>0</v>
      </c>
      <c r="E17" s="3093"/>
      <c r="F17" s="3094" t="s">
        <v>2889</v>
      </c>
      <c r="G17" s="3054"/>
      <c r="H17" s="3029"/>
      <c r="I17" s="3030"/>
      <c r="J17" s="3444"/>
      <c r="K17" s="3446"/>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4"/>
      <c r="K18" s="3446"/>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4"/>
      <c r="K19" s="3447"/>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4">
        <v>3</v>
      </c>
      <c r="K20" s="3445"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4"/>
      <c r="K21" s="3446"/>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4"/>
      <c r="K22" s="3446"/>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4"/>
      <c r="K23" s="3446"/>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4"/>
      <c r="K24" s="3447"/>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48">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4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50" t="s">
        <v>2821</v>
      </c>
      <c r="K32" s="3451"/>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52" t="s">
        <v>2831</v>
      </c>
      <c r="K33" s="3453"/>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52" t="s">
        <v>2833</v>
      </c>
      <c r="K34" s="345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4">
        <v>1</v>
      </c>
      <c r="K36" s="3445"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4"/>
      <c r="K37" s="3446"/>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4"/>
      <c r="K38" s="3446"/>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4"/>
      <c r="K39" s="3446"/>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4"/>
      <c r="K40" s="3447"/>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8">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4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22272</v>
      </c>
      <c r="C2" s="2009" t="s">
        <v>2099</v>
      </c>
      <c r="D2" s="2010" t="s">
        <v>2100</v>
      </c>
      <c r="E2" s="2783">
        <f>SUM(E6:E13)</f>
        <v>19251.75</v>
      </c>
      <c r="F2" s="2886"/>
      <c r="G2" s="1625"/>
      <c r="H2" s="1625"/>
      <c r="I2" s="1625"/>
      <c r="J2" s="1625"/>
      <c r="K2" s="1625"/>
      <c r="L2" s="1625"/>
      <c r="M2" s="1625"/>
      <c r="N2" s="1625"/>
      <c r="O2" s="1625"/>
      <c r="P2" s="1625"/>
      <c r="Q2" s="1625"/>
      <c r="R2" s="1625"/>
      <c r="S2" s="1625"/>
    </row>
    <row r="3" spans="1:22" ht="15.75">
      <c r="A3" s="2007" t="s">
        <v>1119</v>
      </c>
      <c r="B3" s="2777">
        <f ca="1">ROUND(B2*10000/E2,0)</f>
        <v>11569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3" t="s">
        <v>2102</v>
      </c>
      <c r="C5" s="3464"/>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22272</v>
      </c>
      <c r="C6" s="2009" t="s">
        <v>2099</v>
      </c>
      <c r="D6" s="2888"/>
      <c r="E6" s="2782">
        <f>IF(OR(A6=0,F6="否"),0,'数据-取费表'!K6+'数据-取费表'!S6)</f>
        <v>19251.75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19251.75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3" t="s">
        <v>2116</v>
      </c>
      <c r="D4" s="3484"/>
      <c r="E4" s="3485" t="s">
        <v>2117</v>
      </c>
      <c r="F4" s="3486"/>
      <c r="G4" s="3483" t="s">
        <v>2118</v>
      </c>
      <c r="H4" s="3484"/>
      <c r="I4" s="3483" t="s">
        <v>2119</v>
      </c>
      <c r="J4" s="3484"/>
      <c r="K4" s="2026" t="s">
        <v>2120</v>
      </c>
      <c r="L4" s="2894"/>
      <c r="M4" s="2895"/>
      <c r="N4" s="2895"/>
      <c r="O4" s="2895"/>
      <c r="P4" s="3487" t="s">
        <v>2121</v>
      </c>
      <c r="Q4" s="3488"/>
      <c r="R4" s="3493" t="s">
        <v>2117</v>
      </c>
      <c r="S4" s="3494"/>
      <c r="T4" s="3493" t="s">
        <v>2118</v>
      </c>
      <c r="U4" s="3494"/>
      <c r="V4" s="3499" t="s">
        <v>2119</v>
      </c>
      <c r="W4" s="3499"/>
      <c r="X4" s="1490"/>
      <c r="Y4" s="3493" t="s">
        <v>2121</v>
      </c>
      <c r="Z4" s="3494"/>
      <c r="AA4" s="3480" t="s">
        <v>2117</v>
      </c>
      <c r="AB4" s="3480" t="s">
        <v>2118</v>
      </c>
      <c r="AC4" s="3480" t="s">
        <v>2119</v>
      </c>
    </row>
    <row r="5" spans="1:29" ht="15">
      <c r="A5" s="364"/>
      <c r="B5" s="365"/>
      <c r="C5" s="3502" t="s">
        <v>2122</v>
      </c>
      <c r="D5" s="3503"/>
      <c r="E5" s="3509" t="s">
        <v>2123</v>
      </c>
      <c r="F5" s="3510"/>
      <c r="G5" s="3502" t="s">
        <v>2124</v>
      </c>
      <c r="H5" s="3503"/>
      <c r="I5" s="3502" t="s">
        <v>2125</v>
      </c>
      <c r="J5" s="3503"/>
      <c r="K5" s="202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202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4" t="s">
        <v>2129</v>
      </c>
      <c r="Q7" s="3506"/>
      <c r="R7" s="710" t="s">
        <v>23</v>
      </c>
      <c r="S7" s="711">
        <f t="shared" ref="S7:S15" si="0">F7</f>
        <v>0</v>
      </c>
      <c r="T7" s="710" t="s">
        <v>23</v>
      </c>
      <c r="U7" s="711">
        <f t="shared" ref="U7:U15" si="1">H7</f>
        <v>0</v>
      </c>
      <c r="V7" s="710" t="s">
        <v>23</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4" t="s">
        <v>2132</v>
      </c>
      <c r="Q8" s="3505"/>
      <c r="R8" s="710" t="s">
        <v>23</v>
      </c>
      <c r="S8" s="711">
        <f t="shared" si="0"/>
        <v>0</v>
      </c>
      <c r="T8" s="710" t="s">
        <v>23</v>
      </c>
      <c r="U8" s="711">
        <f t="shared" si="1"/>
        <v>0</v>
      </c>
      <c r="V8" s="710" t="s">
        <v>23</v>
      </c>
      <c r="W8" s="711">
        <f t="shared" si="2"/>
        <v>0</v>
      </c>
      <c r="X8" s="712"/>
      <c r="Y8" s="3504" t="s">
        <v>2132</v>
      </c>
      <c r="Z8" s="350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9"/>
      <c r="Q11" s="1478" t="str">
        <f t="shared" si="6"/>
        <v>容积率</v>
      </c>
      <c r="R11" s="710" t="s">
        <v>21</v>
      </c>
      <c r="S11" s="711" t="e">
        <f t="shared" si="0"/>
        <v>#N/A</v>
      </c>
      <c r="T11" s="710" t="s">
        <v>21</v>
      </c>
      <c r="U11" s="711" t="e">
        <f t="shared" si="1"/>
        <v>#N/A</v>
      </c>
      <c r="V11" s="710" t="s">
        <v>21</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9"/>
      <c r="Q12" s="1478">
        <f t="shared" si="6"/>
        <v>111</v>
      </c>
      <c r="R12" s="710" t="s">
        <v>21</v>
      </c>
      <c r="S12" s="711">
        <f t="shared" si="0"/>
        <v>100</v>
      </c>
      <c r="T12" s="710" t="s">
        <v>21</v>
      </c>
      <c r="U12" s="711">
        <f t="shared" si="1"/>
        <v>100</v>
      </c>
      <c r="V12" s="710" t="s">
        <v>21</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9"/>
      <c r="Q13" s="1478">
        <f t="shared" si="6"/>
        <v>111</v>
      </c>
      <c r="R13" s="710" t="s">
        <v>21</v>
      </c>
      <c r="S13" s="711">
        <f t="shared" si="0"/>
        <v>100</v>
      </c>
      <c r="T13" s="710" t="s">
        <v>21</v>
      </c>
      <c r="U13" s="711">
        <f t="shared" si="1"/>
        <v>100</v>
      </c>
      <c r="V13" s="710" t="s">
        <v>21</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9"/>
      <c r="Q14" s="1478">
        <f t="shared" si="6"/>
        <v>111</v>
      </c>
      <c r="R14" s="710" t="s">
        <v>21</v>
      </c>
      <c r="S14" s="711">
        <f t="shared" si="0"/>
        <v>100</v>
      </c>
      <c r="T14" s="710" t="s">
        <v>21</v>
      </c>
      <c r="U14" s="711">
        <f t="shared" si="1"/>
        <v>100</v>
      </c>
      <c r="V14" s="710" t="s">
        <v>21</v>
      </c>
      <c r="W14" s="711">
        <f t="shared" si="2"/>
        <v>100</v>
      </c>
      <c r="X14" s="712"/>
      <c r="Y14" s="3340"/>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7" t="s">
        <v>2140</v>
      </c>
      <c r="Q15" s="1487" t="str">
        <f t="shared" si="6"/>
        <v>居住社区成熟度</v>
      </c>
      <c r="R15" s="714" t="s">
        <v>21</v>
      </c>
      <c r="S15" s="715">
        <f t="shared" si="0"/>
        <v>100</v>
      </c>
      <c r="T15" s="714" t="s">
        <v>21</v>
      </c>
      <c r="U15" s="715">
        <f t="shared" si="1"/>
        <v>100</v>
      </c>
      <c r="V15" s="714" t="s">
        <v>21</v>
      </c>
      <c r="W15" s="715">
        <f t="shared" si="2"/>
        <v>100</v>
      </c>
      <c r="X15" s="1490"/>
      <c r="Y15" s="3470"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8"/>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8"/>
      <c r="Q17" s="1487" t="str">
        <f>B17</f>
        <v>交通便捷度</v>
      </c>
      <c r="R17" s="714" t="s">
        <v>21</v>
      </c>
      <c r="S17" s="715">
        <f>F17</f>
        <v>100</v>
      </c>
      <c r="T17" s="714" t="s">
        <v>21</v>
      </c>
      <c r="U17" s="715">
        <f>H17</f>
        <v>100</v>
      </c>
      <c r="V17" s="714" t="s">
        <v>21</v>
      </c>
      <c r="W17" s="715">
        <f>J17</f>
        <v>100</v>
      </c>
      <c r="X17" s="1490"/>
      <c r="Y17" s="347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8"/>
      <c r="Q18" s="1487"/>
      <c r="R18" s="714"/>
      <c r="S18" s="715"/>
      <c r="T18" s="714"/>
      <c r="U18" s="715"/>
      <c r="V18" s="714"/>
      <c r="W18" s="715"/>
      <c r="X18" s="1490"/>
      <c r="Y18" s="3471"/>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8"/>
      <c r="Q19" s="1487" t="str">
        <f>B19</f>
        <v>公共配套设施</v>
      </c>
      <c r="R19" s="714" t="s">
        <v>21</v>
      </c>
      <c r="S19" s="715">
        <f>F19</f>
        <v>100</v>
      </c>
      <c r="T19" s="714" t="s">
        <v>21</v>
      </c>
      <c r="U19" s="715">
        <f>H19</f>
        <v>100</v>
      </c>
      <c r="V19" s="714" t="s">
        <v>21</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8"/>
      <c r="Q20" s="1487"/>
      <c r="R20" s="714"/>
      <c r="S20" s="715"/>
      <c r="T20" s="714"/>
      <c r="U20" s="715"/>
      <c r="V20" s="714"/>
      <c r="W20" s="715"/>
      <c r="X20" s="1490"/>
      <c r="Y20" s="3471"/>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8"/>
      <c r="Q22" s="1487"/>
      <c r="R22" s="714"/>
      <c r="S22" s="715"/>
      <c r="T22" s="714"/>
      <c r="U22" s="715"/>
      <c r="V22" s="714"/>
      <c r="W22" s="715"/>
      <c r="X22" s="1490"/>
      <c r="Y22" s="3471"/>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8"/>
      <c r="Q23" s="1487" t="str">
        <f>B23</f>
        <v>自然及人文环境</v>
      </c>
      <c r="R23" s="714" t="s">
        <v>21</v>
      </c>
      <c r="S23" s="715">
        <f>F23</f>
        <v>100</v>
      </c>
      <c r="T23" s="714" t="s">
        <v>21</v>
      </c>
      <c r="U23" s="715">
        <f>H23</f>
        <v>100</v>
      </c>
      <c r="V23" s="714" t="s">
        <v>21</v>
      </c>
      <c r="W23" s="715">
        <f>J23</f>
        <v>100</v>
      </c>
      <c r="X23" s="1490"/>
      <c r="Y23" s="347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8"/>
      <c r="Q24" s="1487"/>
      <c r="R24" s="714"/>
      <c r="S24" s="715"/>
      <c r="T24" s="714"/>
      <c r="U24" s="715"/>
      <c r="V24" s="714"/>
      <c r="W24" s="715"/>
      <c r="X24" s="1490"/>
      <c r="Y24" s="3471"/>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8"/>
      <c r="Q26" s="1487" t="str">
        <f t="shared" si="11"/>
        <v>朝向</v>
      </c>
      <c r="R26" s="714" t="s">
        <v>21</v>
      </c>
      <c r="S26" s="715">
        <f t="shared" si="12"/>
        <v>100</v>
      </c>
      <c r="T26" s="714" t="s">
        <v>21</v>
      </c>
      <c r="U26" s="715">
        <f t="shared" si="13"/>
        <v>100</v>
      </c>
      <c r="V26" s="714" t="s">
        <v>21</v>
      </c>
      <c r="W26" s="715">
        <f t="shared" si="14"/>
        <v>100</v>
      </c>
      <c r="X26" s="1490"/>
      <c r="Y26" s="347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8"/>
      <c r="Q27" s="1478">
        <f t="shared" si="11"/>
        <v>111</v>
      </c>
      <c r="R27" s="710" t="s">
        <v>21</v>
      </c>
      <c r="S27" s="711">
        <f t="shared" si="12"/>
        <v>100</v>
      </c>
      <c r="T27" s="710" t="s">
        <v>21</v>
      </c>
      <c r="U27" s="711">
        <f t="shared" si="13"/>
        <v>100</v>
      </c>
      <c r="V27" s="710" t="s">
        <v>21</v>
      </c>
      <c r="W27" s="711">
        <f t="shared" si="14"/>
        <v>100</v>
      </c>
      <c r="X27" s="712"/>
      <c r="Y27" s="347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8"/>
      <c r="Q28" s="1487">
        <f t="shared" si="11"/>
        <v>111</v>
      </c>
      <c r="R28" s="714" t="s">
        <v>21</v>
      </c>
      <c r="S28" s="715">
        <f t="shared" si="12"/>
        <v>100</v>
      </c>
      <c r="T28" s="714" t="s">
        <v>21</v>
      </c>
      <c r="U28" s="715">
        <f t="shared" si="13"/>
        <v>100</v>
      </c>
      <c r="V28" s="714" t="s">
        <v>21</v>
      </c>
      <c r="W28" s="715">
        <f t="shared" si="14"/>
        <v>100</v>
      </c>
      <c r="X28" s="1490"/>
      <c r="Y28" s="347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8"/>
      <c r="Q29" s="1487">
        <f t="shared" si="11"/>
        <v>111</v>
      </c>
      <c r="R29" s="714" t="s">
        <v>21</v>
      </c>
      <c r="S29" s="715">
        <f t="shared" si="12"/>
        <v>100</v>
      </c>
      <c r="T29" s="714" t="s">
        <v>21</v>
      </c>
      <c r="U29" s="715">
        <f t="shared" si="13"/>
        <v>100</v>
      </c>
      <c r="V29" s="714" t="s">
        <v>21</v>
      </c>
      <c r="W29" s="715">
        <f t="shared" si="14"/>
        <v>100</v>
      </c>
      <c r="X29" s="1490"/>
      <c r="Y29" s="347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8"/>
      <c r="Q30" s="1487">
        <f t="shared" si="11"/>
        <v>111</v>
      </c>
      <c r="R30" s="714" t="s">
        <v>21</v>
      </c>
      <c r="S30" s="715">
        <f t="shared" si="12"/>
        <v>100</v>
      </c>
      <c r="T30" s="714" t="s">
        <v>21</v>
      </c>
      <c r="U30" s="715">
        <f t="shared" si="13"/>
        <v>100</v>
      </c>
      <c r="V30" s="714" t="s">
        <v>21</v>
      </c>
      <c r="W30" s="715">
        <f t="shared" si="14"/>
        <v>100</v>
      </c>
      <c r="X30" s="1490"/>
      <c r="Y30" s="347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8"/>
      <c r="Q31" s="1487">
        <f t="shared" si="11"/>
        <v>111</v>
      </c>
      <c r="R31" s="714" t="s">
        <v>21</v>
      </c>
      <c r="S31" s="715">
        <f t="shared" si="12"/>
        <v>100</v>
      </c>
      <c r="T31" s="714" t="s">
        <v>21</v>
      </c>
      <c r="U31" s="715">
        <f t="shared" si="13"/>
        <v>100</v>
      </c>
      <c r="V31" s="714" t="s">
        <v>21</v>
      </c>
      <c r="W31" s="715">
        <f t="shared" si="14"/>
        <v>100</v>
      </c>
      <c r="X31" s="1490"/>
      <c r="Y31" s="3471"/>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72" t="s">
        <v>2145</v>
      </c>
      <c r="Q32" s="1487" t="str">
        <f t="shared" si="11"/>
        <v>建筑类型</v>
      </c>
      <c r="R32" s="714" t="s">
        <v>21</v>
      </c>
      <c r="S32" s="715">
        <f t="shared" si="12"/>
        <v>100</v>
      </c>
      <c r="T32" s="714" t="s">
        <v>21</v>
      </c>
      <c r="U32" s="715">
        <f t="shared" si="13"/>
        <v>100</v>
      </c>
      <c r="V32" s="714" t="s">
        <v>21</v>
      </c>
      <c r="W32" s="715">
        <f t="shared" si="14"/>
        <v>100</v>
      </c>
      <c r="X32" s="1490"/>
      <c r="Y32" s="347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3"/>
      <c r="Q33" s="716" t="str">
        <f t="shared" si="11"/>
        <v>项目建筑规模</v>
      </c>
      <c r="R33" s="717" t="s">
        <v>21</v>
      </c>
      <c r="S33" s="718" t="e">
        <f t="shared" si="12"/>
        <v>#N/A</v>
      </c>
      <c r="T33" s="717" t="s">
        <v>21</v>
      </c>
      <c r="U33" s="718" t="e">
        <f t="shared" si="13"/>
        <v>#N/A</v>
      </c>
      <c r="V33" s="717" t="s">
        <v>21</v>
      </c>
      <c r="W33" s="718" t="e">
        <f t="shared" si="14"/>
        <v>#N/A</v>
      </c>
      <c r="X33" s="719"/>
      <c r="Y33" s="3475"/>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3"/>
      <c r="Q34" s="1487" t="str">
        <f t="shared" si="11"/>
        <v>建筑结构</v>
      </c>
      <c r="R34" s="714" t="s">
        <v>21</v>
      </c>
      <c r="S34" s="715">
        <f t="shared" si="12"/>
        <v>100</v>
      </c>
      <c r="T34" s="714" t="s">
        <v>21</v>
      </c>
      <c r="U34" s="715">
        <f t="shared" si="13"/>
        <v>100</v>
      </c>
      <c r="V34" s="714" t="s">
        <v>21</v>
      </c>
      <c r="W34" s="715">
        <f t="shared" si="14"/>
        <v>100</v>
      </c>
      <c r="X34" s="1490"/>
      <c r="Y34" s="3475"/>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3"/>
      <c r="Q35" s="1487" t="str">
        <f t="shared" si="11"/>
        <v>建筑品质</v>
      </c>
      <c r="R35" s="714" t="s">
        <v>21</v>
      </c>
      <c r="S35" s="715">
        <f t="shared" si="12"/>
        <v>100</v>
      </c>
      <c r="T35" s="714" t="s">
        <v>21</v>
      </c>
      <c r="U35" s="715">
        <f t="shared" si="13"/>
        <v>100</v>
      </c>
      <c r="V35" s="714" t="s">
        <v>21</v>
      </c>
      <c r="W35" s="715">
        <f t="shared" si="14"/>
        <v>100</v>
      </c>
      <c r="X35" s="1490"/>
      <c r="Y35" s="3475"/>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3"/>
      <c r="Q36" s="1487" t="str">
        <f t="shared" si="11"/>
        <v>公共部分装修</v>
      </c>
      <c r="R36" s="714" t="s">
        <v>21</v>
      </c>
      <c r="S36" s="715">
        <f t="shared" si="12"/>
        <v>100</v>
      </c>
      <c r="T36" s="714" t="s">
        <v>21</v>
      </c>
      <c r="U36" s="715">
        <f t="shared" si="13"/>
        <v>100</v>
      </c>
      <c r="V36" s="714" t="s">
        <v>21</v>
      </c>
      <c r="W36" s="715">
        <f t="shared" si="14"/>
        <v>100</v>
      </c>
      <c r="X36" s="1490"/>
      <c r="Y36" s="347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3"/>
      <c r="Q37" s="1478" t="str">
        <f t="shared" si="11"/>
        <v>成新度</v>
      </c>
      <c r="R37" s="710" t="s">
        <v>21</v>
      </c>
      <c r="S37" s="711" t="e">
        <f t="shared" si="12"/>
        <v>#N/A</v>
      </c>
      <c r="T37" s="710" t="s">
        <v>21</v>
      </c>
      <c r="U37" s="711" t="e">
        <f t="shared" si="13"/>
        <v>#N/A</v>
      </c>
      <c r="V37" s="710" t="s">
        <v>21</v>
      </c>
      <c r="W37" s="711" t="e">
        <f t="shared" si="14"/>
        <v>#N/A</v>
      </c>
      <c r="X37" s="712"/>
      <c r="Y37" s="3475"/>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3" t="s">
        <v>2145</v>
      </c>
      <c r="Q38" s="1487" t="str">
        <f t="shared" si="11"/>
        <v>物业管理</v>
      </c>
      <c r="R38" s="714" t="s">
        <v>21</v>
      </c>
      <c r="S38" s="715">
        <f t="shared" si="12"/>
        <v>100</v>
      </c>
      <c r="T38" s="714" t="s">
        <v>21</v>
      </c>
      <c r="U38" s="715">
        <f t="shared" si="13"/>
        <v>100</v>
      </c>
      <c r="V38" s="714" t="s">
        <v>21</v>
      </c>
      <c r="W38" s="715">
        <f t="shared" si="14"/>
        <v>100</v>
      </c>
      <c r="X38" s="1490"/>
      <c r="Y38" s="3475"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3"/>
      <c r="Q39" s="1487" t="str">
        <f t="shared" si="11"/>
        <v>市政基础设施</v>
      </c>
      <c r="R39" s="714" t="s">
        <v>21</v>
      </c>
      <c r="S39" s="715">
        <f t="shared" si="12"/>
        <v>100</v>
      </c>
      <c r="T39" s="714" t="s">
        <v>21</v>
      </c>
      <c r="U39" s="715">
        <f t="shared" si="13"/>
        <v>100</v>
      </c>
      <c r="V39" s="714" t="s">
        <v>21</v>
      </c>
      <c r="W39" s="715">
        <f t="shared" si="14"/>
        <v>100</v>
      </c>
      <c r="X39" s="1490"/>
      <c r="Y39" s="3475"/>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3"/>
      <c r="Q40" s="1487" t="str">
        <f t="shared" si="11"/>
        <v>房型</v>
      </c>
      <c r="R40" s="714" t="s">
        <v>21</v>
      </c>
      <c r="S40" s="715">
        <f t="shared" si="12"/>
        <v>100</v>
      </c>
      <c r="T40" s="714" t="s">
        <v>21</v>
      </c>
      <c r="U40" s="715">
        <f t="shared" si="13"/>
        <v>100</v>
      </c>
      <c r="V40" s="714" t="s">
        <v>21</v>
      </c>
      <c r="W40" s="715">
        <f t="shared" si="14"/>
        <v>100</v>
      </c>
      <c r="X40" s="1490"/>
      <c r="Y40" s="347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3"/>
      <c r="Q41" s="716" t="str">
        <f t="shared" si="11"/>
        <v>单套/主力户型建筑面积</v>
      </c>
      <c r="R41" s="717" t="s">
        <v>21</v>
      </c>
      <c r="S41" s="718">
        <f t="shared" si="12"/>
        <v>100</v>
      </c>
      <c r="T41" s="717" t="s">
        <v>21</v>
      </c>
      <c r="U41" s="718">
        <f t="shared" si="13"/>
        <v>100</v>
      </c>
      <c r="V41" s="717" t="s">
        <v>21</v>
      </c>
      <c r="W41" s="718">
        <f t="shared" si="14"/>
        <v>100</v>
      </c>
      <c r="X41" s="719"/>
      <c r="Y41" s="3475"/>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3"/>
      <c r="Q42" s="1487" t="str">
        <f t="shared" si="11"/>
        <v>内部装修</v>
      </c>
      <c r="R42" s="714" t="s">
        <v>21</v>
      </c>
      <c r="S42" s="715">
        <f t="shared" si="12"/>
        <v>100</v>
      </c>
      <c r="T42" s="714" t="s">
        <v>21</v>
      </c>
      <c r="U42" s="715">
        <f t="shared" si="13"/>
        <v>100</v>
      </c>
      <c r="V42" s="714" t="s">
        <v>21</v>
      </c>
      <c r="W42" s="715">
        <f t="shared" si="14"/>
        <v>100</v>
      </c>
      <c r="X42" s="1490"/>
      <c r="Y42" s="3475"/>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3"/>
      <c r="Q43" s="1487" t="str">
        <f t="shared" si="11"/>
        <v>内部装修维护情况</v>
      </c>
      <c r="R43" s="714" t="s">
        <v>21</v>
      </c>
      <c r="S43" s="715">
        <f t="shared" si="12"/>
        <v>100</v>
      </c>
      <c r="T43" s="714" t="s">
        <v>21</v>
      </c>
      <c r="U43" s="715">
        <f t="shared" si="13"/>
        <v>100</v>
      </c>
      <c r="V43" s="714" t="s">
        <v>21</v>
      </c>
      <c r="W43" s="715">
        <f t="shared" si="14"/>
        <v>100</v>
      </c>
      <c r="X43" s="1490"/>
      <c r="Y43" s="347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3"/>
      <c r="Q44" s="1478">
        <f t="shared" si="11"/>
        <v>111</v>
      </c>
      <c r="R44" s="710" t="s">
        <v>21</v>
      </c>
      <c r="S44" s="711">
        <f t="shared" si="12"/>
        <v>100</v>
      </c>
      <c r="T44" s="710" t="s">
        <v>21</v>
      </c>
      <c r="U44" s="711">
        <f t="shared" si="13"/>
        <v>100</v>
      </c>
      <c r="V44" s="710" t="s">
        <v>21</v>
      </c>
      <c r="W44" s="711">
        <f t="shared" si="14"/>
        <v>100</v>
      </c>
      <c r="X44" s="712"/>
      <c r="Y44" s="347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3"/>
      <c r="Q45" s="1487">
        <f t="shared" si="11"/>
        <v>111</v>
      </c>
      <c r="R45" s="714" t="s">
        <v>21</v>
      </c>
      <c r="S45" s="715">
        <f t="shared" si="12"/>
        <v>100</v>
      </c>
      <c r="T45" s="714" t="s">
        <v>21</v>
      </c>
      <c r="U45" s="715">
        <f t="shared" si="13"/>
        <v>100</v>
      </c>
      <c r="V45" s="714" t="s">
        <v>21</v>
      </c>
      <c r="W45" s="715">
        <f t="shared" si="14"/>
        <v>100</v>
      </c>
      <c r="X45" s="1490"/>
      <c r="Y45" s="347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4"/>
      <c r="Q46" s="1487">
        <f t="shared" si="11"/>
        <v>111</v>
      </c>
      <c r="R46" s="714" t="s">
        <v>20</v>
      </c>
      <c r="S46" s="715">
        <f t="shared" si="12"/>
        <v>100</v>
      </c>
      <c r="T46" s="714" t="s">
        <v>20</v>
      </c>
      <c r="U46" s="715">
        <f t="shared" si="13"/>
        <v>100</v>
      </c>
      <c r="V46" s="714" t="s">
        <v>20</v>
      </c>
      <c r="W46" s="715">
        <f t="shared" si="14"/>
        <v>100</v>
      </c>
      <c r="X46" s="1490"/>
      <c r="Y46" s="3476"/>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8" t="str">
        <f>A47</f>
        <v>成交单价（元/平方米）</v>
      </c>
      <c r="Q47" s="3468"/>
      <c r="R47" s="3469">
        <f>E47</f>
        <v>0</v>
      </c>
      <c r="S47" s="3469"/>
      <c r="T47" s="3469">
        <f>G47</f>
        <v>0</v>
      </c>
      <c r="U47" s="3469"/>
      <c r="V47" s="3469">
        <f>I47</f>
        <v>0</v>
      </c>
      <c r="W47" s="3469"/>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68" t="str">
        <f>A48</f>
        <v>比较价值（元/平方米）</v>
      </c>
      <c r="Q48" s="3468"/>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60" zoomScaleNormal="70" workbookViewId="0">
      <selection activeCell="N31" sqref="N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t="s">
        <v>1102</v>
      </c>
      <c r="E1" s="2494"/>
      <c r="F1" s="2016" t="s">
        <v>3248</v>
      </c>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f>IF(C2="——",ROUND(C49*D3/10000,0),ROUND(C49*D3/10000,0)-D2)</f>
        <v>54952</v>
      </c>
      <c r="C2" s="2018" t="s">
        <v>70</v>
      </c>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f>IF(C2="——",C49,ROUND(B2*10000/D3,0))</f>
        <v>28544</v>
      </c>
      <c r="C3" s="360" t="s">
        <v>2224</v>
      </c>
      <c r="D3" s="359">
        <f>IF(D1="",'数据-汇总表'!E3,SUMIF('数据-汇总表'!$C19:$C33,D1,'数据-汇总表'!$E19:$E33))</f>
        <v>19251.75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99"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99"/>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99"/>
      <c r="AC6" s="3482"/>
    </row>
    <row r="7" spans="1:29" s="113" customFormat="1" ht="15.75" thickBot="1">
      <c r="A7" s="368" t="s">
        <v>2128</v>
      </c>
      <c r="B7" s="369"/>
      <c r="C7" s="370">
        <f>'数据-取费表'!B2</f>
        <v>44726</v>
      </c>
      <c r="D7" s="371">
        <v>100</v>
      </c>
      <c r="E7" s="372">
        <f>C7</f>
        <v>44726</v>
      </c>
      <c r="F7" s="373">
        <f>SUMIF(58:58,YEAR(E7)&amp;"-"&amp;MONTH(E7),59:59)</f>
        <v>100</v>
      </c>
      <c r="G7" s="372">
        <f>C7</f>
        <v>44726</v>
      </c>
      <c r="H7" s="371">
        <f>SUMIF(58:58,YEAR(G7)&amp;"-"&amp;MONTH(G7),59:59)</f>
        <v>100</v>
      </c>
      <c r="I7" s="372">
        <f>C7</f>
        <v>44726</v>
      </c>
      <c r="J7" s="371">
        <f>SUMIF(58:58,YEAR(I7)&amp;"-"&amp;MONTH(I7),59:59)</f>
        <v>100</v>
      </c>
      <c r="K7" s="568"/>
      <c r="L7" s="2896"/>
      <c r="M7" s="2897"/>
      <c r="N7" s="2897"/>
      <c r="O7" s="2897"/>
      <c r="P7" s="3504" t="s">
        <v>2129</v>
      </c>
      <c r="Q7" s="3506"/>
      <c r="R7" s="710" t="s">
        <v>17</v>
      </c>
      <c r="S7" s="711">
        <f t="shared" ref="S7:S15" si="0">F7</f>
        <v>100</v>
      </c>
      <c r="T7" s="710" t="s">
        <v>17</v>
      </c>
      <c r="U7" s="711">
        <f t="shared" ref="U7:U15" si="1">H7</f>
        <v>100</v>
      </c>
      <c r="V7" s="710" t="s">
        <v>17</v>
      </c>
      <c r="W7" s="711">
        <f t="shared" ref="W7:W15" si="2">J7</f>
        <v>100</v>
      </c>
      <c r="X7" s="712"/>
      <c r="Y7" s="3504" t="s">
        <v>2129</v>
      </c>
      <c r="Z7" s="3505"/>
      <c r="AA7" s="713">
        <f>D7/F7</f>
        <v>1</v>
      </c>
      <c r="AB7" s="713">
        <f>D7/H7</f>
        <v>1</v>
      </c>
      <c r="AC7" s="713">
        <f>D7/J7</f>
        <v>1</v>
      </c>
    </row>
    <row r="8" spans="1:29" s="113" customFormat="1" ht="15.75" thickBot="1">
      <c r="A8" s="368" t="s">
        <v>2130</v>
      </c>
      <c r="B8" s="369"/>
      <c r="C8" s="374" t="s">
        <v>2232</v>
      </c>
      <c r="D8" s="371">
        <v>100</v>
      </c>
      <c r="E8" s="3237" t="s">
        <v>3249</v>
      </c>
      <c r="F8" s="373">
        <f>SUMIF(61:61,E8,62:62)-SUMIF(61:61,C8,62:62)+100</f>
        <v>100</v>
      </c>
      <c r="G8" s="3237" t="s">
        <v>3249</v>
      </c>
      <c r="H8" s="371">
        <f>SUMIF(61:61,G8,62:62)-SUMIF(61:61,C8,62:62)+100</f>
        <v>100</v>
      </c>
      <c r="I8" s="3237" t="s">
        <v>3249</v>
      </c>
      <c r="J8" s="371">
        <f>SUMIF(61:61,I8,62:62)-SUMIF(61:61,C8,62:62)+100</f>
        <v>100</v>
      </c>
      <c r="K8" s="568"/>
      <c r="L8" s="2896"/>
      <c r="M8" s="2897"/>
      <c r="N8" s="2897"/>
      <c r="O8" s="2897"/>
      <c r="P8" s="3504" t="s">
        <v>2132</v>
      </c>
      <c r="Q8" s="3505"/>
      <c r="R8" s="710" t="s">
        <v>17</v>
      </c>
      <c r="S8" s="711">
        <f t="shared" si="0"/>
        <v>100</v>
      </c>
      <c r="T8" s="710" t="s">
        <v>17</v>
      </c>
      <c r="U8" s="711">
        <f t="shared" si="1"/>
        <v>100</v>
      </c>
      <c r="V8" s="710" t="s">
        <v>17</v>
      </c>
      <c r="W8" s="711">
        <f t="shared" si="2"/>
        <v>100</v>
      </c>
      <c r="X8" s="712"/>
      <c r="Y8" s="3504" t="s">
        <v>2132</v>
      </c>
      <c r="Z8" s="3505"/>
      <c r="AA8" s="713">
        <f t="shared" ref="AA8:AA46" si="3">D8/F8</f>
        <v>1</v>
      </c>
      <c r="AB8" s="713">
        <f t="shared" ref="AB8:AB46" si="4">D8/H8</f>
        <v>1</v>
      </c>
      <c r="AC8" s="713">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900"/>
      <c r="M11" s="2895"/>
      <c r="N11" s="2895"/>
      <c r="O11" s="2895"/>
      <c r="P11" s="3479"/>
      <c r="Q11" s="1478" t="str">
        <f t="shared" si="6"/>
        <v>容积率</v>
      </c>
      <c r="R11" s="710" t="s">
        <v>17</v>
      </c>
      <c r="S11" s="711">
        <f t="shared" si="0"/>
        <v>100</v>
      </c>
      <c r="T11" s="710" t="s">
        <v>17</v>
      </c>
      <c r="U11" s="711">
        <f t="shared" si="1"/>
        <v>100</v>
      </c>
      <c r="V11" s="710" t="s">
        <v>17</v>
      </c>
      <c r="W11" s="711">
        <f t="shared" si="2"/>
        <v>100</v>
      </c>
      <c r="X11" s="712"/>
      <c r="Y11" s="3340"/>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7" t="s">
        <v>2140</v>
      </c>
      <c r="Q15" s="1487" t="str">
        <f t="shared" si="6"/>
        <v>商业繁华度</v>
      </c>
      <c r="R15" s="714" t="s">
        <v>17</v>
      </c>
      <c r="S15" s="715">
        <f t="shared" si="0"/>
        <v>100</v>
      </c>
      <c r="T15" s="714" t="s">
        <v>17</v>
      </c>
      <c r="U15" s="715">
        <f t="shared" si="1"/>
        <v>100</v>
      </c>
      <c r="V15" s="714" t="s">
        <v>17</v>
      </c>
      <c r="W15" s="715">
        <f t="shared" si="2"/>
        <v>100</v>
      </c>
      <c r="X15" s="1490"/>
      <c r="Y15" s="3470" t="s">
        <v>2140</v>
      </c>
      <c r="Z15" s="1491" t="str">
        <f t="shared" si="7"/>
        <v>商业繁华度</v>
      </c>
      <c r="AA15" s="1488">
        <f t="shared" si="3"/>
        <v>1</v>
      </c>
      <c r="AB15" s="1488">
        <f t="shared" si="4"/>
        <v>1</v>
      </c>
      <c r="AC15" s="1488">
        <f t="shared" si="5"/>
        <v>1</v>
      </c>
    </row>
    <row r="16" spans="1:29" ht="15">
      <c r="A16" s="387"/>
      <c r="B16" s="405"/>
      <c r="C16" s="3238" t="s">
        <v>3257</v>
      </c>
      <c r="D16" s="407"/>
      <c r="E16" s="3238" t="s">
        <v>3258</v>
      </c>
      <c r="F16" s="408"/>
      <c r="G16" s="3238" t="s">
        <v>3257</v>
      </c>
      <c r="H16" s="409"/>
      <c r="I16" s="3238" t="s">
        <v>3257</v>
      </c>
      <c r="J16" s="407"/>
      <c r="K16" s="572"/>
      <c r="L16" s="2901"/>
      <c r="M16" s="2895"/>
      <c r="N16" s="2895"/>
      <c r="O16" s="2895"/>
      <c r="P16" s="3478"/>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8"/>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3239" t="s">
        <v>3259</v>
      </c>
      <c r="D18" s="409"/>
      <c r="E18" s="3240" t="s">
        <v>3259</v>
      </c>
      <c r="F18" s="412"/>
      <c r="G18" s="3241" t="s">
        <v>3259</v>
      </c>
      <c r="H18" s="407"/>
      <c r="I18" s="3240" t="s">
        <v>3260</v>
      </c>
      <c r="J18" s="407"/>
      <c r="K18" s="572"/>
      <c r="L18" s="2901"/>
      <c r="M18" s="2895"/>
      <c r="N18" s="2895"/>
      <c r="O18" s="2895"/>
      <c r="P18" s="3478"/>
      <c r="Q18" s="1487"/>
      <c r="R18" s="714"/>
      <c r="S18" s="715"/>
      <c r="T18" s="714"/>
      <c r="U18" s="715"/>
      <c r="V18" s="714"/>
      <c r="W18" s="715"/>
      <c r="X18" s="1490"/>
      <c r="Y18" s="3471"/>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8"/>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3238" t="s">
        <v>3259</v>
      </c>
      <c r="D20" s="407"/>
      <c r="E20" s="3242" t="s">
        <v>3259</v>
      </c>
      <c r="F20" s="408"/>
      <c r="G20" s="3243" t="s">
        <v>3259</v>
      </c>
      <c r="H20" s="407"/>
      <c r="I20" s="3242" t="s">
        <v>3259</v>
      </c>
      <c r="J20" s="407"/>
      <c r="K20" s="572"/>
      <c r="L20" s="2901"/>
      <c r="M20" s="2895"/>
      <c r="N20" s="2895"/>
      <c r="O20" s="2895"/>
      <c r="P20" s="3478"/>
      <c r="Q20" s="1487"/>
      <c r="R20" s="714"/>
      <c r="S20" s="715"/>
      <c r="T20" s="714"/>
      <c r="U20" s="715"/>
      <c r="V20" s="714"/>
      <c r="W20" s="715"/>
      <c r="X20" s="1490"/>
      <c r="Y20" s="3471"/>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3239" t="s">
        <v>3261</v>
      </c>
      <c r="D22" s="407"/>
      <c r="E22" s="3238" t="s">
        <v>3261</v>
      </c>
      <c r="F22" s="408"/>
      <c r="G22" s="3238" t="s">
        <v>3262</v>
      </c>
      <c r="H22" s="407"/>
      <c r="I22" s="3238" t="s">
        <v>3261</v>
      </c>
      <c r="J22" s="407"/>
      <c r="K22" s="1245"/>
      <c r="L22" s="2901"/>
      <c r="M22" s="2895"/>
      <c r="N22" s="2895"/>
      <c r="O22" s="2895"/>
      <c r="P22" s="3478"/>
      <c r="Q22" s="1487"/>
      <c r="R22" s="714"/>
      <c r="S22" s="715"/>
      <c r="T22" s="714"/>
      <c r="U22" s="715"/>
      <c r="V22" s="714"/>
      <c r="W22" s="715"/>
      <c r="X22" s="1490"/>
      <c r="Y22" s="3471"/>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8"/>
      <c r="Q23" s="1487" t="str">
        <f>B23</f>
        <v>自然及人文环境</v>
      </c>
      <c r="R23" s="714" t="s">
        <v>17</v>
      </c>
      <c r="S23" s="715">
        <f>F23</f>
        <v>100</v>
      </c>
      <c r="T23" s="714" t="s">
        <v>17</v>
      </c>
      <c r="U23" s="715">
        <f>H23</f>
        <v>100</v>
      </c>
      <c r="V23" s="714" t="s">
        <v>17</v>
      </c>
      <c r="W23" s="715">
        <f>J23</f>
        <v>100</v>
      </c>
      <c r="X23" s="1490"/>
      <c r="Y23" s="3471"/>
      <c r="Z23" s="1491" t="str">
        <f>Q23</f>
        <v>自然及人文环境</v>
      </c>
      <c r="AA23" s="1488">
        <f t="shared" si="3"/>
        <v>1</v>
      </c>
      <c r="AB23" s="1488">
        <f t="shared" si="4"/>
        <v>1</v>
      </c>
      <c r="AC23" s="1488">
        <f t="shared" si="5"/>
        <v>1</v>
      </c>
    </row>
    <row r="24" spans="1:29" ht="15">
      <c r="A24" s="387"/>
      <c r="B24" s="415"/>
      <c r="C24" s="3238" t="s">
        <v>3259</v>
      </c>
      <c r="D24" s="407"/>
      <c r="E24" s="3242" t="s">
        <v>3259</v>
      </c>
      <c r="F24" s="408"/>
      <c r="G24" s="3243" t="s">
        <v>3259</v>
      </c>
      <c r="H24" s="407"/>
      <c r="I24" s="3242" t="s">
        <v>3259</v>
      </c>
      <c r="J24" s="407"/>
      <c r="K24" s="572"/>
      <c r="L24" s="2901"/>
      <c r="M24" s="2895"/>
      <c r="N24" s="2895"/>
      <c r="O24" s="2895"/>
      <c r="P24" s="3478"/>
      <c r="Q24" s="1487"/>
      <c r="R24" s="714"/>
      <c r="S24" s="715"/>
      <c r="T24" s="714"/>
      <c r="U24" s="715"/>
      <c r="V24" s="714"/>
      <c r="W24" s="715"/>
      <c r="X24" s="1490"/>
      <c r="Y24" s="347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8"/>
      <c r="Q25" s="1487" t="str">
        <f t="shared" ref="Q25:Q46" si="11">B25</f>
        <v>临街状况</v>
      </c>
      <c r="R25" s="714" t="s">
        <v>17</v>
      </c>
      <c r="S25" s="715">
        <f>F25</f>
        <v>100</v>
      </c>
      <c r="T25" s="714" t="s">
        <v>17</v>
      </c>
      <c r="U25" s="715">
        <f>H25</f>
        <v>100</v>
      </c>
      <c r="V25" s="714" t="s">
        <v>17</v>
      </c>
      <c r="W25" s="715">
        <f>J25</f>
        <v>100</v>
      </c>
      <c r="X25" s="1490"/>
      <c r="Y25" s="347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8"/>
      <c r="Q26" s="1487" t="str">
        <f t="shared" si="11"/>
        <v>平面位置/可视性</v>
      </c>
      <c r="R26" s="714" t="s">
        <v>17</v>
      </c>
      <c r="S26" s="715">
        <f>F26</f>
        <v>100</v>
      </c>
      <c r="T26" s="714" t="s">
        <v>17</v>
      </c>
      <c r="U26" s="715">
        <f>H26</f>
        <v>100</v>
      </c>
      <c r="V26" s="714" t="s">
        <v>17</v>
      </c>
      <c r="W26" s="715">
        <f>J26</f>
        <v>100</v>
      </c>
      <c r="X26" s="1490"/>
      <c r="Y26" s="3471"/>
      <c r="Z26" s="1491" t="str">
        <f>Q26</f>
        <v>平面位置/可视性</v>
      </c>
      <c r="AA26" s="1488">
        <f t="shared" si="3"/>
        <v>1</v>
      </c>
      <c r="AB26" s="1488">
        <f t="shared" si="4"/>
        <v>1</v>
      </c>
      <c r="AC26" s="1488">
        <f t="shared" si="5"/>
        <v>1</v>
      </c>
    </row>
    <row r="27" spans="1:29" s="113" customFormat="1" ht="15">
      <c r="A27" s="390"/>
      <c r="B27" s="410" t="s">
        <v>2238</v>
      </c>
      <c r="C27" s="3244" t="s">
        <v>3257</v>
      </c>
      <c r="D27" s="421">
        <v>100</v>
      </c>
      <c r="E27" s="3244" t="s">
        <v>3259</v>
      </c>
      <c r="F27" s="423">
        <f>SUMIF(90:90,E27,91:91)-SUMIF(90:90,C27,91:91)+100</f>
        <v>102</v>
      </c>
      <c r="G27" s="3244" t="s">
        <v>3260</v>
      </c>
      <c r="H27" s="421">
        <f>SUMIF(90:90,G27,91:91)-SUMIF(90:90,C27,91:91)+100</f>
        <v>102</v>
      </c>
      <c r="I27" s="3244" t="s">
        <v>3257</v>
      </c>
      <c r="J27" s="421">
        <f>SUMIF(90:90,I27,91:91)-SUMIF(90:90,C27,91:91)+100</f>
        <v>100</v>
      </c>
      <c r="K27" s="569">
        <v>2</v>
      </c>
      <c r="L27" s="2896"/>
      <c r="M27" s="2897"/>
      <c r="N27" s="2897"/>
      <c r="O27" s="2897"/>
      <c r="P27" s="3478"/>
      <c r="Q27" s="1478" t="str">
        <f t="shared" si="11"/>
        <v>人流量</v>
      </c>
      <c r="R27" s="710" t="s">
        <v>17</v>
      </c>
      <c r="S27" s="711">
        <f>F27</f>
        <v>102</v>
      </c>
      <c r="T27" s="710" t="s">
        <v>17</v>
      </c>
      <c r="U27" s="711">
        <f>H27</f>
        <v>102</v>
      </c>
      <c r="V27" s="710" t="s">
        <v>17</v>
      </c>
      <c r="W27" s="711">
        <f>J27</f>
        <v>100</v>
      </c>
      <c r="X27" s="712"/>
      <c r="Y27" s="3471"/>
      <c r="Z27" s="55" t="str">
        <f>Q27</f>
        <v>人流量</v>
      </c>
      <c r="AA27" s="1488">
        <f>D27/F27</f>
        <v>0.98039215686274506</v>
      </c>
      <c r="AB27" s="1488">
        <f>D27/H27</f>
        <v>0.98039215686274506</v>
      </c>
      <c r="AC27" s="1488">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1"/>
      <c r="M28" s="2895"/>
      <c r="N28" s="2895"/>
      <c r="O28" s="2895"/>
      <c r="P28" s="347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8"/>
      <c r="Q29" s="1487">
        <f t="shared" si="11"/>
        <v>111</v>
      </c>
      <c r="R29" s="714" t="s">
        <v>17</v>
      </c>
      <c r="S29" s="715">
        <f t="shared" si="12"/>
        <v>100</v>
      </c>
      <c r="T29" s="714" t="s">
        <v>17</v>
      </c>
      <c r="U29" s="715">
        <f t="shared" si="13"/>
        <v>100</v>
      </c>
      <c r="V29" s="714" t="s">
        <v>17</v>
      </c>
      <c r="W29" s="715">
        <f t="shared" si="14"/>
        <v>100</v>
      </c>
      <c r="X29" s="1490"/>
      <c r="Y29" s="347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8"/>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8"/>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72" t="s">
        <v>2145</v>
      </c>
      <c r="Q32" s="1487" t="str">
        <f t="shared" si="11"/>
        <v>商业类型</v>
      </c>
      <c r="R32" s="714" t="s">
        <v>17</v>
      </c>
      <c r="S32" s="715">
        <f t="shared" si="12"/>
        <v>100</v>
      </c>
      <c r="T32" s="714" t="s">
        <v>17</v>
      </c>
      <c r="U32" s="715">
        <f t="shared" si="13"/>
        <v>100</v>
      </c>
      <c r="V32" s="714" t="s">
        <v>17</v>
      </c>
      <c r="W32" s="715">
        <f t="shared" si="14"/>
        <v>100</v>
      </c>
      <c r="X32" s="1490"/>
      <c r="Y32" s="3475" t="s">
        <v>2145</v>
      </c>
      <c r="Z32" s="1491" t="str">
        <f t="shared" si="15"/>
        <v>商业类型</v>
      </c>
      <c r="AA32" s="1488">
        <f t="shared" si="3"/>
        <v>1</v>
      </c>
      <c r="AB32" s="1488">
        <f t="shared" si="4"/>
        <v>1</v>
      </c>
      <c r="AC32" s="1488">
        <f t="shared" si="5"/>
        <v>1</v>
      </c>
    </row>
    <row r="33" spans="1:29" s="430" customFormat="1" ht="15">
      <c r="A33" s="427"/>
      <c r="B33" s="381" t="s">
        <v>2146</v>
      </c>
      <c r="C33" s="428">
        <v>19251.75</v>
      </c>
      <c r="D33" s="132">
        <v>100</v>
      </c>
      <c r="E33" s="389">
        <v>122</v>
      </c>
      <c r="F33" s="384">
        <f>LOOKUP(E33,103:103,104:104)-LOOKUP(C33,103:103,104:104)+100</f>
        <v>104</v>
      </c>
      <c r="G33" s="388">
        <v>116</v>
      </c>
      <c r="H33" s="132">
        <f>LOOKUP(G33,103:103,104:104)-LOOKUP(C33,103:103,104:104)+100</f>
        <v>104</v>
      </c>
      <c r="I33" s="388">
        <v>61.37</v>
      </c>
      <c r="J33" s="132">
        <f>LOOKUP(I33,103:103,104:104)-LOOKUP(C33,103:103,104:104)+100</f>
        <v>106</v>
      </c>
      <c r="K33" s="570"/>
      <c r="L33" s="2900"/>
      <c r="M33" s="2902"/>
      <c r="N33" s="2902"/>
      <c r="O33" s="2902"/>
      <c r="P33" s="3473"/>
      <c r="Q33" s="716" t="str">
        <f t="shared" si="11"/>
        <v>项目建筑规模</v>
      </c>
      <c r="R33" s="717" t="s">
        <v>17</v>
      </c>
      <c r="S33" s="718">
        <f t="shared" si="12"/>
        <v>104</v>
      </c>
      <c r="T33" s="717" t="s">
        <v>17</v>
      </c>
      <c r="U33" s="718">
        <f t="shared" si="13"/>
        <v>104</v>
      </c>
      <c r="V33" s="717" t="s">
        <v>17</v>
      </c>
      <c r="W33" s="718">
        <f t="shared" si="14"/>
        <v>106</v>
      </c>
      <c r="X33" s="719"/>
      <c r="Y33" s="3475"/>
      <c r="Z33" s="720" t="str">
        <f t="shared" si="15"/>
        <v>项目建筑规模</v>
      </c>
      <c r="AA33" s="1488">
        <f t="shared" si="3"/>
        <v>0.96153846153846156</v>
      </c>
      <c r="AB33" s="1488">
        <f t="shared" si="4"/>
        <v>0.96153846153846156</v>
      </c>
      <c r="AC33" s="1488">
        <f t="shared" si="5"/>
        <v>0.94339622641509435</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3"/>
      <c r="Q34" s="1487" t="str">
        <f t="shared" si="11"/>
        <v>建筑结构</v>
      </c>
      <c r="R34" s="714" t="s">
        <v>17</v>
      </c>
      <c r="S34" s="715">
        <f t="shared" si="12"/>
        <v>100</v>
      </c>
      <c r="T34" s="714" t="s">
        <v>17</v>
      </c>
      <c r="U34" s="715">
        <f t="shared" si="13"/>
        <v>100</v>
      </c>
      <c r="V34" s="714" t="s">
        <v>17</v>
      </c>
      <c r="W34" s="715">
        <f t="shared" si="14"/>
        <v>100</v>
      </c>
      <c r="X34" s="1490"/>
      <c r="Y34" s="3475"/>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3"/>
      <c r="Q35" s="1487" t="str">
        <f t="shared" si="11"/>
        <v>公共部分装修</v>
      </c>
      <c r="R35" s="714" t="s">
        <v>17</v>
      </c>
      <c r="S35" s="715">
        <f t="shared" si="12"/>
        <v>100</v>
      </c>
      <c r="T35" s="714" t="s">
        <v>17</v>
      </c>
      <c r="U35" s="715">
        <f t="shared" si="13"/>
        <v>100</v>
      </c>
      <c r="V35" s="714" t="s">
        <v>17</v>
      </c>
      <c r="W35" s="715">
        <f t="shared" si="14"/>
        <v>100</v>
      </c>
      <c r="X35" s="1490"/>
      <c r="Y35" s="3475"/>
      <c r="Z35" s="1491" t="str">
        <f t="shared" si="15"/>
        <v>公共部分装修</v>
      </c>
      <c r="AA35" s="1488">
        <f t="shared" si="3"/>
        <v>1</v>
      </c>
      <c r="AB35" s="1488">
        <f t="shared" si="4"/>
        <v>1</v>
      </c>
      <c r="AC35" s="1488">
        <f t="shared" si="5"/>
        <v>1</v>
      </c>
    </row>
    <row r="36" spans="1:29" ht="15">
      <c r="A36" s="431"/>
      <c r="B36" s="381" t="s">
        <v>2242</v>
      </c>
      <c r="C36" s="433">
        <v>0.81</v>
      </c>
      <c r="D36" s="394">
        <v>100</v>
      </c>
      <c r="E36" s="433">
        <v>0.82</v>
      </c>
      <c r="F36" s="420">
        <f>LOOKUP(E36,110:110,111:111)-LOOKUP(C36,110:110,111:111)+100</f>
        <v>100</v>
      </c>
      <c r="G36" s="433">
        <v>0.98</v>
      </c>
      <c r="H36" s="420">
        <f>LOOKUP(G36,110:110,111:111)-LOOKUP(C36,110:110,111:111)+100</f>
        <v>102</v>
      </c>
      <c r="I36" s="433">
        <v>0.98</v>
      </c>
      <c r="J36" s="394">
        <f>LOOKUP(I36,110:110,111:111)-LOOKUP(C36,110:110,111:111)+100</f>
        <v>102</v>
      </c>
      <c r="K36" s="569">
        <v>2</v>
      </c>
      <c r="L36" s="2901"/>
      <c r="M36" s="2895"/>
      <c r="N36" s="2895"/>
      <c r="O36" s="2895"/>
      <c r="P36" s="3473"/>
      <c r="Q36" s="1487" t="str">
        <f t="shared" si="11"/>
        <v>成新度</v>
      </c>
      <c r="R36" s="714" t="s">
        <v>17</v>
      </c>
      <c r="S36" s="715">
        <f t="shared" si="12"/>
        <v>100</v>
      </c>
      <c r="T36" s="714" t="s">
        <v>17</v>
      </c>
      <c r="U36" s="715">
        <f t="shared" si="13"/>
        <v>102</v>
      </c>
      <c r="V36" s="714" t="s">
        <v>17</v>
      </c>
      <c r="W36" s="715">
        <f t="shared" si="14"/>
        <v>102</v>
      </c>
      <c r="X36" s="1490"/>
      <c r="Y36" s="3475"/>
      <c r="Z36" s="1491" t="str">
        <f t="shared" si="15"/>
        <v>成新度</v>
      </c>
      <c r="AA36" s="1488">
        <f t="shared" si="3"/>
        <v>1</v>
      </c>
      <c r="AB36" s="1488">
        <f t="shared" si="4"/>
        <v>0.98039215686274506</v>
      </c>
      <c r="AC36" s="1488">
        <f t="shared" si="5"/>
        <v>0.98039215686274506</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3"/>
      <c r="Q37" s="1478" t="str">
        <f t="shared" si="11"/>
        <v>市政基础设施</v>
      </c>
      <c r="R37" s="710" t="s">
        <v>17</v>
      </c>
      <c r="S37" s="711">
        <f t="shared" si="12"/>
        <v>100</v>
      </c>
      <c r="T37" s="710" t="s">
        <v>17</v>
      </c>
      <c r="U37" s="711">
        <f t="shared" si="13"/>
        <v>100</v>
      </c>
      <c r="V37" s="710" t="s">
        <v>17</v>
      </c>
      <c r="W37" s="711">
        <f t="shared" si="14"/>
        <v>100</v>
      </c>
      <c r="X37" s="712"/>
      <c r="Y37" s="3475"/>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3" t="s">
        <v>2145</v>
      </c>
      <c r="Q38" s="1487" t="str">
        <f t="shared" si="11"/>
        <v>业态</v>
      </c>
      <c r="R38" s="714" t="s">
        <v>17</v>
      </c>
      <c r="S38" s="715">
        <f t="shared" si="12"/>
        <v>100</v>
      </c>
      <c r="T38" s="714" t="s">
        <v>17</v>
      </c>
      <c r="U38" s="715">
        <f t="shared" si="13"/>
        <v>100</v>
      </c>
      <c r="V38" s="714" t="s">
        <v>17</v>
      </c>
      <c r="W38" s="715">
        <f t="shared" si="14"/>
        <v>100</v>
      </c>
      <c r="X38" s="1490"/>
      <c r="Y38" s="3475"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3"/>
      <c r="Q39" s="1487" t="str">
        <f t="shared" si="11"/>
        <v>层高</v>
      </c>
      <c r="R39" s="714" t="s">
        <v>17</v>
      </c>
      <c r="S39" s="715">
        <f t="shared" si="12"/>
        <v>100</v>
      </c>
      <c r="T39" s="714" t="s">
        <v>17</v>
      </c>
      <c r="U39" s="715">
        <f t="shared" si="13"/>
        <v>100</v>
      </c>
      <c r="V39" s="714" t="s">
        <v>17</v>
      </c>
      <c r="W39" s="715">
        <f t="shared" si="14"/>
        <v>100</v>
      </c>
      <c r="X39" s="1490"/>
      <c r="Y39" s="347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3"/>
      <c r="Q40" s="1487" t="str">
        <f t="shared" si="11"/>
        <v>单套建筑面积</v>
      </c>
      <c r="R40" s="714" t="s">
        <v>17</v>
      </c>
      <c r="S40" s="715">
        <f t="shared" si="12"/>
        <v>100</v>
      </c>
      <c r="T40" s="714" t="s">
        <v>17</v>
      </c>
      <c r="U40" s="715">
        <f t="shared" si="13"/>
        <v>100</v>
      </c>
      <c r="V40" s="714" t="s">
        <v>17</v>
      </c>
      <c r="W40" s="715">
        <f t="shared" si="14"/>
        <v>100</v>
      </c>
      <c r="X40" s="1490"/>
      <c r="Y40" s="347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3"/>
      <c r="Q41" s="716" t="str">
        <f t="shared" si="11"/>
        <v>进深比</v>
      </c>
      <c r="R41" s="717" t="s">
        <v>17</v>
      </c>
      <c r="S41" s="718">
        <f t="shared" si="12"/>
        <v>100</v>
      </c>
      <c r="T41" s="717" t="s">
        <v>17</v>
      </c>
      <c r="U41" s="718">
        <f t="shared" si="13"/>
        <v>100</v>
      </c>
      <c r="V41" s="717" t="s">
        <v>17</v>
      </c>
      <c r="W41" s="718">
        <f t="shared" si="14"/>
        <v>100</v>
      </c>
      <c r="X41" s="719"/>
      <c r="Y41" s="3475"/>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3"/>
      <c r="Q42" s="1487" t="str">
        <f t="shared" si="11"/>
        <v>内部装修</v>
      </c>
      <c r="R42" s="714" t="s">
        <v>17</v>
      </c>
      <c r="S42" s="715">
        <f t="shared" si="12"/>
        <v>100</v>
      </c>
      <c r="T42" s="714" t="s">
        <v>17</v>
      </c>
      <c r="U42" s="715">
        <f t="shared" si="13"/>
        <v>100</v>
      </c>
      <c r="V42" s="714" t="s">
        <v>17</v>
      </c>
      <c r="W42" s="715">
        <f t="shared" si="14"/>
        <v>100</v>
      </c>
      <c r="X42" s="1490"/>
      <c r="Y42" s="3475"/>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3"/>
      <c r="Q43" s="1487" t="str">
        <f t="shared" si="11"/>
        <v>内部装修维护情况</v>
      </c>
      <c r="R43" s="714" t="s">
        <v>17</v>
      </c>
      <c r="S43" s="715">
        <f t="shared" si="12"/>
        <v>100</v>
      </c>
      <c r="T43" s="714" t="s">
        <v>17</v>
      </c>
      <c r="U43" s="715">
        <f t="shared" si="13"/>
        <v>100</v>
      </c>
      <c r="V43" s="714" t="s">
        <v>17</v>
      </c>
      <c r="W43" s="715">
        <f t="shared" si="14"/>
        <v>100</v>
      </c>
      <c r="X43" s="1490"/>
      <c r="Y43" s="347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3"/>
      <c r="Q44" s="1478">
        <f t="shared" si="11"/>
        <v>111</v>
      </c>
      <c r="R44" s="710" t="s">
        <v>17</v>
      </c>
      <c r="S44" s="711">
        <f t="shared" si="12"/>
        <v>100</v>
      </c>
      <c r="T44" s="710" t="s">
        <v>17</v>
      </c>
      <c r="U44" s="711">
        <f t="shared" si="13"/>
        <v>100</v>
      </c>
      <c r="V44" s="710" t="s">
        <v>17</v>
      </c>
      <c r="W44" s="711">
        <f t="shared" si="14"/>
        <v>100</v>
      </c>
      <c r="X44" s="712"/>
      <c r="Y44" s="347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3"/>
      <c r="Q45" s="1487">
        <f t="shared" si="11"/>
        <v>111</v>
      </c>
      <c r="R45" s="714" t="s">
        <v>17</v>
      </c>
      <c r="S45" s="715">
        <f t="shared" si="12"/>
        <v>100</v>
      </c>
      <c r="T45" s="714" t="s">
        <v>17</v>
      </c>
      <c r="U45" s="715">
        <f t="shared" si="13"/>
        <v>100</v>
      </c>
      <c r="V45" s="714" t="s">
        <v>17</v>
      </c>
      <c r="W45" s="715">
        <f t="shared" si="14"/>
        <v>100</v>
      </c>
      <c r="X45" s="1490"/>
      <c r="Y45" s="347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4"/>
      <c r="Q46" s="1487">
        <f t="shared" si="11"/>
        <v>111</v>
      </c>
      <c r="R46" s="714" t="s">
        <v>17</v>
      </c>
      <c r="S46" s="715">
        <f t="shared" si="12"/>
        <v>100</v>
      </c>
      <c r="T46" s="714" t="s">
        <v>17</v>
      </c>
      <c r="U46" s="715">
        <f t="shared" si="13"/>
        <v>100</v>
      </c>
      <c r="V46" s="714" t="s">
        <v>17</v>
      </c>
      <c r="W46" s="715">
        <f t="shared" si="14"/>
        <v>100</v>
      </c>
      <c r="X46" s="1490"/>
      <c r="Y46" s="3476"/>
      <c r="Z46" s="1491">
        <f t="shared" si="15"/>
        <v>111</v>
      </c>
      <c r="AA46" s="1488">
        <f t="shared" si="3"/>
        <v>1</v>
      </c>
      <c r="AB46" s="1488">
        <f t="shared" si="4"/>
        <v>1</v>
      </c>
      <c r="AC46" s="1488">
        <f t="shared" si="5"/>
        <v>1</v>
      </c>
    </row>
    <row r="47" spans="1:29" ht="15">
      <c r="A47" s="438" t="s">
        <v>2157</v>
      </c>
      <c r="B47" s="439"/>
      <c r="C47" s="1269" t="s">
        <v>1</v>
      </c>
      <c r="D47" s="1270"/>
      <c r="E47" s="1271">
        <v>26400</v>
      </c>
      <c r="F47" s="1272"/>
      <c r="G47" s="1273">
        <v>30200</v>
      </c>
      <c r="H47" s="1274"/>
      <c r="I47" s="1271">
        <v>35500</v>
      </c>
      <c r="J47" s="1274"/>
      <c r="K47" s="723"/>
      <c r="L47" s="2903"/>
      <c r="M47" s="2904"/>
      <c r="N47" s="2895"/>
      <c r="O47" s="2904"/>
      <c r="P47" s="3468" t="str">
        <f>A47</f>
        <v>成交单价（元/平方米）</v>
      </c>
      <c r="Q47" s="3468"/>
      <c r="R47" s="3499">
        <f>E47</f>
        <v>26400</v>
      </c>
      <c r="S47" s="3499"/>
      <c r="T47" s="3499">
        <f>G47</f>
        <v>30200</v>
      </c>
      <c r="U47" s="3499"/>
      <c r="V47" s="3499">
        <f>I47</f>
        <v>35500</v>
      </c>
      <c r="W47" s="3499"/>
      <c r="X47" s="699"/>
      <c r="Y47" s="721"/>
      <c r="Z47" s="699"/>
      <c r="AA47" s="699"/>
      <c r="AB47" s="699"/>
      <c r="AC47" s="699"/>
    </row>
    <row r="48" spans="1:29" ht="15.75" thickBot="1">
      <c r="A48" s="445" t="s">
        <v>2249</v>
      </c>
      <c r="B48" s="446"/>
      <c r="C48" s="1275">
        <f>R49</f>
        <v>28544</v>
      </c>
      <c r="D48" s="2489" t="s">
        <v>2638</v>
      </c>
      <c r="E48" s="1276">
        <f>R48</f>
        <v>24887</v>
      </c>
      <c r="F48" s="2490"/>
      <c r="G48" s="1275">
        <f>T48</f>
        <v>27911</v>
      </c>
      <c r="H48" s="2490"/>
      <c r="I48" s="1276">
        <f>V48</f>
        <v>32834</v>
      </c>
      <c r="J48" s="2490"/>
      <c r="K48" s="2492">
        <f>F48+H48+J48</f>
        <v>0</v>
      </c>
      <c r="L48" s="2903"/>
      <c r="M48" s="2904"/>
      <c r="N48" s="2895"/>
      <c r="O48" s="2904"/>
      <c r="P48" s="3468" t="str">
        <f>A48</f>
        <v>比较价值（元/平方米）</v>
      </c>
      <c r="Q48" s="3468"/>
      <c r="R48" s="3469">
        <f>IF(F1="售价",ROUND(PRODUCT(R47,AA7:AA46),0),ROUND(PRODUCT(R47,AA7:AA46),1))</f>
        <v>24887</v>
      </c>
      <c r="S48" s="3469"/>
      <c r="T48" s="3469">
        <f>IF(F1="售价",ROUND(PRODUCT(T47,AB7:AB46),0),ROUND(PRODUCT(T47,AB7:AB46),1))</f>
        <v>27911</v>
      </c>
      <c r="U48" s="3469"/>
      <c r="V48" s="3469">
        <f>IF(F1="售价",ROUND(PRODUCT(V47,AC7:AC46),0),ROUND(PRODUCT(V47,AC7:AC46),1))</f>
        <v>32834</v>
      </c>
      <c r="W48" s="3469"/>
      <c r="X48" s="699"/>
      <c r="Y48" s="699"/>
      <c r="Z48" s="699"/>
      <c r="AA48" s="699"/>
      <c r="AB48" s="699"/>
      <c r="AC48" s="699"/>
    </row>
    <row r="49" spans="1:29" ht="15.75" thickBot="1">
      <c r="A49" s="449" t="s">
        <v>2250</v>
      </c>
      <c r="B49" s="450"/>
      <c r="C49" s="1278">
        <f>R49</f>
        <v>28544</v>
      </c>
      <c r="D49" s="1278"/>
      <c r="E49" s="1278"/>
      <c r="F49" s="1278"/>
      <c r="G49" s="1278"/>
      <c r="H49" s="1278"/>
      <c r="I49" s="1278"/>
      <c r="J49" s="1278"/>
      <c r="K49" s="724"/>
      <c r="L49" s="2903"/>
      <c r="M49" s="2904"/>
      <c r="N49" s="2895"/>
      <c r="O49" s="2904"/>
      <c r="P49" s="3465" t="str">
        <f>A49</f>
        <v>估价对象XX用房的比较价值（楼面单价，元/平方米）</v>
      </c>
      <c r="Q49" s="3466"/>
      <c r="R49" s="3467">
        <f>IF(F1="售价",ROUND(IF(D48="简单平均",AVERAGE(R48:V48),R48*F48+T48*H48+V48*J48),0),ROUND(IF(D48="简单平均",AVERAGE(R48:V48),R48*F48+T48*H48+V48*J48),1))</f>
        <v>28544</v>
      </c>
      <c r="S49" s="3467"/>
      <c r="T49" s="3467"/>
      <c r="U49" s="3467"/>
      <c r="V49" s="3467"/>
      <c r="W49" s="346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f>IF(E47&lt;E48,E48/E47-1,E47/E48-1)</f>
        <v>6.0794792461927871E-2</v>
      </c>
      <c r="F52" s="457" t="str">
        <f>IF(OR(E52&gt;=0.3,E52&lt;=-0.3),"超过30%","")</f>
        <v/>
      </c>
      <c r="G52" s="456">
        <f>IF(G47&lt;G48,G48/G47-1,G47/G48-1)</f>
        <v>8.2010676794095572E-2</v>
      </c>
      <c r="H52" s="457" t="str">
        <f>IF(OR(G52&gt;=0.3,G52&lt;=-0.3),"超过30%","")</f>
        <v/>
      </c>
      <c r="I52" s="456">
        <f>IF(I47&lt;I48,I48/I47-1,I47/I48-1)</f>
        <v>8.1196320886885553E-2</v>
      </c>
      <c r="J52" s="457" t="str">
        <f>IF(OR(I52&gt;=0.3,I52&lt;=-0.3),"超过30%","")</f>
        <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f>IF(E48&lt;G48,G48/E48-1,E48/G48-1)</f>
        <v>0.12150922168200262</v>
      </c>
      <c r="F53" s="457" t="str">
        <f>IF(OR(E53&gt;=0.2,E53&lt;=-0.2),"超过20%","")</f>
        <v/>
      </c>
      <c r="G53" s="456">
        <f>IF(G48&lt;I48,I48/G48-1,G48/I48-1)</f>
        <v>0.17638207158467978</v>
      </c>
      <c r="H53" s="457" t="str">
        <f>IF(OR(G53&gt;=0.2,G53&lt;=-0.2),"超过20%","")</f>
        <v/>
      </c>
      <c r="I53" s="456">
        <f>IF(I48&lt;E48,E48/I48-1,I48/E48-1)</f>
        <v>0.31932334150359631</v>
      </c>
      <c r="J53" s="457" t="str">
        <f>IF(OR(I53&gt;=0.2,I53&lt;=-0.2),"超过20%","")</f>
        <v>超过20%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f>IF(E47&lt;G47,G47/E47-1,E47/G47-1)</f>
        <v>0.14393939393939403</v>
      </c>
      <c r="F54" s="457" t="str">
        <f>IF(OR(E54&gt;=0.3,E54&lt;=-0.3),"超过30%","")</f>
        <v/>
      </c>
      <c r="G54" s="456">
        <f>IF(G47&lt;I47,I47/G47-1,G47/I47-1)</f>
        <v>0.17549668874172175</v>
      </c>
      <c r="H54" s="457" t="str">
        <f>IF(OR(G54&gt;=0.3,G54&lt;=-0.3),"超过30%","")</f>
        <v/>
      </c>
      <c r="I54" s="456">
        <f>IF(I47&lt;E47,E47/I47-1,I47/E47-1)</f>
        <v>0.34469696969696972</v>
      </c>
      <c r="J54" s="457" t="str">
        <f>IF(OR(I54&gt;=0.3,I54&lt;=-0.3),"超过30%","")</f>
        <v>超过30%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v>0</v>
      </c>
      <c r="D68" s="506">
        <v>1</v>
      </c>
      <c r="E68" s="506">
        <v>2</v>
      </c>
      <c r="F68" s="506">
        <v>3</v>
      </c>
      <c r="G68" s="506">
        <v>4</v>
      </c>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3245" t="s">
        <v>3263</v>
      </c>
      <c r="D90" s="3245" t="s">
        <v>3259</v>
      </c>
      <c r="E90" s="3245" t="s">
        <v>3257</v>
      </c>
      <c r="F90" s="3245" t="s">
        <v>3264</v>
      </c>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0(含)-50</v>
      </c>
      <c r="D102" s="535" t="str">
        <f t="shared" ref="D102:L102" si="23">D103&amp;"(含)"&amp;"-"&amp;E103</f>
        <v>50(含)-100</v>
      </c>
      <c r="E102" s="535" t="str">
        <f t="shared" si="23"/>
        <v>100(含)-150</v>
      </c>
      <c r="F102" s="535" t="str">
        <f t="shared" si="23"/>
        <v>150(含)-200</v>
      </c>
      <c r="G102" s="535" t="str">
        <f t="shared" si="23"/>
        <v>200(含)-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v>0</v>
      </c>
      <c r="D103" s="552">
        <v>50</v>
      </c>
      <c r="E103" s="552">
        <v>100</v>
      </c>
      <c r="F103" s="552">
        <v>150</v>
      </c>
      <c r="G103" s="552">
        <v>200</v>
      </c>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v>100</v>
      </c>
      <c r="D104" s="493">
        <v>98</v>
      </c>
      <c r="E104" s="493">
        <v>96</v>
      </c>
      <c r="F104" s="493">
        <v>94</v>
      </c>
      <c r="G104" s="493">
        <v>92</v>
      </c>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14" t="s">
        <v>2584</v>
      </c>
      <c r="D1" s="3515"/>
      <c r="E1" s="3515"/>
      <c r="F1" s="3515"/>
      <c r="G1" s="3515"/>
      <c r="H1" s="3515"/>
      <c r="I1" s="3515"/>
      <c r="J1" s="3515"/>
      <c r="K1" s="3515"/>
      <c r="L1" s="3515"/>
      <c r="M1" s="3515"/>
      <c r="N1" s="3515"/>
      <c r="O1" s="3515"/>
      <c r="P1" s="3515"/>
      <c r="Q1" s="3515"/>
      <c r="R1" s="3515"/>
      <c r="S1" s="3516"/>
      <c r="T1" s="1095" t="s">
        <v>2585</v>
      </c>
    </row>
    <row r="2" spans="1:45" s="663" customFormat="1" ht="25.5">
      <c r="A2" s="1096"/>
      <c r="B2" s="659" t="s">
        <v>2586</v>
      </c>
      <c r="C2" s="660" t="str">
        <f t="shared" ref="C2:L2" si="0">C3&amp;"(含)"&amp;"-"&amp;D3</f>
        <v>0(含)-10000</v>
      </c>
      <c r="D2" s="661" t="str">
        <f t="shared" si="0"/>
        <v>10000(含)-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v>10000</v>
      </c>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v>1</v>
      </c>
      <c r="D17" s="1123">
        <v>2</v>
      </c>
      <c r="E17" s="1123">
        <v>3</v>
      </c>
      <c r="F17" s="1123">
        <v>4</v>
      </c>
      <c r="G17" s="1123">
        <v>5</v>
      </c>
      <c r="H17" s="1123">
        <v>6</v>
      </c>
      <c r="I17" s="1123">
        <v>-1</v>
      </c>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70</v>
      </c>
      <c r="E18" s="1135">
        <v>60</v>
      </c>
      <c r="F18" s="1135">
        <v>50</v>
      </c>
      <c r="G18" s="1135">
        <v>50</v>
      </c>
      <c r="H18" s="1135">
        <v>50</v>
      </c>
      <c r="I18" s="1135">
        <v>60</v>
      </c>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f>IF(D20="——",S22,S22-F20)</f>
        <v>33262</v>
      </c>
      <c r="C20" s="164"/>
      <c r="D20" s="2318" t="s">
        <v>70</v>
      </c>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f>ROUND(B20*10000/B22,0)</f>
        <v>17277</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19251.75</v>
      </c>
      <c r="C22" s="3511" t="s">
        <v>33</v>
      </c>
      <c r="D22" s="3512"/>
      <c r="E22" s="3512"/>
      <c r="F22" s="3512"/>
      <c r="G22" s="3512"/>
      <c r="H22" s="3512"/>
      <c r="I22" s="3512"/>
      <c r="J22" s="3512"/>
      <c r="K22" s="3512"/>
      <c r="L22" s="3512"/>
      <c r="M22" s="3512"/>
      <c r="N22" s="3512"/>
      <c r="O22" s="3512"/>
      <c r="P22" s="3512"/>
      <c r="Q22" s="3513"/>
      <c r="R22" s="672">
        <f>ROUND(S22*10000/B22,0)</f>
        <v>17277</v>
      </c>
      <c r="S22" s="24">
        <f>SUM(S24:S10000)</f>
        <v>33262</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面积清单!K3</f>
        <v>1层汇总</v>
      </c>
      <c r="B24" s="674">
        <f>面积清单!L3</f>
        <v>2085.8500000000004</v>
      </c>
      <c r="C24" s="2991">
        <v>1</v>
      </c>
      <c r="D24" s="2992"/>
      <c r="E24" s="2991">
        <v>1</v>
      </c>
      <c r="F24" s="2992"/>
      <c r="G24" s="2991">
        <v>1</v>
      </c>
      <c r="H24" s="2992"/>
      <c r="I24" s="2991">
        <v>1</v>
      </c>
      <c r="J24" s="2992"/>
      <c r="K24" s="2991">
        <v>1</v>
      </c>
      <c r="L24" s="2992"/>
      <c r="M24" s="2991">
        <v>1</v>
      </c>
      <c r="N24" s="2992"/>
      <c r="O24" s="2991">
        <v>1</v>
      </c>
      <c r="P24" s="2992">
        <v>1</v>
      </c>
      <c r="Q24" s="2991">
        <v>1</v>
      </c>
      <c r="R24" s="677">
        <f>'比较法-商业'!C49</f>
        <v>28544</v>
      </c>
      <c r="S24" s="675">
        <f t="shared" ref="S24:S54" si="11">ROUND(R24*B24/10000,0)</f>
        <v>5954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面积清单!K4</f>
        <v>2层汇总</v>
      </c>
      <c r="B25" s="674">
        <f>面积清单!L4</f>
        <v>3418.6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IF(B25="",0,ROUND($R$24*C25*E25*G25*I25*K25*M25*O25*Q25,0))</f>
        <v>19981</v>
      </c>
      <c r="S25" s="322">
        <f t="shared" si="11"/>
        <v>6831</v>
      </c>
    </row>
    <row r="26" spans="1:45">
      <c r="A26" s="674" t="str">
        <f>面积清单!K5</f>
        <v>3层汇总</v>
      </c>
      <c r="B26" s="674">
        <f>面积清单!L5</f>
        <v>2686.54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3</v>
      </c>
      <c r="Q26" s="24">
        <f t="shared" ref="Q26:Q89" si="19">(SUMIF($17:$17,P26,$18:$18)-SUMIF($17:$17,$P$24,$18:$18)+100)/100</f>
        <v>0.6</v>
      </c>
      <c r="R26" s="672">
        <f t="shared" ref="R26:R89" si="20">IF(B26="",0,ROUND($R$24*C26*E26*G26*I26*K26*M26*O26*Q26,0))</f>
        <v>17126</v>
      </c>
      <c r="S26" s="322">
        <f t="shared" si="11"/>
        <v>4601</v>
      </c>
    </row>
    <row r="27" spans="1:45">
      <c r="A27" s="674" t="str">
        <f>面积清单!K6</f>
        <v>4层汇总</v>
      </c>
      <c r="B27" s="674">
        <f>面积清单!L6</f>
        <v>3779.78</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v>4</v>
      </c>
      <c r="Q27" s="24">
        <f t="shared" si="19"/>
        <v>0.5</v>
      </c>
      <c r="R27" s="672">
        <f t="shared" si="20"/>
        <v>14272</v>
      </c>
      <c r="S27" s="322">
        <f t="shared" si="11"/>
        <v>5395</v>
      </c>
    </row>
    <row r="28" spans="1:45">
      <c r="A28" s="674" t="str">
        <f>面积清单!K7</f>
        <v>5层汇总</v>
      </c>
      <c r="B28" s="674">
        <f>面积清单!L7</f>
        <v>2534.54</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v>5</v>
      </c>
      <c r="Q28" s="24">
        <f t="shared" si="19"/>
        <v>0.5</v>
      </c>
      <c r="R28" s="672">
        <f t="shared" si="20"/>
        <v>14272</v>
      </c>
      <c r="S28" s="322">
        <f t="shared" si="11"/>
        <v>3617</v>
      </c>
    </row>
    <row r="29" spans="1:45">
      <c r="A29" s="674" t="str">
        <f>面积清单!K8</f>
        <v>6层汇总</v>
      </c>
      <c r="B29" s="674">
        <f>面积清单!L8</f>
        <v>4432.26</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v>6</v>
      </c>
      <c r="Q29" s="24">
        <f t="shared" si="19"/>
        <v>0.5</v>
      </c>
      <c r="R29" s="672">
        <f t="shared" si="20"/>
        <v>14272</v>
      </c>
      <c r="S29" s="322">
        <f t="shared" si="11"/>
        <v>6326</v>
      </c>
    </row>
    <row r="30" spans="1:45">
      <c r="A30" s="674" t="str">
        <f>面积清单!K9</f>
        <v>负1层汇总</v>
      </c>
      <c r="B30" s="674">
        <f>面积清单!L9</f>
        <v>314.17999999999995</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v>-1</v>
      </c>
      <c r="Q30" s="24">
        <f t="shared" si="19"/>
        <v>0.6</v>
      </c>
      <c r="R30" s="672">
        <f t="shared" si="20"/>
        <v>17126</v>
      </c>
      <c r="S30" s="322">
        <f t="shared" si="11"/>
        <v>538</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19251.75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523" t="s">
        <v>2231</v>
      </c>
      <c r="Q4" s="3524"/>
      <c r="R4" s="3527" t="s">
        <v>2227</v>
      </c>
      <c r="S4" s="3528"/>
      <c r="T4" s="3527" t="s">
        <v>2228</v>
      </c>
      <c r="U4" s="3528"/>
      <c r="V4" s="3529" t="s">
        <v>2229</v>
      </c>
      <c r="W4" s="3529"/>
      <c r="X4" s="2095"/>
      <c r="Y4" s="3527" t="s">
        <v>2231</v>
      </c>
      <c r="Z4" s="3528"/>
      <c r="AA4" s="3531" t="s">
        <v>2227</v>
      </c>
      <c r="AB4" s="3531" t="s">
        <v>2228</v>
      </c>
      <c r="AC4" s="3520" t="s">
        <v>2229</v>
      </c>
    </row>
    <row r="5" spans="1:29" ht="15">
      <c r="A5" s="364"/>
      <c r="B5" s="365"/>
      <c r="C5" s="3502" t="s">
        <v>2122</v>
      </c>
      <c r="D5" s="3503"/>
      <c r="E5" s="3509" t="s">
        <v>2123</v>
      </c>
      <c r="F5" s="3510"/>
      <c r="G5" s="3502" t="s">
        <v>2124</v>
      </c>
      <c r="H5" s="3503"/>
      <c r="I5" s="3502" t="s">
        <v>2125</v>
      </c>
      <c r="J5" s="3503"/>
      <c r="K5" s="567"/>
      <c r="L5" s="2894"/>
      <c r="M5" s="2895"/>
      <c r="N5" s="2895"/>
      <c r="O5" s="2895"/>
      <c r="P5" s="3525"/>
      <c r="Q5" s="3490"/>
      <c r="R5" s="3495"/>
      <c r="S5" s="3496"/>
      <c r="T5" s="3495"/>
      <c r="U5" s="3496"/>
      <c r="V5" s="3499"/>
      <c r="W5" s="3499"/>
      <c r="X5" s="1490"/>
      <c r="Y5" s="3495"/>
      <c r="Z5" s="3496"/>
      <c r="AA5" s="3481"/>
      <c r="AB5" s="3481"/>
      <c r="AC5" s="352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526"/>
      <c r="Q6" s="3492"/>
      <c r="R6" s="3495"/>
      <c r="S6" s="3496"/>
      <c r="T6" s="3497"/>
      <c r="U6" s="3498"/>
      <c r="V6" s="3499"/>
      <c r="W6" s="3499"/>
      <c r="X6" s="1490"/>
      <c r="Y6" s="3497"/>
      <c r="Z6" s="3498"/>
      <c r="AA6" s="3482"/>
      <c r="AB6" s="3482"/>
      <c r="AC6" s="3522"/>
    </row>
    <row r="7" spans="1:29" s="113" customFormat="1" ht="15.75" thickBot="1">
      <c r="A7" s="368" t="s">
        <v>2128</v>
      </c>
      <c r="B7" s="369"/>
      <c r="C7" s="370">
        <f>'数据-取费表'!B2</f>
        <v>44726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0"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0" t="s">
        <v>2132</v>
      </c>
      <c r="Q8" s="3505"/>
      <c r="R8" s="710" t="s">
        <v>17</v>
      </c>
      <c r="S8" s="711">
        <f t="shared" si="0"/>
        <v>0</v>
      </c>
      <c r="T8" s="710" t="s">
        <v>17</v>
      </c>
      <c r="U8" s="711">
        <f t="shared" si="1"/>
        <v>0</v>
      </c>
      <c r="V8" s="710" t="s">
        <v>17</v>
      </c>
      <c r="W8" s="711">
        <f t="shared" si="2"/>
        <v>0</v>
      </c>
      <c r="X8" s="712"/>
      <c r="Y8" s="3504" t="s">
        <v>2132</v>
      </c>
      <c r="Z8" s="350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9"/>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7" t="s">
        <v>2140</v>
      </c>
      <c r="Q15" s="1487" t="str">
        <f t="shared" si="6"/>
        <v>办公集聚程度</v>
      </c>
      <c r="R15" s="714" t="s">
        <v>17</v>
      </c>
      <c r="S15" s="715">
        <f t="shared" si="0"/>
        <v>100</v>
      </c>
      <c r="T15" s="714" t="s">
        <v>17</v>
      </c>
      <c r="U15" s="715">
        <f t="shared" si="1"/>
        <v>100</v>
      </c>
      <c r="V15" s="714" t="s">
        <v>17</v>
      </c>
      <c r="W15" s="715">
        <f t="shared" si="2"/>
        <v>100</v>
      </c>
      <c r="X15" s="1490"/>
      <c r="Y15" s="3470"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8"/>
      <c r="Q16" s="1487"/>
      <c r="R16" s="714"/>
      <c r="S16" s="715"/>
      <c r="T16" s="714"/>
      <c r="U16" s="715"/>
      <c r="V16" s="714"/>
      <c r="W16" s="715"/>
      <c r="X16" s="1490"/>
      <c r="Y16" s="3471"/>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8"/>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8"/>
      <c r="Q18" s="1487"/>
      <c r="R18" s="714"/>
      <c r="S18" s="715"/>
      <c r="T18" s="714"/>
      <c r="U18" s="715"/>
      <c r="V18" s="714"/>
      <c r="W18" s="715"/>
      <c r="X18" s="1490"/>
      <c r="Y18" s="3471"/>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8"/>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8"/>
      <c r="Q20" s="1487"/>
      <c r="R20" s="714"/>
      <c r="S20" s="715"/>
      <c r="T20" s="714"/>
      <c r="U20" s="715"/>
      <c r="V20" s="714"/>
      <c r="W20" s="715"/>
      <c r="X20" s="1490"/>
      <c r="Y20" s="3471"/>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8"/>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8"/>
      <c r="Q22" s="1487"/>
      <c r="R22" s="714"/>
      <c r="S22" s="715"/>
      <c r="T22" s="714"/>
      <c r="U22" s="715"/>
      <c r="V22" s="714"/>
      <c r="W22" s="715"/>
      <c r="X22" s="1490"/>
      <c r="Y22" s="3471"/>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8"/>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8"/>
      <c r="Q24" s="1487"/>
      <c r="R24" s="714"/>
      <c r="S24" s="715"/>
      <c r="T24" s="714"/>
      <c r="U24" s="715"/>
      <c r="V24" s="714"/>
      <c r="W24" s="715"/>
      <c r="X24" s="1490"/>
      <c r="Y24" s="3471"/>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8"/>
      <c r="Q25" s="1487" t="str">
        <f>B25</f>
        <v>毗邻道路的类型与等级</v>
      </c>
      <c r="R25" s="714" t="s">
        <v>17</v>
      </c>
      <c r="S25" s="715">
        <f>F25</f>
        <v>100</v>
      </c>
      <c r="T25" s="714" t="s">
        <v>17</v>
      </c>
      <c r="U25" s="715">
        <f>H25</f>
        <v>100</v>
      </c>
      <c r="V25" s="714" t="s">
        <v>17</v>
      </c>
      <c r="W25" s="715">
        <f>J25</f>
        <v>100</v>
      </c>
      <c r="X25" s="1490"/>
      <c r="Y25" s="347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8"/>
      <c r="Q26" s="1487"/>
      <c r="R26" s="714"/>
      <c r="S26" s="715"/>
      <c r="T26" s="714"/>
      <c r="U26" s="715"/>
      <c r="V26" s="714"/>
      <c r="W26" s="715"/>
      <c r="X26" s="1490"/>
      <c r="Y26" s="3471"/>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8"/>
      <c r="Q27" s="1487" t="str">
        <f t="shared" ref="Q27:Q47" si="11">B27</f>
        <v>楼层</v>
      </c>
      <c r="R27" s="714" t="s">
        <v>17</v>
      </c>
      <c r="S27" s="715">
        <f>F27</f>
        <v>100</v>
      </c>
      <c r="T27" s="714" t="s">
        <v>17</v>
      </c>
      <c r="U27" s="715">
        <f>H27</f>
        <v>100</v>
      </c>
      <c r="V27" s="714" t="s">
        <v>17</v>
      </c>
      <c r="W27" s="715">
        <f>J27</f>
        <v>100</v>
      </c>
      <c r="X27" s="1490"/>
      <c r="Y27" s="3471"/>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8"/>
      <c r="Q28" s="1478" t="str">
        <f t="shared" si="11"/>
        <v>朝向</v>
      </c>
      <c r="R28" s="710" t="s">
        <v>17</v>
      </c>
      <c r="S28" s="711">
        <f>F28</f>
        <v>100</v>
      </c>
      <c r="T28" s="710" t="s">
        <v>17</v>
      </c>
      <c r="U28" s="711">
        <f>H28</f>
        <v>100</v>
      </c>
      <c r="V28" s="710" t="s">
        <v>17</v>
      </c>
      <c r="W28" s="711">
        <f>J28</f>
        <v>100</v>
      </c>
      <c r="X28" s="712"/>
      <c r="Y28" s="347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8"/>
      <c r="Q29" s="1487">
        <f t="shared" si="11"/>
        <v>111</v>
      </c>
      <c r="R29" s="714" t="s">
        <v>17</v>
      </c>
      <c r="S29" s="715">
        <f t="shared" ref="S29:S47" si="12">F29</f>
        <v>100</v>
      </c>
      <c r="T29" s="714" t="s">
        <v>17</v>
      </c>
      <c r="U29" s="715">
        <f t="shared" ref="U29:U47" si="13">H29</f>
        <v>100</v>
      </c>
      <c r="V29" s="714" t="s">
        <v>17</v>
      </c>
      <c r="W29" s="715">
        <f t="shared" ref="W29:W47" si="14">J29</f>
        <v>100</v>
      </c>
      <c r="X29" s="1490"/>
      <c r="Y29" s="347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8"/>
      <c r="Q30" s="1487">
        <f t="shared" si="11"/>
        <v>111</v>
      </c>
      <c r="R30" s="714" t="s">
        <v>17</v>
      </c>
      <c r="S30" s="715">
        <f t="shared" si="12"/>
        <v>100</v>
      </c>
      <c r="T30" s="714" t="s">
        <v>17</v>
      </c>
      <c r="U30" s="715">
        <f t="shared" si="13"/>
        <v>100</v>
      </c>
      <c r="V30" s="714" t="s">
        <v>17</v>
      </c>
      <c r="W30" s="715">
        <f t="shared" si="14"/>
        <v>100</v>
      </c>
      <c r="X30" s="1490"/>
      <c r="Y30" s="347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8"/>
      <c r="Q31" s="1487">
        <f t="shared" si="11"/>
        <v>111</v>
      </c>
      <c r="R31" s="714" t="s">
        <v>17</v>
      </c>
      <c r="S31" s="715">
        <f t="shared" si="12"/>
        <v>100</v>
      </c>
      <c r="T31" s="714" t="s">
        <v>17</v>
      </c>
      <c r="U31" s="715">
        <f t="shared" si="13"/>
        <v>100</v>
      </c>
      <c r="V31" s="714" t="s">
        <v>17</v>
      </c>
      <c r="W31" s="715">
        <f t="shared" si="14"/>
        <v>100</v>
      </c>
      <c r="X31" s="1490"/>
      <c r="Y31" s="347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8"/>
      <c r="Q32" s="1487">
        <f t="shared" si="11"/>
        <v>111</v>
      </c>
      <c r="R32" s="714" t="s">
        <v>17</v>
      </c>
      <c r="S32" s="715">
        <f t="shared" si="12"/>
        <v>100</v>
      </c>
      <c r="T32" s="714" t="s">
        <v>17</v>
      </c>
      <c r="U32" s="715">
        <f t="shared" si="13"/>
        <v>100</v>
      </c>
      <c r="V32" s="714" t="s">
        <v>17</v>
      </c>
      <c r="W32" s="715">
        <f t="shared" si="14"/>
        <v>100</v>
      </c>
      <c r="X32" s="1490"/>
      <c r="Y32" s="3471"/>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72" t="s">
        <v>2145</v>
      </c>
      <c r="Q33" s="1487" t="str">
        <f t="shared" si="11"/>
        <v>建筑类型</v>
      </c>
      <c r="R33" s="714" t="s">
        <v>17</v>
      </c>
      <c r="S33" s="715">
        <f t="shared" si="12"/>
        <v>100</v>
      </c>
      <c r="T33" s="714" t="s">
        <v>17</v>
      </c>
      <c r="U33" s="715">
        <f t="shared" si="13"/>
        <v>100</v>
      </c>
      <c r="V33" s="714" t="s">
        <v>17</v>
      </c>
      <c r="W33" s="715">
        <f t="shared" si="14"/>
        <v>100</v>
      </c>
      <c r="X33" s="1490"/>
      <c r="Y33" s="3475"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3"/>
      <c r="Q34" s="716" t="str">
        <f t="shared" si="11"/>
        <v>项目建筑规模</v>
      </c>
      <c r="R34" s="717" t="s">
        <v>17</v>
      </c>
      <c r="S34" s="718" t="e">
        <f t="shared" si="12"/>
        <v>#N/A</v>
      </c>
      <c r="T34" s="717" t="s">
        <v>17</v>
      </c>
      <c r="U34" s="718" t="e">
        <f t="shared" si="13"/>
        <v>#N/A</v>
      </c>
      <c r="V34" s="717" t="s">
        <v>17</v>
      </c>
      <c r="W34" s="718" t="e">
        <f t="shared" si="14"/>
        <v>#N/A</v>
      </c>
      <c r="X34" s="719"/>
      <c r="Y34" s="3475"/>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3"/>
      <c r="Q35" s="1487" t="str">
        <f t="shared" si="11"/>
        <v>建筑结构</v>
      </c>
      <c r="R35" s="714" t="s">
        <v>17</v>
      </c>
      <c r="S35" s="715">
        <f t="shared" si="12"/>
        <v>100</v>
      </c>
      <c r="T35" s="714" t="s">
        <v>17</v>
      </c>
      <c r="U35" s="715">
        <f t="shared" si="13"/>
        <v>100</v>
      </c>
      <c r="V35" s="714" t="s">
        <v>17</v>
      </c>
      <c r="W35" s="715">
        <f t="shared" si="14"/>
        <v>100</v>
      </c>
      <c r="X35" s="1490"/>
      <c r="Y35" s="3475"/>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3"/>
      <c r="Q36" s="1487" t="str">
        <f t="shared" si="11"/>
        <v>公共部分装修</v>
      </c>
      <c r="R36" s="714" t="s">
        <v>17</v>
      </c>
      <c r="S36" s="715">
        <f t="shared" si="12"/>
        <v>100</v>
      </c>
      <c r="T36" s="714" t="s">
        <v>17</v>
      </c>
      <c r="U36" s="715">
        <f t="shared" si="13"/>
        <v>100</v>
      </c>
      <c r="V36" s="714" t="s">
        <v>17</v>
      </c>
      <c r="W36" s="715">
        <f t="shared" si="14"/>
        <v>100</v>
      </c>
      <c r="X36" s="1490"/>
      <c r="Y36" s="3475"/>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3"/>
      <c r="Q37" s="1487" t="str">
        <f t="shared" si="11"/>
        <v>成新度</v>
      </c>
      <c r="R37" s="714" t="s">
        <v>17</v>
      </c>
      <c r="S37" s="715" t="e">
        <f t="shared" si="12"/>
        <v>#N/A</v>
      </c>
      <c r="T37" s="714" t="s">
        <v>17</v>
      </c>
      <c r="U37" s="715" t="e">
        <f t="shared" si="13"/>
        <v>#N/A</v>
      </c>
      <c r="V37" s="714" t="s">
        <v>17</v>
      </c>
      <c r="W37" s="715" t="e">
        <f t="shared" si="14"/>
        <v>#N/A</v>
      </c>
      <c r="X37" s="1490"/>
      <c r="Y37" s="3475"/>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3"/>
      <c r="Q38" s="1478" t="str">
        <f t="shared" si="11"/>
        <v>写字楼等级</v>
      </c>
      <c r="R38" s="710" t="s">
        <v>17</v>
      </c>
      <c r="S38" s="711">
        <f t="shared" si="12"/>
        <v>100</v>
      </c>
      <c r="T38" s="710" t="s">
        <v>17</v>
      </c>
      <c r="U38" s="711">
        <f t="shared" si="13"/>
        <v>100</v>
      </c>
      <c r="V38" s="710" t="s">
        <v>17</v>
      </c>
      <c r="W38" s="711">
        <f t="shared" si="14"/>
        <v>100</v>
      </c>
      <c r="X38" s="712"/>
      <c r="Y38" s="3475"/>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3" t="s">
        <v>2145</v>
      </c>
      <c r="Q39" s="1487" t="str">
        <f t="shared" si="11"/>
        <v>物业管理</v>
      </c>
      <c r="R39" s="714" t="s">
        <v>17</v>
      </c>
      <c r="S39" s="715">
        <f t="shared" si="12"/>
        <v>100</v>
      </c>
      <c r="T39" s="714" t="s">
        <v>17</v>
      </c>
      <c r="U39" s="715">
        <f t="shared" si="13"/>
        <v>100</v>
      </c>
      <c r="V39" s="714" t="s">
        <v>17</v>
      </c>
      <c r="W39" s="715">
        <f t="shared" si="14"/>
        <v>100</v>
      </c>
      <c r="X39" s="1490"/>
      <c r="Y39" s="3475"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3"/>
      <c r="Q40" s="1487" t="str">
        <f t="shared" si="11"/>
        <v>市政基础设施</v>
      </c>
      <c r="R40" s="714" t="s">
        <v>17</v>
      </c>
      <c r="S40" s="715">
        <f t="shared" si="12"/>
        <v>100</v>
      </c>
      <c r="T40" s="714" t="s">
        <v>17</v>
      </c>
      <c r="U40" s="715">
        <f t="shared" si="13"/>
        <v>100</v>
      </c>
      <c r="V40" s="714" t="s">
        <v>17</v>
      </c>
      <c r="W40" s="715">
        <f t="shared" si="14"/>
        <v>100</v>
      </c>
      <c r="X40" s="1490"/>
      <c r="Y40" s="3475"/>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3"/>
      <c r="Q41" s="1487" t="str">
        <f t="shared" si="11"/>
        <v>层高</v>
      </c>
      <c r="R41" s="714" t="s">
        <v>17</v>
      </c>
      <c r="S41" s="715">
        <f t="shared" si="12"/>
        <v>100</v>
      </c>
      <c r="T41" s="714" t="s">
        <v>17</v>
      </c>
      <c r="U41" s="715">
        <f t="shared" si="13"/>
        <v>100</v>
      </c>
      <c r="V41" s="714" t="s">
        <v>17</v>
      </c>
      <c r="W41" s="715">
        <f t="shared" si="14"/>
        <v>100</v>
      </c>
      <c r="X41" s="1490"/>
      <c r="Y41" s="3475"/>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3"/>
      <c r="Q42" s="716" t="str">
        <f t="shared" si="11"/>
        <v>单套建筑面积</v>
      </c>
      <c r="R42" s="717" t="s">
        <v>17</v>
      </c>
      <c r="S42" s="718">
        <f t="shared" si="12"/>
        <v>100</v>
      </c>
      <c r="T42" s="717" t="s">
        <v>17</v>
      </c>
      <c r="U42" s="718">
        <f t="shared" si="13"/>
        <v>100</v>
      </c>
      <c r="V42" s="717" t="s">
        <v>17</v>
      </c>
      <c r="W42" s="718">
        <f t="shared" si="14"/>
        <v>100</v>
      </c>
      <c r="X42" s="719"/>
      <c r="Y42" s="3475"/>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3"/>
      <c r="Q43" s="1487" t="str">
        <f t="shared" si="11"/>
        <v>内部装修</v>
      </c>
      <c r="R43" s="714" t="s">
        <v>17</v>
      </c>
      <c r="S43" s="715">
        <f t="shared" si="12"/>
        <v>100</v>
      </c>
      <c r="T43" s="714" t="s">
        <v>17</v>
      </c>
      <c r="U43" s="715">
        <f t="shared" si="13"/>
        <v>100</v>
      </c>
      <c r="V43" s="714" t="s">
        <v>17</v>
      </c>
      <c r="W43" s="715">
        <f t="shared" si="14"/>
        <v>100</v>
      </c>
      <c r="X43" s="1490"/>
      <c r="Y43" s="3475"/>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3"/>
      <c r="Q44" s="1487" t="str">
        <f t="shared" si="11"/>
        <v>内部装修维护情况</v>
      </c>
      <c r="R44" s="714" t="s">
        <v>17</v>
      </c>
      <c r="S44" s="715">
        <f t="shared" si="12"/>
        <v>100</v>
      </c>
      <c r="T44" s="714" t="s">
        <v>17</v>
      </c>
      <c r="U44" s="715">
        <f t="shared" si="13"/>
        <v>100</v>
      </c>
      <c r="V44" s="714" t="s">
        <v>17</v>
      </c>
      <c r="W44" s="715">
        <f t="shared" si="14"/>
        <v>100</v>
      </c>
      <c r="X44" s="1490"/>
      <c r="Y44" s="347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3"/>
      <c r="Q45" s="1478">
        <f t="shared" si="11"/>
        <v>111</v>
      </c>
      <c r="R45" s="710" t="s">
        <v>17</v>
      </c>
      <c r="S45" s="711">
        <f t="shared" si="12"/>
        <v>100</v>
      </c>
      <c r="T45" s="710" t="s">
        <v>17</v>
      </c>
      <c r="U45" s="711">
        <f t="shared" si="13"/>
        <v>100</v>
      </c>
      <c r="V45" s="710" t="s">
        <v>17</v>
      </c>
      <c r="W45" s="711">
        <f t="shared" si="14"/>
        <v>100</v>
      </c>
      <c r="X45" s="712"/>
      <c r="Y45" s="347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3"/>
      <c r="Q46" s="1487">
        <f t="shared" si="11"/>
        <v>111</v>
      </c>
      <c r="R46" s="714" t="s">
        <v>17</v>
      </c>
      <c r="S46" s="715">
        <f t="shared" si="12"/>
        <v>100</v>
      </c>
      <c r="T46" s="714" t="s">
        <v>17</v>
      </c>
      <c r="U46" s="715">
        <f t="shared" si="13"/>
        <v>100</v>
      </c>
      <c r="V46" s="714" t="s">
        <v>17</v>
      </c>
      <c r="W46" s="715">
        <f t="shared" si="14"/>
        <v>100</v>
      </c>
      <c r="X46" s="1490"/>
      <c r="Y46" s="347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4"/>
      <c r="Q47" s="1487">
        <f t="shared" si="11"/>
        <v>111</v>
      </c>
      <c r="R47" s="714" t="s">
        <v>17</v>
      </c>
      <c r="S47" s="715">
        <f t="shared" si="12"/>
        <v>100</v>
      </c>
      <c r="T47" s="714" t="s">
        <v>17</v>
      </c>
      <c r="U47" s="715">
        <f t="shared" si="13"/>
        <v>100</v>
      </c>
      <c r="V47" s="714" t="s">
        <v>17</v>
      </c>
      <c r="W47" s="715">
        <f t="shared" si="14"/>
        <v>100</v>
      </c>
      <c r="X47" s="1490"/>
      <c r="Y47" s="3476"/>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9" t="str">
        <f>A48</f>
        <v>成交单价（元/平方米）</v>
      </c>
      <c r="Q48" s="3468"/>
      <c r="R48" s="3469">
        <f>E48</f>
        <v>0</v>
      </c>
      <c r="S48" s="3469"/>
      <c r="T48" s="3469">
        <f>G48</f>
        <v>0</v>
      </c>
      <c r="U48" s="3469"/>
      <c r="V48" s="3469">
        <f>I48</f>
        <v>0</v>
      </c>
      <c r="W48" s="3469"/>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9" t="str">
        <f>A49</f>
        <v>比较价值（元/平方米）</v>
      </c>
      <c r="Q49" s="3468"/>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19251.75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1025"/>
      <c r="M4" s="1026"/>
      <c r="N4" s="1026"/>
      <c r="O4" s="1026"/>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1025"/>
      <c r="M5" s="1026"/>
      <c r="N5" s="1026"/>
      <c r="O5" s="1026"/>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1025"/>
      <c r="M6" s="1026"/>
      <c r="N6" s="1026"/>
      <c r="O6" s="1026"/>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1"/>
      <c r="Q16" s="1487"/>
      <c r="R16" s="714"/>
      <c r="S16" s="715"/>
      <c r="T16" s="714"/>
      <c r="U16" s="715"/>
      <c r="V16" s="714"/>
      <c r="W16" s="715"/>
      <c r="X16" s="1490"/>
      <c r="Y16" s="3471"/>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1"/>
      <c r="Q18" s="1487"/>
      <c r="R18" s="714"/>
      <c r="S18" s="715"/>
      <c r="T18" s="714"/>
      <c r="U18" s="715"/>
      <c r="V18" s="714"/>
      <c r="W18" s="715"/>
      <c r="X18" s="1490"/>
      <c r="Y18" s="3471"/>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1"/>
      <c r="Q19" s="1487" t="str">
        <f>B19</f>
        <v>公共配套设施</v>
      </c>
      <c r="R19" s="714" t="s">
        <v>17</v>
      </c>
      <c r="S19" s="715">
        <f>F19</f>
        <v>100</v>
      </c>
      <c r="T19" s="714" t="s">
        <v>17</v>
      </c>
      <c r="U19" s="715">
        <f>H19</f>
        <v>100</v>
      </c>
      <c r="V19" s="714" t="s">
        <v>17</v>
      </c>
      <c r="W19" s="715">
        <f>J19</f>
        <v>100</v>
      </c>
      <c r="X19" s="1490"/>
      <c r="Y19" s="347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1"/>
      <c r="Q20" s="1487"/>
      <c r="R20" s="714"/>
      <c r="S20" s="715"/>
      <c r="T20" s="714"/>
      <c r="U20" s="715"/>
      <c r="V20" s="714"/>
      <c r="W20" s="715"/>
      <c r="X20" s="1490"/>
      <c r="Y20" s="3471"/>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1"/>
      <c r="Q21" s="1487" t="str">
        <f>B21</f>
        <v>基础设施水平</v>
      </c>
      <c r="R21" s="714" t="s">
        <v>17</v>
      </c>
      <c r="S21" s="715">
        <f>F21</f>
        <v>100</v>
      </c>
      <c r="T21" s="714" t="s">
        <v>17</v>
      </c>
      <c r="U21" s="715">
        <f>H21</f>
        <v>100</v>
      </c>
      <c r="V21" s="714" t="s">
        <v>17</v>
      </c>
      <c r="W21" s="715">
        <f>J21</f>
        <v>100</v>
      </c>
      <c r="X21" s="1490"/>
      <c r="Y21" s="347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1"/>
      <c r="Q22" s="1487"/>
      <c r="R22" s="714"/>
      <c r="S22" s="715"/>
      <c r="T22" s="714"/>
      <c r="U22" s="715"/>
      <c r="V22" s="714"/>
      <c r="W22" s="715"/>
      <c r="X22" s="1490"/>
      <c r="Y22" s="3471"/>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1"/>
      <c r="Q23" s="1487" t="str">
        <f>B23</f>
        <v>环境质量</v>
      </c>
      <c r="R23" s="714" t="s">
        <v>17</v>
      </c>
      <c r="S23" s="715">
        <f>F23</f>
        <v>100</v>
      </c>
      <c r="T23" s="714" t="s">
        <v>17</v>
      </c>
      <c r="U23" s="715">
        <f>H23</f>
        <v>100</v>
      </c>
      <c r="V23" s="714" t="s">
        <v>17</v>
      </c>
      <c r="W23" s="715">
        <f>J23</f>
        <v>100</v>
      </c>
      <c r="X23" s="1490"/>
      <c r="Y23" s="347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1"/>
      <c r="Q24" s="1487"/>
      <c r="R24" s="714"/>
      <c r="S24" s="715"/>
      <c r="T24" s="714"/>
      <c r="U24" s="715"/>
      <c r="V24" s="714"/>
      <c r="W24" s="715"/>
      <c r="X24" s="1490"/>
      <c r="Y24" s="347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1"/>
      <c r="Q25" s="1487">
        <f>B25</f>
        <v>111</v>
      </c>
      <c r="R25" s="714" t="s">
        <v>17</v>
      </c>
      <c r="S25" s="715">
        <f>F25</f>
        <v>100</v>
      </c>
      <c r="T25" s="714" t="s">
        <v>17</v>
      </c>
      <c r="U25" s="715">
        <f>H25</f>
        <v>100</v>
      </c>
      <c r="V25" s="714" t="s">
        <v>17</v>
      </c>
      <c r="W25" s="715">
        <f>J25</f>
        <v>100</v>
      </c>
      <c r="X25" s="1490"/>
      <c r="Y25" s="347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1"/>
      <c r="Q26" s="1487">
        <f t="shared" ref="Q26:Q40" si="11">B26</f>
        <v>111</v>
      </c>
      <c r="R26" s="714" t="s">
        <v>17</v>
      </c>
      <c r="S26" s="715">
        <f>F26</f>
        <v>100</v>
      </c>
      <c r="T26" s="714" t="s">
        <v>17</v>
      </c>
      <c r="U26" s="715">
        <f>H26</f>
        <v>100</v>
      </c>
      <c r="V26" s="714" t="s">
        <v>17</v>
      </c>
      <c r="W26" s="715">
        <f>J26</f>
        <v>100</v>
      </c>
      <c r="X26" s="1490"/>
      <c r="Y26" s="347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1"/>
      <c r="Q27" s="1478">
        <f t="shared" si="11"/>
        <v>111</v>
      </c>
      <c r="R27" s="710" t="s">
        <v>17</v>
      </c>
      <c r="S27" s="711">
        <f>F27</f>
        <v>100</v>
      </c>
      <c r="T27" s="710" t="s">
        <v>17</v>
      </c>
      <c r="U27" s="711">
        <f>H27</f>
        <v>100</v>
      </c>
      <c r="V27" s="710" t="s">
        <v>17</v>
      </c>
      <c r="W27" s="711">
        <f>J27</f>
        <v>100</v>
      </c>
      <c r="X27" s="712"/>
      <c r="Y27" s="347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1"/>
      <c r="Q28" s="1487">
        <f t="shared" si="11"/>
        <v>111</v>
      </c>
      <c r="R28" s="714" t="s">
        <v>17</v>
      </c>
      <c r="S28" s="715">
        <f t="shared" ref="S28:S40" si="12">F28</f>
        <v>100</v>
      </c>
      <c r="T28" s="714" t="s">
        <v>17</v>
      </c>
      <c r="U28" s="715">
        <f t="shared" ref="U28:U40" si="13">H28</f>
        <v>100</v>
      </c>
      <c r="V28" s="714" t="s">
        <v>17</v>
      </c>
      <c r="W28" s="715">
        <f t="shared" ref="W28:W40" si="14">J28</f>
        <v>100</v>
      </c>
      <c r="X28" s="1490"/>
      <c r="Y28" s="3471"/>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2" t="s">
        <v>2145</v>
      </c>
      <c r="Q29" s="1487" t="str">
        <f t="shared" si="11"/>
        <v>建筑类型</v>
      </c>
      <c r="R29" s="714" t="s">
        <v>17</v>
      </c>
      <c r="S29" s="715">
        <f t="shared" si="12"/>
        <v>100</v>
      </c>
      <c r="T29" s="714" t="s">
        <v>17</v>
      </c>
      <c r="U29" s="715">
        <f t="shared" si="13"/>
        <v>100</v>
      </c>
      <c r="V29" s="714" t="s">
        <v>17</v>
      </c>
      <c r="W29" s="715">
        <f t="shared" si="14"/>
        <v>100</v>
      </c>
      <c r="X29" s="1490"/>
      <c r="Y29" s="347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5"/>
      <c r="Q30" s="716" t="str">
        <f t="shared" si="11"/>
        <v>项目建筑规模</v>
      </c>
      <c r="R30" s="717" t="s">
        <v>17</v>
      </c>
      <c r="S30" s="718" t="e">
        <f t="shared" si="12"/>
        <v>#N/A</v>
      </c>
      <c r="T30" s="717" t="s">
        <v>17</v>
      </c>
      <c r="U30" s="718" t="e">
        <f t="shared" si="13"/>
        <v>#N/A</v>
      </c>
      <c r="V30" s="717" t="s">
        <v>17</v>
      </c>
      <c r="W30" s="718" t="e">
        <f t="shared" si="14"/>
        <v>#N/A</v>
      </c>
      <c r="X30" s="719"/>
      <c r="Y30" s="347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5"/>
      <c r="Q31" s="1487" t="str">
        <f t="shared" si="11"/>
        <v>建筑结构</v>
      </c>
      <c r="R31" s="714" t="s">
        <v>17</v>
      </c>
      <c r="S31" s="715">
        <f t="shared" si="12"/>
        <v>100</v>
      </c>
      <c r="T31" s="714" t="s">
        <v>17</v>
      </c>
      <c r="U31" s="715">
        <f t="shared" si="13"/>
        <v>100</v>
      </c>
      <c r="V31" s="714" t="s">
        <v>17</v>
      </c>
      <c r="W31" s="715">
        <f t="shared" si="14"/>
        <v>100</v>
      </c>
      <c r="X31" s="1490"/>
      <c r="Y31" s="347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5"/>
      <c r="Q32" s="1487" t="str">
        <f t="shared" si="11"/>
        <v>公共部分装修</v>
      </c>
      <c r="R32" s="714" t="s">
        <v>17</v>
      </c>
      <c r="S32" s="715">
        <f t="shared" si="12"/>
        <v>100</v>
      </c>
      <c r="T32" s="714" t="s">
        <v>17</v>
      </c>
      <c r="U32" s="715">
        <f t="shared" si="13"/>
        <v>100</v>
      </c>
      <c r="V32" s="714" t="s">
        <v>17</v>
      </c>
      <c r="W32" s="715">
        <f t="shared" si="14"/>
        <v>100</v>
      </c>
      <c r="X32" s="1490"/>
      <c r="Y32" s="347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5"/>
      <c r="Q33" s="1487" t="str">
        <f t="shared" si="11"/>
        <v>成新度</v>
      </c>
      <c r="R33" s="714" t="s">
        <v>17</v>
      </c>
      <c r="S33" s="715" t="e">
        <f t="shared" si="12"/>
        <v>#N/A</v>
      </c>
      <c r="T33" s="714" t="s">
        <v>17</v>
      </c>
      <c r="U33" s="715" t="e">
        <f t="shared" si="13"/>
        <v>#N/A</v>
      </c>
      <c r="V33" s="714" t="s">
        <v>17</v>
      </c>
      <c r="W33" s="715" t="e">
        <f t="shared" si="14"/>
        <v>#N/A</v>
      </c>
      <c r="X33" s="1490"/>
      <c r="Y33" s="347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5"/>
      <c r="Q34" s="1478" t="str">
        <f t="shared" si="11"/>
        <v>物业管理</v>
      </c>
      <c r="R34" s="710" t="s">
        <v>17</v>
      </c>
      <c r="S34" s="711">
        <f t="shared" si="12"/>
        <v>100</v>
      </c>
      <c r="T34" s="710" t="s">
        <v>17</v>
      </c>
      <c r="U34" s="711">
        <f t="shared" si="13"/>
        <v>100</v>
      </c>
      <c r="V34" s="710" t="s">
        <v>17</v>
      </c>
      <c r="W34" s="711">
        <f t="shared" si="14"/>
        <v>100</v>
      </c>
      <c r="X34" s="712"/>
      <c r="Y34" s="347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5" t="s">
        <v>2145</v>
      </c>
      <c r="Q35" s="1487" t="str">
        <f t="shared" si="11"/>
        <v>市政基础设施</v>
      </c>
      <c r="R35" s="714" t="s">
        <v>17</v>
      </c>
      <c r="S35" s="715">
        <f t="shared" si="12"/>
        <v>100</v>
      </c>
      <c r="T35" s="714" t="s">
        <v>17</v>
      </c>
      <c r="U35" s="715">
        <f t="shared" si="13"/>
        <v>100</v>
      </c>
      <c r="V35" s="714" t="s">
        <v>17</v>
      </c>
      <c r="W35" s="715">
        <f t="shared" si="14"/>
        <v>100</v>
      </c>
      <c r="X35" s="1490"/>
      <c r="Y35" s="347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5"/>
      <c r="Q36" s="1487" t="str">
        <f t="shared" si="11"/>
        <v>内部装修</v>
      </c>
      <c r="R36" s="714" t="s">
        <v>17</v>
      </c>
      <c r="S36" s="715">
        <f t="shared" si="12"/>
        <v>100</v>
      </c>
      <c r="T36" s="714" t="s">
        <v>17</v>
      </c>
      <c r="U36" s="715">
        <f t="shared" si="13"/>
        <v>100</v>
      </c>
      <c r="V36" s="714" t="s">
        <v>17</v>
      </c>
      <c r="W36" s="715">
        <f t="shared" si="14"/>
        <v>100</v>
      </c>
      <c r="X36" s="1490"/>
      <c r="Y36" s="347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5"/>
      <c r="Q37" s="1487" t="str">
        <f t="shared" si="11"/>
        <v>内部装修状况</v>
      </c>
      <c r="R37" s="714" t="s">
        <v>17</v>
      </c>
      <c r="S37" s="715">
        <f t="shared" si="12"/>
        <v>100</v>
      </c>
      <c r="T37" s="714" t="s">
        <v>17</v>
      </c>
      <c r="U37" s="715">
        <f t="shared" si="13"/>
        <v>100</v>
      </c>
      <c r="V37" s="714" t="s">
        <v>17</v>
      </c>
      <c r="W37" s="715">
        <f t="shared" si="14"/>
        <v>100</v>
      </c>
      <c r="X37" s="1490"/>
      <c r="Y37" s="347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5"/>
      <c r="Q38" s="716">
        <f t="shared" si="11"/>
        <v>111</v>
      </c>
      <c r="R38" s="717" t="s">
        <v>17</v>
      </c>
      <c r="S38" s="718">
        <f t="shared" si="12"/>
        <v>100</v>
      </c>
      <c r="T38" s="717" t="s">
        <v>17</v>
      </c>
      <c r="U38" s="718">
        <f t="shared" si="13"/>
        <v>100</v>
      </c>
      <c r="V38" s="717" t="s">
        <v>17</v>
      </c>
      <c r="W38" s="718">
        <f t="shared" si="14"/>
        <v>100</v>
      </c>
      <c r="X38" s="719"/>
      <c r="Y38" s="347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5"/>
      <c r="Q39" s="1487">
        <f t="shared" si="11"/>
        <v>111</v>
      </c>
      <c r="R39" s="714" t="s">
        <v>17</v>
      </c>
      <c r="S39" s="715">
        <f t="shared" si="12"/>
        <v>100</v>
      </c>
      <c r="T39" s="714" t="s">
        <v>17</v>
      </c>
      <c r="U39" s="715">
        <f t="shared" si="13"/>
        <v>100</v>
      </c>
      <c r="V39" s="714" t="s">
        <v>17</v>
      </c>
      <c r="W39" s="715">
        <f t="shared" si="14"/>
        <v>100</v>
      </c>
      <c r="X39" s="1490"/>
      <c r="Y39" s="347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6"/>
      <c r="Q40" s="1487">
        <f t="shared" si="11"/>
        <v>111</v>
      </c>
      <c r="R40" s="714" t="s">
        <v>17</v>
      </c>
      <c r="S40" s="715">
        <f t="shared" si="12"/>
        <v>100</v>
      </c>
      <c r="T40" s="714" t="s">
        <v>17</v>
      </c>
      <c r="U40" s="715">
        <f t="shared" si="13"/>
        <v>100</v>
      </c>
      <c r="V40" s="714" t="s">
        <v>17</v>
      </c>
      <c r="W40" s="715">
        <f t="shared" si="14"/>
        <v>100</v>
      </c>
      <c r="X40" s="1490"/>
      <c r="Y40" s="3476"/>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8" t="str">
        <f>A41</f>
        <v>成交单价（元/平方米）</v>
      </c>
      <c r="Q41" s="3468"/>
      <c r="R41" s="3469">
        <f>E41</f>
        <v>0</v>
      </c>
      <c r="S41" s="3469"/>
      <c r="T41" s="3469">
        <f>G41</f>
        <v>0</v>
      </c>
      <c r="U41" s="3469"/>
      <c r="V41" s="3469">
        <f>I41</f>
        <v>0</v>
      </c>
      <c r="W41" s="3469"/>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8" t="str">
        <f>A42</f>
        <v>比较价值（元/平方米）</v>
      </c>
      <c r="Q42" s="3468"/>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估价对象为房地产，为所有。根据《国有土地使用证》[]，估价对象（分摊）出让国有建设用地使用权面积为0平方米，建筑面积为19251.75平方米。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估价对象为房地产,属开发建设的，该项目尚在开发建设中。根据《国有土地使用证》[]，估价对象（分摊）出让国有建设用地使用权面积为0平方米，规划建筑面积为19251.75平方米。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2022年6月14日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本次评估采用的主估价方法为基准地价系数修正法和收益法。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8" t="s">
        <v>2135</v>
      </c>
      <c r="Q9" s="1478" t="str">
        <f t="shared" ref="Q9:Q14" si="6">B9</f>
        <v>用途</v>
      </c>
      <c r="R9" s="710" t="s">
        <v>17</v>
      </c>
      <c r="S9" s="711">
        <f t="shared" si="0"/>
        <v>100</v>
      </c>
      <c r="T9" s="710" t="s">
        <v>17</v>
      </c>
      <c r="U9" s="711">
        <f t="shared" si="1"/>
        <v>100</v>
      </c>
      <c r="V9" s="710" t="s">
        <v>17</v>
      </c>
      <c r="W9" s="711">
        <f t="shared" si="2"/>
        <v>100</v>
      </c>
      <c r="X9" s="712"/>
      <c r="Y9" s="334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8"/>
      <c r="Q11" s="1478">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71"/>
      <c r="Q15" s="1487"/>
      <c r="R15" s="714"/>
      <c r="S15" s="715"/>
      <c r="T15" s="714"/>
      <c r="U15" s="715"/>
      <c r="V15" s="714"/>
      <c r="W15" s="715"/>
      <c r="X15" s="1490"/>
      <c r="Y15" s="3471"/>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71"/>
      <c r="Q17" s="1487"/>
      <c r="R17" s="714"/>
      <c r="S17" s="715"/>
      <c r="T17" s="714"/>
      <c r="U17" s="715"/>
      <c r="V17" s="714"/>
      <c r="W17" s="715"/>
      <c r="X17" s="1490"/>
      <c r="Y17" s="3471"/>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71"/>
      <c r="Q19" s="1487"/>
      <c r="R19" s="714"/>
      <c r="S19" s="715"/>
      <c r="T19" s="714"/>
      <c r="U19" s="715"/>
      <c r="V19" s="714"/>
      <c r="W19" s="715"/>
      <c r="X19" s="1490"/>
      <c r="Y19" s="3471"/>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71"/>
      <c r="Q21" s="1487"/>
      <c r="R21" s="714"/>
      <c r="S21" s="715"/>
      <c r="T21" s="714"/>
      <c r="U21" s="715"/>
      <c r="V21" s="714"/>
      <c r="W21" s="715"/>
      <c r="X21" s="1490"/>
      <c r="Y21" s="347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71"/>
      <c r="Q24" s="1487">
        <f t="shared" ref="Q24:Q36"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5"/>
      <c r="Q27" s="716" t="str">
        <f t="shared" si="11"/>
        <v>项目停车位配比</v>
      </c>
      <c r="R27" s="717" t="s">
        <v>17</v>
      </c>
      <c r="S27" s="718">
        <f t="shared" si="12"/>
        <v>100</v>
      </c>
      <c r="T27" s="717" t="s">
        <v>17</v>
      </c>
      <c r="U27" s="718">
        <f t="shared" si="13"/>
        <v>100</v>
      </c>
      <c r="V27" s="717" t="s">
        <v>17</v>
      </c>
      <c r="W27" s="718">
        <f t="shared" si="14"/>
        <v>100</v>
      </c>
      <c r="X27" s="719"/>
      <c r="Y27" s="347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5"/>
      <c r="Q28" s="1487" t="str">
        <f t="shared" si="11"/>
        <v>公共部分装修</v>
      </c>
      <c r="R28" s="714" t="s">
        <v>17</v>
      </c>
      <c r="S28" s="715">
        <f t="shared" si="12"/>
        <v>100</v>
      </c>
      <c r="T28" s="714" t="s">
        <v>17</v>
      </c>
      <c r="U28" s="715">
        <f t="shared" si="13"/>
        <v>100</v>
      </c>
      <c r="V28" s="714" t="s">
        <v>17</v>
      </c>
      <c r="W28" s="715">
        <f t="shared" si="14"/>
        <v>100</v>
      </c>
      <c r="X28" s="1490"/>
      <c r="Y28" s="347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5"/>
      <c r="Q29" s="1487" t="str">
        <f t="shared" si="11"/>
        <v>成新率</v>
      </c>
      <c r="R29" s="714" t="s">
        <v>17</v>
      </c>
      <c r="S29" s="715" t="e">
        <f t="shared" si="12"/>
        <v>#N/A</v>
      </c>
      <c r="T29" s="714" t="s">
        <v>17</v>
      </c>
      <c r="U29" s="715" t="e">
        <f t="shared" si="13"/>
        <v>#N/A</v>
      </c>
      <c r="V29" s="714" t="s">
        <v>17</v>
      </c>
      <c r="W29" s="715" t="e">
        <f t="shared" si="14"/>
        <v>#N/A</v>
      </c>
      <c r="X29" s="1490"/>
      <c r="Y29" s="347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5"/>
      <c r="Q30" s="1487" t="str">
        <f t="shared" si="11"/>
        <v>物业等级</v>
      </c>
      <c r="R30" s="714" t="s">
        <v>17</v>
      </c>
      <c r="S30" s="715">
        <f t="shared" si="12"/>
        <v>100</v>
      </c>
      <c r="T30" s="714" t="s">
        <v>17</v>
      </c>
      <c r="U30" s="715">
        <f t="shared" si="13"/>
        <v>100</v>
      </c>
      <c r="V30" s="714" t="s">
        <v>17</v>
      </c>
      <c r="W30" s="715">
        <f t="shared" si="14"/>
        <v>100</v>
      </c>
      <c r="X30" s="1490"/>
      <c r="Y30" s="347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5"/>
      <c r="Q31" s="1478" t="str">
        <f t="shared" si="11"/>
        <v>停车位面积</v>
      </c>
      <c r="R31" s="710" t="s">
        <v>17</v>
      </c>
      <c r="S31" s="711" t="e">
        <f t="shared" si="12"/>
        <v>#N/A</v>
      </c>
      <c r="T31" s="710" t="s">
        <v>17</v>
      </c>
      <c r="U31" s="711" t="e">
        <f t="shared" si="13"/>
        <v>#N/A</v>
      </c>
      <c r="V31" s="710" t="s">
        <v>17</v>
      </c>
      <c r="W31" s="711" t="e">
        <f t="shared" si="14"/>
        <v>#N/A</v>
      </c>
      <c r="X31" s="712"/>
      <c r="Y31" s="347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5" t="s">
        <v>2145</v>
      </c>
      <c r="Q32" s="1487" t="str">
        <f t="shared" si="11"/>
        <v>车位类型</v>
      </c>
      <c r="R32" s="714" t="s">
        <v>17</v>
      </c>
      <c r="S32" s="715">
        <f t="shared" si="12"/>
        <v>100</v>
      </c>
      <c r="T32" s="714" t="s">
        <v>17</v>
      </c>
      <c r="U32" s="715">
        <f t="shared" si="13"/>
        <v>100</v>
      </c>
      <c r="V32" s="714" t="s">
        <v>17</v>
      </c>
      <c r="W32" s="715">
        <f t="shared" si="14"/>
        <v>100</v>
      </c>
      <c r="X32" s="1490"/>
      <c r="Y32" s="347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5"/>
      <c r="Q33" s="1487" t="str">
        <f t="shared" si="11"/>
        <v>是否直接入户</v>
      </c>
      <c r="R33" s="714" t="s">
        <v>17</v>
      </c>
      <c r="S33" s="715">
        <f t="shared" si="12"/>
        <v>100</v>
      </c>
      <c r="T33" s="714" t="s">
        <v>17</v>
      </c>
      <c r="U33" s="715">
        <f t="shared" si="13"/>
        <v>100</v>
      </c>
      <c r="V33" s="714" t="s">
        <v>17</v>
      </c>
      <c r="W33" s="715">
        <f t="shared" si="14"/>
        <v>100</v>
      </c>
      <c r="X33" s="1490"/>
      <c r="Y33" s="347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5"/>
      <c r="Q34" s="1487">
        <f t="shared" si="11"/>
        <v>111</v>
      </c>
      <c r="R34" s="714" t="s">
        <v>17</v>
      </c>
      <c r="S34" s="715">
        <f t="shared" si="12"/>
        <v>100</v>
      </c>
      <c r="T34" s="714" t="s">
        <v>17</v>
      </c>
      <c r="U34" s="715">
        <f t="shared" si="13"/>
        <v>100</v>
      </c>
      <c r="V34" s="714" t="s">
        <v>17</v>
      </c>
      <c r="W34" s="715">
        <f t="shared" si="14"/>
        <v>100</v>
      </c>
      <c r="X34" s="1490"/>
      <c r="Y34" s="347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5"/>
      <c r="Q35" s="716">
        <f t="shared" si="11"/>
        <v>111</v>
      </c>
      <c r="R35" s="717" t="s">
        <v>17</v>
      </c>
      <c r="S35" s="718">
        <f t="shared" si="12"/>
        <v>100</v>
      </c>
      <c r="T35" s="717" t="s">
        <v>17</v>
      </c>
      <c r="U35" s="718">
        <f t="shared" si="13"/>
        <v>100</v>
      </c>
      <c r="V35" s="717" t="s">
        <v>17</v>
      </c>
      <c r="W35" s="718">
        <f t="shared" si="14"/>
        <v>100</v>
      </c>
      <c r="X35" s="719"/>
      <c r="Y35" s="347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5"/>
      <c r="Q36" s="1487">
        <f t="shared" si="11"/>
        <v>111</v>
      </c>
      <c r="R36" s="714" t="s">
        <v>17</v>
      </c>
      <c r="S36" s="715">
        <f t="shared" si="12"/>
        <v>100</v>
      </c>
      <c r="T36" s="714" t="s">
        <v>17</v>
      </c>
      <c r="U36" s="715">
        <f t="shared" si="13"/>
        <v>100</v>
      </c>
      <c r="V36" s="714" t="s">
        <v>17</v>
      </c>
      <c r="W36" s="715">
        <f t="shared" si="14"/>
        <v>100</v>
      </c>
      <c r="X36" s="1490"/>
      <c r="Y36" s="3475"/>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8" t="str">
        <f>A37</f>
        <v>成交单价</v>
      </c>
      <c r="Q37" s="3468"/>
      <c r="R37" s="3469">
        <f>E37</f>
        <v>0</v>
      </c>
      <c r="S37" s="3469"/>
      <c r="T37" s="3469">
        <f>G37</f>
        <v>0</v>
      </c>
      <c r="U37" s="3469"/>
      <c r="V37" s="3469">
        <f>I37</f>
        <v>0</v>
      </c>
      <c r="W37" s="3469"/>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68" t="str">
        <f>A38</f>
        <v>比较价值（元/平方米）</v>
      </c>
      <c r="Q38" s="3468"/>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5" t="str">
        <f>A39</f>
        <v>估价对象XX用房的比较价值（楼面单价，元/平方米）</v>
      </c>
      <c r="Q39" s="3466"/>
      <c r="R39" s="3533" t="e">
        <f>IF(F1="售价",ROUND(IF(D38="简单平均",AVERAGE(R38:W38),R38*F38+T38*H38+V38*J38),0),ROUND(IF(D38="简单平均",AVERAGE(R38:V38),R38*F38+T38*H38+V38*J38),1))</f>
        <v>#DIV/0!</v>
      </c>
      <c r="S39" s="3533"/>
      <c r="T39" s="3533"/>
      <c r="U39" s="3533"/>
      <c r="V39" s="3533"/>
      <c r="W39" s="353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8" t="s">
        <v>2135</v>
      </c>
      <c r="Q9" s="1478" t="str">
        <f t="shared" ref="Q9:Q14" si="6">B9</f>
        <v>用途</v>
      </c>
      <c r="R9" s="710" t="s">
        <v>17</v>
      </c>
      <c r="S9" s="711">
        <f t="shared" si="0"/>
        <v>100</v>
      </c>
      <c r="T9" s="710" t="s">
        <v>17</v>
      </c>
      <c r="U9" s="711">
        <f t="shared" si="1"/>
        <v>100</v>
      </c>
      <c r="V9" s="710" t="s">
        <v>17</v>
      </c>
      <c r="W9" s="711">
        <f t="shared" si="2"/>
        <v>100</v>
      </c>
      <c r="X9" s="712"/>
      <c r="Y9" s="334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8"/>
      <c r="Q10" s="1478" t="str">
        <f t="shared" si="6"/>
        <v>土地使用年限（年）</v>
      </c>
      <c r="R10" s="710" t="s">
        <v>17</v>
      </c>
      <c r="S10" s="711">
        <f t="shared" si="0"/>
        <v>100</v>
      </c>
      <c r="T10" s="710" t="s">
        <v>17</v>
      </c>
      <c r="U10" s="711">
        <f t="shared" si="1"/>
        <v>100</v>
      </c>
      <c r="V10" s="710" t="s">
        <v>17</v>
      </c>
      <c r="W10" s="711">
        <f t="shared" si="2"/>
        <v>100</v>
      </c>
      <c r="X10" s="712"/>
      <c r="Y10" s="334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8"/>
      <c r="Q11" s="1478">
        <f t="shared" si="6"/>
        <v>111</v>
      </c>
      <c r="R11" s="710" t="s">
        <v>17</v>
      </c>
      <c r="S11" s="711">
        <f t="shared" si="0"/>
        <v>100</v>
      </c>
      <c r="T11" s="710" t="s">
        <v>17</v>
      </c>
      <c r="U11" s="711">
        <f t="shared" si="1"/>
        <v>100</v>
      </c>
      <c r="V11" s="710" t="s">
        <v>17</v>
      </c>
      <c r="W11" s="711">
        <f t="shared" si="2"/>
        <v>100</v>
      </c>
      <c r="X11" s="712"/>
      <c r="Y11" s="334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70" t="s">
        <v>2140</v>
      </c>
      <c r="Q14" s="1487" t="str">
        <f t="shared" si="6"/>
        <v>交通便捷度</v>
      </c>
      <c r="R14" s="714" t="s">
        <v>17</v>
      </c>
      <c r="S14" s="715">
        <f t="shared" si="0"/>
        <v>100</v>
      </c>
      <c r="T14" s="714" t="s">
        <v>17</v>
      </c>
      <c r="U14" s="715">
        <f t="shared" si="1"/>
        <v>100</v>
      </c>
      <c r="V14" s="714" t="s">
        <v>17</v>
      </c>
      <c r="W14" s="715">
        <f t="shared" si="2"/>
        <v>100</v>
      </c>
      <c r="X14" s="1490"/>
      <c r="Y14" s="347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71"/>
      <c r="Q15" s="1487"/>
      <c r="R15" s="714"/>
      <c r="S15" s="715"/>
      <c r="T15" s="714"/>
      <c r="U15" s="715"/>
      <c r="V15" s="714"/>
      <c r="W15" s="715"/>
      <c r="X15" s="1490"/>
      <c r="Y15" s="3471"/>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71"/>
      <c r="Q16" s="1487" t="str">
        <f>B16</f>
        <v>公共配套设施</v>
      </c>
      <c r="R16" s="714" t="s">
        <v>17</v>
      </c>
      <c r="S16" s="715">
        <f>F16</f>
        <v>100</v>
      </c>
      <c r="T16" s="714" t="s">
        <v>17</v>
      </c>
      <c r="U16" s="715">
        <f>H16</f>
        <v>100</v>
      </c>
      <c r="V16" s="714" t="s">
        <v>17</v>
      </c>
      <c r="W16" s="715">
        <f>J16</f>
        <v>100</v>
      </c>
      <c r="X16" s="1490"/>
      <c r="Y16" s="347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71"/>
      <c r="Q17" s="1487"/>
      <c r="R17" s="714"/>
      <c r="S17" s="715"/>
      <c r="T17" s="714"/>
      <c r="U17" s="715"/>
      <c r="V17" s="714"/>
      <c r="W17" s="715"/>
      <c r="X17" s="1490"/>
      <c r="Y17" s="3471"/>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71"/>
      <c r="Q18" s="1487" t="str">
        <f>B18</f>
        <v>基础设施水平</v>
      </c>
      <c r="R18" s="714" t="s">
        <v>17</v>
      </c>
      <c r="S18" s="715">
        <f>F18</f>
        <v>100</v>
      </c>
      <c r="T18" s="714" t="s">
        <v>17</v>
      </c>
      <c r="U18" s="715">
        <f>H18</f>
        <v>100</v>
      </c>
      <c r="V18" s="714" t="s">
        <v>17</v>
      </c>
      <c r="W18" s="715">
        <f>J18</f>
        <v>100</v>
      </c>
      <c r="X18" s="1490"/>
      <c r="Y18" s="347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71"/>
      <c r="Q19" s="1487"/>
      <c r="R19" s="714"/>
      <c r="S19" s="715"/>
      <c r="T19" s="714"/>
      <c r="U19" s="715"/>
      <c r="V19" s="714"/>
      <c r="W19" s="715"/>
      <c r="X19" s="1490"/>
      <c r="Y19" s="3471"/>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71"/>
      <c r="Q20" s="1487" t="str">
        <f>B20</f>
        <v>自然及人文环境</v>
      </c>
      <c r="R20" s="714" t="s">
        <v>17</v>
      </c>
      <c r="S20" s="715">
        <f>F20</f>
        <v>100</v>
      </c>
      <c r="T20" s="714" t="s">
        <v>17</v>
      </c>
      <c r="U20" s="715">
        <f>H20</f>
        <v>100</v>
      </c>
      <c r="V20" s="714" t="s">
        <v>17</v>
      </c>
      <c r="W20" s="715">
        <f>J20</f>
        <v>100</v>
      </c>
      <c r="X20" s="1490"/>
      <c r="Y20" s="347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71"/>
      <c r="Q21" s="1487"/>
      <c r="R21" s="714"/>
      <c r="S21" s="715"/>
      <c r="T21" s="714"/>
      <c r="U21" s="715"/>
      <c r="V21" s="714"/>
      <c r="W21" s="715"/>
      <c r="X21" s="1490"/>
      <c r="Y21" s="347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71"/>
      <c r="Q22" s="1487" t="str">
        <f>B22</f>
        <v>楼层</v>
      </c>
      <c r="R22" s="714" t="s">
        <v>17</v>
      </c>
      <c r="S22" s="715">
        <f>F22</f>
        <v>100</v>
      </c>
      <c r="T22" s="714" t="s">
        <v>17</v>
      </c>
      <c r="U22" s="715">
        <f>H22</f>
        <v>100</v>
      </c>
      <c r="V22" s="714" t="s">
        <v>17</v>
      </c>
      <c r="W22" s="715">
        <f>J22</f>
        <v>100</v>
      </c>
      <c r="X22" s="1490"/>
      <c r="Y22" s="347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71"/>
      <c r="Q23" s="1487">
        <f>B23</f>
        <v>111</v>
      </c>
      <c r="R23" s="714" t="s">
        <v>17</v>
      </c>
      <c r="S23" s="715">
        <f>F23</f>
        <v>100</v>
      </c>
      <c r="T23" s="714" t="s">
        <v>17</v>
      </c>
      <c r="U23" s="715">
        <f>H23</f>
        <v>100</v>
      </c>
      <c r="V23" s="714" t="s">
        <v>17</v>
      </c>
      <c r="W23" s="715">
        <f>J23</f>
        <v>100</v>
      </c>
      <c r="X23" s="1490"/>
      <c r="Y23" s="347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71"/>
      <c r="Q24" s="1487">
        <f t="shared" ref="Q24:Q34" si="11">B24</f>
        <v>111</v>
      </c>
      <c r="R24" s="714" t="s">
        <v>17</v>
      </c>
      <c r="S24" s="715">
        <f>F24</f>
        <v>100</v>
      </c>
      <c r="T24" s="714" t="s">
        <v>17</v>
      </c>
      <c r="U24" s="715">
        <f>H24</f>
        <v>100</v>
      </c>
      <c r="V24" s="714" t="s">
        <v>17</v>
      </c>
      <c r="W24" s="715">
        <f>J24</f>
        <v>100</v>
      </c>
      <c r="X24" s="1490"/>
      <c r="Y24" s="347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71"/>
      <c r="Q25" s="1478">
        <f t="shared" si="11"/>
        <v>111</v>
      </c>
      <c r="R25" s="710" t="s">
        <v>17</v>
      </c>
      <c r="S25" s="711">
        <f>F25</f>
        <v>100</v>
      </c>
      <c r="T25" s="710" t="s">
        <v>17</v>
      </c>
      <c r="U25" s="711">
        <f>H25</f>
        <v>100</v>
      </c>
      <c r="V25" s="710" t="s">
        <v>17</v>
      </c>
      <c r="W25" s="711">
        <f>J25</f>
        <v>100</v>
      </c>
      <c r="X25" s="712"/>
      <c r="Y25" s="3471"/>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5"/>
      <c r="Q27" s="716" t="str">
        <f t="shared" si="11"/>
        <v>成新率</v>
      </c>
      <c r="R27" s="717" t="s">
        <v>17</v>
      </c>
      <c r="S27" s="718" t="e">
        <f t="shared" si="12"/>
        <v>#N/A</v>
      </c>
      <c r="T27" s="717" t="s">
        <v>17</v>
      </c>
      <c r="U27" s="718" t="e">
        <f t="shared" si="13"/>
        <v>#N/A</v>
      </c>
      <c r="V27" s="717" t="s">
        <v>17</v>
      </c>
      <c r="W27" s="718" t="e">
        <f t="shared" si="14"/>
        <v>#N/A</v>
      </c>
      <c r="X27" s="719"/>
      <c r="Y27" s="347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5"/>
      <c r="Q28" s="1487" t="str">
        <f t="shared" si="11"/>
        <v>物业等级</v>
      </c>
      <c r="R28" s="714" t="s">
        <v>17</v>
      </c>
      <c r="S28" s="715">
        <f t="shared" si="12"/>
        <v>100</v>
      </c>
      <c r="T28" s="714" t="s">
        <v>17</v>
      </c>
      <c r="U28" s="715">
        <f t="shared" si="13"/>
        <v>100</v>
      </c>
      <c r="V28" s="714" t="s">
        <v>17</v>
      </c>
      <c r="W28" s="715">
        <f t="shared" si="14"/>
        <v>100</v>
      </c>
      <c r="X28" s="1490"/>
      <c r="Y28" s="347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5"/>
      <c r="Q29" s="1487" t="str">
        <f t="shared" si="11"/>
        <v>有无电梯</v>
      </c>
      <c r="R29" s="714" t="s">
        <v>17</v>
      </c>
      <c r="S29" s="715">
        <f t="shared" si="12"/>
        <v>100</v>
      </c>
      <c r="T29" s="714" t="s">
        <v>17</v>
      </c>
      <c r="U29" s="715">
        <f t="shared" si="13"/>
        <v>100</v>
      </c>
      <c r="V29" s="714" t="s">
        <v>17</v>
      </c>
      <c r="W29" s="715">
        <f t="shared" si="14"/>
        <v>100</v>
      </c>
      <c r="X29" s="1490"/>
      <c r="Y29" s="347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5"/>
      <c r="Q30" s="1487" t="str">
        <f t="shared" si="11"/>
        <v>建筑面积</v>
      </c>
      <c r="R30" s="714" t="s">
        <v>17</v>
      </c>
      <c r="S30" s="715" t="e">
        <f t="shared" si="12"/>
        <v>#N/A</v>
      </c>
      <c r="T30" s="714" t="s">
        <v>17</v>
      </c>
      <c r="U30" s="715" t="e">
        <f t="shared" si="13"/>
        <v>#N/A</v>
      </c>
      <c r="V30" s="714" t="s">
        <v>17</v>
      </c>
      <c r="W30" s="715" t="e">
        <f t="shared" si="14"/>
        <v>#N/A</v>
      </c>
      <c r="X30" s="1490"/>
      <c r="Y30" s="347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5"/>
      <c r="Q31" s="1478" t="str">
        <f t="shared" si="11"/>
        <v>是否封闭</v>
      </c>
      <c r="R31" s="710" t="s">
        <v>17</v>
      </c>
      <c r="S31" s="711">
        <f t="shared" si="12"/>
        <v>100</v>
      </c>
      <c r="T31" s="710" t="s">
        <v>17</v>
      </c>
      <c r="U31" s="711">
        <f t="shared" si="13"/>
        <v>100</v>
      </c>
      <c r="V31" s="710" t="s">
        <v>17</v>
      </c>
      <c r="W31" s="711">
        <f t="shared" si="14"/>
        <v>100</v>
      </c>
      <c r="X31" s="712"/>
      <c r="Y31" s="347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5" t="s">
        <v>2145</v>
      </c>
      <c r="Q32" s="1487">
        <f t="shared" si="11"/>
        <v>111</v>
      </c>
      <c r="R32" s="714" t="s">
        <v>17</v>
      </c>
      <c r="S32" s="715">
        <f t="shared" si="12"/>
        <v>100</v>
      </c>
      <c r="T32" s="714" t="s">
        <v>17</v>
      </c>
      <c r="U32" s="715">
        <f t="shared" si="13"/>
        <v>100</v>
      </c>
      <c r="V32" s="714" t="s">
        <v>17</v>
      </c>
      <c r="W32" s="715">
        <f t="shared" si="14"/>
        <v>100</v>
      </c>
      <c r="X32" s="1490"/>
      <c r="Y32" s="3475"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5"/>
      <c r="Q33" s="1487">
        <f t="shared" si="11"/>
        <v>111</v>
      </c>
      <c r="R33" s="714" t="s">
        <v>17</v>
      </c>
      <c r="S33" s="715">
        <f t="shared" si="12"/>
        <v>100</v>
      </c>
      <c r="T33" s="714" t="s">
        <v>17</v>
      </c>
      <c r="U33" s="715">
        <f t="shared" si="13"/>
        <v>100</v>
      </c>
      <c r="V33" s="714" t="s">
        <v>17</v>
      </c>
      <c r="W33" s="715">
        <f t="shared" si="14"/>
        <v>100</v>
      </c>
      <c r="X33" s="1490"/>
      <c r="Y33" s="347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5"/>
      <c r="Q34" s="1487">
        <f t="shared" si="11"/>
        <v>111</v>
      </c>
      <c r="R34" s="714" t="s">
        <v>17</v>
      </c>
      <c r="S34" s="715">
        <f t="shared" si="12"/>
        <v>100</v>
      </c>
      <c r="T34" s="714" t="s">
        <v>17</v>
      </c>
      <c r="U34" s="715">
        <f t="shared" si="13"/>
        <v>100</v>
      </c>
      <c r="V34" s="714" t="s">
        <v>17</v>
      </c>
      <c r="W34" s="715">
        <f t="shared" si="14"/>
        <v>100</v>
      </c>
      <c r="X34" s="1490"/>
      <c r="Y34" s="347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8" t="str">
        <f>A35</f>
        <v>成交单价（元/平方米）</v>
      </c>
      <c r="Q35" s="3468"/>
      <c r="R35" s="3469">
        <f>E35</f>
        <v>0</v>
      </c>
      <c r="S35" s="3469"/>
      <c r="T35" s="3469">
        <f>G35</f>
        <v>0</v>
      </c>
      <c r="U35" s="3469"/>
      <c r="V35" s="3469">
        <f>I35</f>
        <v>0</v>
      </c>
      <c r="W35" s="3469"/>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68" t="str">
        <f>A36</f>
        <v>比较价值（元/平方米）</v>
      </c>
      <c r="Q36" s="3468"/>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5" t="str">
        <f>A37</f>
        <v>估价对象XX用房的比较价值（楼面单价，元/平方米）</v>
      </c>
      <c r="Q37" s="3466"/>
      <c r="R37" s="3533" t="e">
        <f>IF(F1="售价",ROUND(IF(D36="简单平均",AVERAGE(R36:W36),R36*F36+T36*H36+V36*J36),0),ROUND(IF(D36="简单平均",AVERAGE(R36:V36),R36*F36+T36*H36+V36*J36),1))</f>
        <v>#DIV/0!</v>
      </c>
      <c r="S37" s="3533"/>
      <c r="T37" s="3533"/>
      <c r="U37" s="3533"/>
      <c r="V37" s="3533"/>
      <c r="W37" s="353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30"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30" ht="15.75" thickBot="1">
      <c r="A6" s="366"/>
      <c r="B6" s="367"/>
      <c r="C6" s="3500" t="s">
        <v>2126</v>
      </c>
      <c r="D6" s="3501"/>
      <c r="E6" s="3507" t="s">
        <v>2126</v>
      </c>
      <c r="F6" s="3508"/>
      <c r="G6" s="3500" t="s">
        <v>2126</v>
      </c>
      <c r="H6" s="3501"/>
      <c r="I6" s="3500" t="s">
        <v>2126</v>
      </c>
      <c r="J6" s="3501"/>
      <c r="K6" s="567" t="s">
        <v>2127</v>
      </c>
      <c r="L6" s="2894"/>
      <c r="M6" s="2895"/>
      <c r="N6" s="2895"/>
      <c r="O6" s="2895"/>
      <c r="P6" s="3491"/>
      <c r="Q6" s="3492"/>
      <c r="R6" s="3495"/>
      <c r="S6" s="3496"/>
      <c r="T6" s="3497"/>
      <c r="U6" s="3498"/>
      <c r="V6" s="3499"/>
      <c r="W6" s="3499"/>
      <c r="X6" s="1490"/>
      <c r="Y6" s="3497"/>
      <c r="Z6" s="3498"/>
      <c r="AA6" s="3482"/>
      <c r="AB6" s="3482"/>
      <c r="AC6" s="3482"/>
    </row>
    <row r="7" spans="1:30" s="113" customFormat="1" ht="15.75" thickBot="1">
      <c r="A7" s="368" t="s">
        <v>2128</v>
      </c>
      <c r="B7" s="369"/>
      <c r="C7" s="370">
        <f>'数据-取费表'!B2</f>
        <v>44726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131</v>
      </c>
      <c r="G10" s="422"/>
      <c r="H10" s="132">
        <f>ROUND(100/'数据-取费表'!G16,0)</f>
        <v>131</v>
      </c>
      <c r="I10" s="422"/>
      <c r="J10" s="132">
        <f>ROUND(100/'数据-取费表'!G16,0)</f>
        <v>131</v>
      </c>
      <c r="K10" s="628"/>
      <c r="L10" s="2898"/>
      <c r="M10" s="2899"/>
      <c r="N10" s="2899"/>
      <c r="O10" s="2952"/>
      <c r="P10" s="3468"/>
      <c r="Q10" s="1478" t="str">
        <f t="shared" si="6"/>
        <v>土地使用年限（年）</v>
      </c>
      <c r="R10" s="710" t="s">
        <v>17</v>
      </c>
      <c r="S10" s="711">
        <f t="shared" si="0"/>
        <v>131</v>
      </c>
      <c r="T10" s="710" t="s">
        <v>17</v>
      </c>
      <c r="U10" s="711">
        <f t="shared" si="1"/>
        <v>131</v>
      </c>
      <c r="V10" s="710" t="s">
        <v>17</v>
      </c>
      <c r="W10" s="711">
        <f t="shared" si="2"/>
        <v>131</v>
      </c>
      <c r="X10" s="712"/>
      <c r="Y10" s="3340"/>
      <c r="Z10" s="55" t="str">
        <f t="shared" si="7"/>
        <v>土地使用年限（年）</v>
      </c>
      <c r="AA10" s="713">
        <f t="shared" si="3"/>
        <v>0.76335877862595425</v>
      </c>
      <c r="AB10" s="713">
        <f t="shared" si="4"/>
        <v>0.76335877862595425</v>
      </c>
      <c r="AC10" s="713">
        <f t="shared" si="5"/>
        <v>0.76335877862595425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8"/>
      <c r="Q12" s="1478" t="str">
        <f t="shared" si="6"/>
        <v>配建</v>
      </c>
      <c r="R12" s="710" t="s">
        <v>17</v>
      </c>
      <c r="S12" s="711">
        <f t="shared" si="0"/>
        <v>100</v>
      </c>
      <c r="T12" s="710" t="s">
        <v>17</v>
      </c>
      <c r="U12" s="711">
        <f t="shared" si="1"/>
        <v>100</v>
      </c>
      <c r="V12" s="710" t="s">
        <v>17</v>
      </c>
      <c r="W12" s="711">
        <f t="shared" si="2"/>
        <v>100</v>
      </c>
      <c r="X12" s="712"/>
      <c r="Y12" s="334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70" t="s">
        <v>2140</v>
      </c>
      <c r="Q15" s="1487" t="str">
        <f t="shared" si="6"/>
        <v>居住社区成熟度</v>
      </c>
      <c r="R15" s="714" t="s">
        <v>17</v>
      </c>
      <c r="S15" s="715">
        <f t="shared" si="0"/>
        <v>100</v>
      </c>
      <c r="T15" s="714" t="s">
        <v>17</v>
      </c>
      <c r="U15" s="715">
        <f t="shared" si="1"/>
        <v>100</v>
      </c>
      <c r="V15" s="714" t="s">
        <v>17</v>
      </c>
      <c r="W15" s="715">
        <f t="shared" si="2"/>
        <v>100</v>
      </c>
      <c r="X15" s="1490"/>
      <c r="Y15" s="3470"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71"/>
      <c r="Q16" s="1487"/>
      <c r="R16" s="714"/>
      <c r="S16" s="715"/>
      <c r="T16" s="714"/>
      <c r="U16" s="715"/>
      <c r="V16" s="714"/>
      <c r="W16" s="715"/>
      <c r="X16" s="1490"/>
      <c r="Y16" s="3471"/>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71"/>
      <c r="Q17" s="1487" t="str">
        <f>B17</f>
        <v>商业繁华度</v>
      </c>
      <c r="R17" s="714" t="s">
        <v>17</v>
      </c>
      <c r="S17" s="715">
        <f>F17</f>
        <v>100</v>
      </c>
      <c r="T17" s="714" t="s">
        <v>17</v>
      </c>
      <c r="U17" s="715">
        <f>H17</f>
        <v>100</v>
      </c>
      <c r="V17" s="714" t="s">
        <v>17</v>
      </c>
      <c r="W17" s="715">
        <f>J17</f>
        <v>100</v>
      </c>
      <c r="X17" s="1490"/>
      <c r="Y17" s="347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71"/>
      <c r="Q18" s="1487"/>
      <c r="R18" s="714"/>
      <c r="S18" s="715"/>
      <c r="T18" s="714"/>
      <c r="U18" s="715"/>
      <c r="V18" s="714"/>
      <c r="W18" s="715"/>
      <c r="X18" s="1490"/>
      <c r="Y18" s="3471"/>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71"/>
      <c r="Q19" s="1487" t="str">
        <f>B19</f>
        <v>办公集聚程度</v>
      </c>
      <c r="R19" s="714" t="s">
        <v>17</v>
      </c>
      <c r="S19" s="715">
        <f>F19</f>
        <v>100</v>
      </c>
      <c r="T19" s="714" t="s">
        <v>17</v>
      </c>
      <c r="U19" s="715">
        <f>H19</f>
        <v>100</v>
      </c>
      <c r="V19" s="714" t="s">
        <v>17</v>
      </c>
      <c r="W19" s="715">
        <f>J19</f>
        <v>100</v>
      </c>
      <c r="X19" s="1490"/>
      <c r="Y19" s="347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71"/>
      <c r="Q20" s="1487"/>
      <c r="R20" s="714"/>
      <c r="S20" s="715"/>
      <c r="T20" s="714"/>
      <c r="U20" s="715"/>
      <c r="V20" s="714"/>
      <c r="W20" s="715"/>
      <c r="X20" s="1490"/>
      <c r="Y20" s="3471"/>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71"/>
      <c r="Q21" s="1487" t="str">
        <f>B21</f>
        <v>交通便捷度</v>
      </c>
      <c r="R21" s="714" t="s">
        <v>17</v>
      </c>
      <c r="S21" s="715">
        <f>F21</f>
        <v>100</v>
      </c>
      <c r="T21" s="714" t="s">
        <v>17</v>
      </c>
      <c r="U21" s="715">
        <f>H21</f>
        <v>100</v>
      </c>
      <c r="V21" s="714" t="s">
        <v>17</v>
      </c>
      <c r="W21" s="715">
        <f>J21</f>
        <v>100</v>
      </c>
      <c r="X21" s="1490"/>
      <c r="Y21" s="347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71"/>
      <c r="Q22" s="1487"/>
      <c r="R22" s="714"/>
      <c r="S22" s="715"/>
      <c r="T22" s="714"/>
      <c r="U22" s="715"/>
      <c r="V22" s="714"/>
      <c r="W22" s="715"/>
      <c r="X22" s="1490"/>
      <c r="Y22" s="347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71"/>
      <c r="Q23" s="1487" t="str">
        <f t="shared" ref="Q23:Q37" si="8">B23</f>
        <v>区域土地利用方向</v>
      </c>
      <c r="R23" s="714" t="s">
        <v>17</v>
      </c>
      <c r="S23" s="715">
        <f>F23</f>
        <v>100</v>
      </c>
      <c r="T23" s="714" t="s">
        <v>17</v>
      </c>
      <c r="U23" s="715">
        <f>H23</f>
        <v>100</v>
      </c>
      <c r="V23" s="714" t="s">
        <v>17</v>
      </c>
      <c r="W23" s="715">
        <f>J23</f>
        <v>100</v>
      </c>
      <c r="X23" s="1490"/>
      <c r="Y23" s="347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71"/>
      <c r="Q24" s="1487"/>
      <c r="R24" s="714"/>
      <c r="S24" s="715"/>
      <c r="T24" s="714"/>
      <c r="U24" s="715"/>
      <c r="V24" s="714"/>
      <c r="W24" s="715"/>
      <c r="X24" s="1490"/>
      <c r="Y24" s="3471"/>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71"/>
      <c r="Q25" s="1487" t="str">
        <f t="shared" si="8"/>
        <v>自然及人文环境状况</v>
      </c>
      <c r="R25" s="714" t="s">
        <v>17</v>
      </c>
      <c r="S25" s="715">
        <f>F25</f>
        <v>100</v>
      </c>
      <c r="T25" s="714" t="s">
        <v>17</v>
      </c>
      <c r="U25" s="715">
        <f>H25</f>
        <v>100</v>
      </c>
      <c r="V25" s="714" t="s">
        <v>17</v>
      </c>
      <c r="W25" s="715">
        <f>J25</f>
        <v>100</v>
      </c>
      <c r="X25" s="1490"/>
      <c r="Y25" s="347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71"/>
      <c r="Q26" s="1487"/>
      <c r="R26" s="714"/>
      <c r="S26" s="715"/>
      <c r="T26" s="714"/>
      <c r="U26" s="715"/>
      <c r="V26" s="714"/>
      <c r="W26" s="715"/>
      <c r="X26" s="1490"/>
      <c r="Y26" s="3471"/>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71"/>
      <c r="Q27" s="1478" t="str">
        <f t="shared" si="8"/>
        <v>公共配套设施</v>
      </c>
      <c r="R27" s="710" t="s">
        <v>17</v>
      </c>
      <c r="S27" s="711">
        <f>F27</f>
        <v>100</v>
      </c>
      <c r="T27" s="710" t="s">
        <v>17</v>
      </c>
      <c r="U27" s="711">
        <f>H27</f>
        <v>100</v>
      </c>
      <c r="V27" s="710" t="s">
        <v>17</v>
      </c>
      <c r="W27" s="711">
        <f>J27</f>
        <v>100</v>
      </c>
      <c r="X27" s="712"/>
      <c r="Y27" s="347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71"/>
      <c r="Q28" s="1478"/>
      <c r="R28" s="710"/>
      <c r="S28" s="711"/>
      <c r="T28" s="710"/>
      <c r="U28" s="711"/>
      <c r="V28" s="710"/>
      <c r="W28" s="711"/>
      <c r="X28" s="712"/>
      <c r="Y28" s="3471"/>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71"/>
      <c r="Q29" s="1478" t="str">
        <f t="shared" ref="Q29" si="9">B29</f>
        <v>基础设施水平</v>
      </c>
      <c r="R29" s="710" t="s">
        <v>17</v>
      </c>
      <c r="S29" s="711">
        <f>F29</f>
        <v>100</v>
      </c>
      <c r="T29" s="710" t="s">
        <v>17</v>
      </c>
      <c r="U29" s="711">
        <f>H29</f>
        <v>100</v>
      </c>
      <c r="V29" s="710" t="s">
        <v>17</v>
      </c>
      <c r="W29" s="711">
        <f>J29</f>
        <v>100</v>
      </c>
      <c r="X29" s="712"/>
      <c r="Y29" s="347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71"/>
      <c r="Q30" s="1478"/>
      <c r="R30" s="710"/>
      <c r="S30" s="711"/>
      <c r="T30" s="710"/>
      <c r="U30" s="711"/>
      <c r="V30" s="710"/>
      <c r="W30" s="711"/>
      <c r="X30" s="712"/>
      <c r="Y30" s="347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7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71"/>
      <c r="Q32" s="1487" t="str">
        <f t="shared" si="8"/>
        <v>毗邻道路的类型与等级</v>
      </c>
      <c r="R32" s="714" t="s">
        <v>17</v>
      </c>
      <c r="S32" s="715">
        <f t="shared" si="10"/>
        <v>100</v>
      </c>
      <c r="T32" s="714" t="s">
        <v>17</v>
      </c>
      <c r="U32" s="715">
        <f t="shared" si="11"/>
        <v>100</v>
      </c>
      <c r="V32" s="714" t="s">
        <v>17</v>
      </c>
      <c r="W32" s="715">
        <f t="shared" si="12"/>
        <v>100</v>
      </c>
      <c r="X32" s="1490"/>
      <c r="Y32" s="347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71"/>
      <c r="Q33" s="1487"/>
      <c r="R33" s="714"/>
      <c r="S33" s="715"/>
      <c r="T33" s="714"/>
      <c r="U33" s="715"/>
      <c r="V33" s="714"/>
      <c r="W33" s="715"/>
      <c r="X33" s="1490"/>
      <c r="Y33" s="347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71"/>
      <c r="Q34" s="1487" t="str">
        <f t="shared" si="8"/>
        <v>土地级别</v>
      </c>
      <c r="R34" s="714" t="s">
        <v>17</v>
      </c>
      <c r="S34" s="715">
        <f t="shared" si="10"/>
        <v>100</v>
      </c>
      <c r="T34" s="714" t="s">
        <v>17</v>
      </c>
      <c r="U34" s="715">
        <f t="shared" si="11"/>
        <v>100</v>
      </c>
      <c r="V34" s="714" t="s">
        <v>17</v>
      </c>
      <c r="W34" s="715">
        <f t="shared" si="12"/>
        <v>100</v>
      </c>
      <c r="X34" s="1490"/>
      <c r="Y34" s="347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71"/>
      <c r="Q35" s="1487">
        <f t="shared" si="8"/>
        <v>111</v>
      </c>
      <c r="R35" s="714" t="s">
        <v>17</v>
      </c>
      <c r="S35" s="715">
        <f t="shared" si="10"/>
        <v>100</v>
      </c>
      <c r="T35" s="714" t="s">
        <v>17</v>
      </c>
      <c r="U35" s="715">
        <f t="shared" si="11"/>
        <v>100</v>
      </c>
      <c r="V35" s="714" t="s">
        <v>17</v>
      </c>
      <c r="W35" s="715">
        <f t="shared" si="12"/>
        <v>100</v>
      </c>
      <c r="X35" s="1490"/>
      <c r="Y35" s="347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2" t="s">
        <v>2145</v>
      </c>
      <c r="Q36" s="1487">
        <f t="shared" si="8"/>
        <v>111</v>
      </c>
      <c r="R36" s="714" t="s">
        <v>17</v>
      </c>
      <c r="S36" s="715">
        <f t="shared" si="10"/>
        <v>100</v>
      </c>
      <c r="T36" s="714" t="s">
        <v>17</v>
      </c>
      <c r="U36" s="715">
        <f t="shared" si="11"/>
        <v>100</v>
      </c>
      <c r="V36" s="714" t="s">
        <v>17</v>
      </c>
      <c r="W36" s="715">
        <f t="shared" si="12"/>
        <v>100</v>
      </c>
      <c r="X36" s="1490"/>
      <c r="Y36" s="347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5"/>
      <c r="Q37" s="1487">
        <f t="shared" si="8"/>
        <v>111</v>
      </c>
      <c r="R37" s="717" t="s">
        <v>17</v>
      </c>
      <c r="S37" s="718">
        <f t="shared" si="10"/>
        <v>100</v>
      </c>
      <c r="T37" s="717" t="s">
        <v>17</v>
      </c>
      <c r="U37" s="718">
        <f t="shared" si="11"/>
        <v>100</v>
      </c>
      <c r="V37" s="717" t="s">
        <v>17</v>
      </c>
      <c r="W37" s="718">
        <f t="shared" si="12"/>
        <v>100</v>
      </c>
      <c r="X37" s="719"/>
      <c r="Y37" s="3475"/>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5"/>
      <c r="Q38" s="1487" t="str">
        <f>B38</f>
        <v>宗地面积</v>
      </c>
      <c r="R38" s="714" t="s">
        <v>17</v>
      </c>
      <c r="S38" s="715" t="e">
        <f t="shared" si="10"/>
        <v>#N/A</v>
      </c>
      <c r="T38" s="714" t="s">
        <v>17</v>
      </c>
      <c r="U38" s="715" t="e">
        <f t="shared" si="11"/>
        <v>#N/A</v>
      </c>
      <c r="V38" s="714" t="s">
        <v>17</v>
      </c>
      <c r="W38" s="715" t="e">
        <f t="shared" si="12"/>
        <v>#N/A</v>
      </c>
      <c r="X38" s="1490"/>
      <c r="Y38" s="3475"/>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5"/>
      <c r="Q39" s="1487" t="str">
        <f t="shared" ref="Q39:Q45" si="14">B39</f>
        <v>宗地形状</v>
      </c>
      <c r="R39" s="714" t="s">
        <v>17</v>
      </c>
      <c r="S39" s="715">
        <f t="shared" si="10"/>
        <v>100</v>
      </c>
      <c r="T39" s="714" t="s">
        <v>17</v>
      </c>
      <c r="U39" s="715">
        <f t="shared" si="11"/>
        <v>100</v>
      </c>
      <c r="V39" s="714" t="s">
        <v>17</v>
      </c>
      <c r="W39" s="715">
        <f t="shared" si="12"/>
        <v>100</v>
      </c>
      <c r="X39" s="1490"/>
      <c r="Y39" s="3475"/>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5"/>
      <c r="Q40" s="1487" t="str">
        <f t="shared" si="14"/>
        <v>临街宽度及深度</v>
      </c>
      <c r="R40" s="714" t="s">
        <v>17</v>
      </c>
      <c r="S40" s="715">
        <f t="shared" si="10"/>
        <v>100</v>
      </c>
      <c r="T40" s="714" t="s">
        <v>17</v>
      </c>
      <c r="U40" s="715">
        <f t="shared" si="11"/>
        <v>100</v>
      </c>
      <c r="V40" s="714" t="s">
        <v>17</v>
      </c>
      <c r="W40" s="715">
        <f t="shared" si="12"/>
        <v>100</v>
      </c>
      <c r="X40" s="1490"/>
      <c r="Y40" s="3475"/>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5"/>
      <c r="Q41" s="1487" t="str">
        <f t="shared" si="14"/>
        <v>宗地开发程度</v>
      </c>
      <c r="R41" s="710" t="s">
        <v>17</v>
      </c>
      <c r="S41" s="711">
        <f t="shared" si="10"/>
        <v>100</v>
      </c>
      <c r="T41" s="710" t="s">
        <v>17</v>
      </c>
      <c r="U41" s="711">
        <f t="shared" si="11"/>
        <v>100</v>
      </c>
      <c r="V41" s="710" t="s">
        <v>17</v>
      </c>
      <c r="W41" s="711">
        <f t="shared" si="12"/>
        <v>100</v>
      </c>
      <c r="X41" s="712"/>
      <c r="Y41" s="3475"/>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5" t="s">
        <v>2145</v>
      </c>
      <c r="Q42" s="1487" t="str">
        <f t="shared" si="14"/>
        <v>工程地质条件</v>
      </c>
      <c r="R42" s="714" t="s">
        <v>17</v>
      </c>
      <c r="S42" s="715">
        <f t="shared" si="10"/>
        <v>100</v>
      </c>
      <c r="T42" s="714" t="s">
        <v>17</v>
      </c>
      <c r="U42" s="715">
        <f t="shared" si="11"/>
        <v>100</v>
      </c>
      <c r="V42" s="714" t="s">
        <v>17</v>
      </c>
      <c r="W42" s="715">
        <f t="shared" si="12"/>
        <v>100</v>
      </c>
      <c r="X42" s="1490"/>
      <c r="Y42" s="347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5"/>
      <c r="Q43" s="1487">
        <f t="shared" si="14"/>
        <v>111</v>
      </c>
      <c r="R43" s="714" t="s">
        <v>17</v>
      </c>
      <c r="S43" s="715">
        <f t="shared" si="10"/>
        <v>100</v>
      </c>
      <c r="T43" s="714" t="s">
        <v>17</v>
      </c>
      <c r="U43" s="715">
        <f t="shared" si="11"/>
        <v>100</v>
      </c>
      <c r="V43" s="714" t="s">
        <v>17</v>
      </c>
      <c r="W43" s="715">
        <f t="shared" si="12"/>
        <v>100</v>
      </c>
      <c r="X43" s="1490"/>
      <c r="Y43" s="347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5"/>
      <c r="Q44" s="1487">
        <f t="shared" si="14"/>
        <v>111</v>
      </c>
      <c r="R44" s="714" t="s">
        <v>17</v>
      </c>
      <c r="S44" s="715">
        <f t="shared" si="10"/>
        <v>100</v>
      </c>
      <c r="T44" s="714" t="s">
        <v>17</v>
      </c>
      <c r="U44" s="715">
        <f t="shared" si="11"/>
        <v>100</v>
      </c>
      <c r="V44" s="714" t="s">
        <v>17</v>
      </c>
      <c r="W44" s="715">
        <f t="shared" si="12"/>
        <v>100</v>
      </c>
      <c r="X44" s="1490"/>
      <c r="Y44" s="347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5"/>
      <c r="Q45" s="1487">
        <f t="shared" si="14"/>
        <v>111</v>
      </c>
      <c r="R45" s="717" t="s">
        <v>17</v>
      </c>
      <c r="S45" s="718">
        <f t="shared" si="10"/>
        <v>100</v>
      </c>
      <c r="T45" s="717" t="s">
        <v>17</v>
      </c>
      <c r="U45" s="718">
        <f t="shared" si="11"/>
        <v>100</v>
      </c>
      <c r="V45" s="717" t="s">
        <v>17</v>
      </c>
      <c r="W45" s="718">
        <f t="shared" si="12"/>
        <v>100</v>
      </c>
      <c r="X45" s="719"/>
      <c r="Y45" s="3475"/>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8" t="str">
        <f>A46</f>
        <v>成交单价</v>
      </c>
      <c r="Q46" s="3468"/>
      <c r="R46" s="3499">
        <f>E46</f>
        <v>0</v>
      </c>
      <c r="S46" s="3499"/>
      <c r="T46" s="3499">
        <f>G46</f>
        <v>0</v>
      </c>
      <c r="U46" s="3499"/>
      <c r="V46" s="3499">
        <f>I46</f>
        <v>0</v>
      </c>
      <c r="W46" s="3499"/>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68" t="str">
        <f>A47</f>
        <v>比较价值（元/平方米）</v>
      </c>
      <c r="Q47" s="3468"/>
      <c r="R47" s="3534" t="e">
        <f>ROUND(PRODUCT(R46,AA7:AA45),0)</f>
        <v>#DIV/0!</v>
      </c>
      <c r="S47" s="3534"/>
      <c r="T47" s="3534" t="e">
        <f>ROUND(PRODUCT(T46,AB7:AB45),0)</f>
        <v>#DIV/0!</v>
      </c>
      <c r="U47" s="3534"/>
      <c r="V47" s="3534" t="e">
        <f>ROUND(PRODUCT(V46,AC7:AC45),0)</f>
        <v>#DIV/0!</v>
      </c>
      <c r="W47" s="353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5" t="str">
        <f>A48</f>
        <v>估价对象XX用房的比较价值（楼面单价，元/平方米）</v>
      </c>
      <c r="Q48" s="3466"/>
      <c r="R48" s="3535" t="e">
        <f>ROUND(IF(D47="简单平均",AVERAGE(R47:W47),R47*F47+T47*H47+V47*J47),0)</f>
        <v>#DIV/0!</v>
      </c>
      <c r="S48" s="3535"/>
      <c r="T48" s="3535"/>
      <c r="U48" s="3535"/>
      <c r="V48" s="3535"/>
      <c r="W48" s="353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3" t="s">
        <v>2344</v>
      </c>
      <c r="H55" s="353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18937.57</v>
      </c>
      <c r="F56" s="998" t="e">
        <f t="shared" ref="F56:F64" si="15">ROUND(B56*E56/10000,0)</f>
        <v>#DIV/0!</v>
      </c>
      <c r="G56" s="3479"/>
      <c r="H56" s="3468"/>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18937.57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3" t="s">
        <v>2226</v>
      </c>
      <c r="D4" s="3484"/>
      <c r="E4" s="3485" t="s">
        <v>2227</v>
      </c>
      <c r="F4" s="3486"/>
      <c r="G4" s="3483" t="s">
        <v>2228</v>
      </c>
      <c r="H4" s="3484"/>
      <c r="I4" s="3483" t="s">
        <v>2229</v>
      </c>
      <c r="J4" s="3484"/>
      <c r="K4" s="567" t="s">
        <v>2230</v>
      </c>
      <c r="L4" s="2894"/>
      <c r="M4" s="2895"/>
      <c r="N4" s="2895"/>
      <c r="O4" s="2895"/>
      <c r="P4" s="3487" t="s">
        <v>2231</v>
      </c>
      <c r="Q4" s="3488"/>
      <c r="R4" s="3493" t="s">
        <v>2227</v>
      </c>
      <c r="S4" s="3494"/>
      <c r="T4" s="3493" t="s">
        <v>2228</v>
      </c>
      <c r="U4" s="3494"/>
      <c r="V4" s="3499" t="s">
        <v>2229</v>
      </c>
      <c r="W4" s="3499"/>
      <c r="X4" s="1490"/>
      <c r="Y4" s="3493" t="s">
        <v>2231</v>
      </c>
      <c r="Z4" s="3494"/>
      <c r="AA4" s="3480" t="s">
        <v>2227</v>
      </c>
      <c r="AB4" s="3481" t="s">
        <v>2228</v>
      </c>
      <c r="AC4" s="3480" t="s">
        <v>2229</v>
      </c>
    </row>
    <row r="5" spans="1:29" ht="15">
      <c r="A5" s="364"/>
      <c r="B5" s="365"/>
      <c r="C5" s="3502" t="s">
        <v>2122</v>
      </c>
      <c r="D5" s="3503"/>
      <c r="E5" s="3509" t="s">
        <v>2123</v>
      </c>
      <c r="F5" s="3510"/>
      <c r="G5" s="3502" t="s">
        <v>2124</v>
      </c>
      <c r="H5" s="3503"/>
      <c r="I5" s="3502" t="s">
        <v>2125</v>
      </c>
      <c r="J5" s="3503"/>
      <c r="K5" s="567"/>
      <c r="L5" s="2894"/>
      <c r="M5" s="2895"/>
      <c r="N5" s="2895"/>
      <c r="O5" s="2895"/>
      <c r="P5" s="3489"/>
      <c r="Q5" s="3490"/>
      <c r="R5" s="3495"/>
      <c r="S5" s="3496"/>
      <c r="T5" s="3495"/>
      <c r="U5" s="3496"/>
      <c r="V5" s="3499"/>
      <c r="W5" s="3499"/>
      <c r="X5" s="1490"/>
      <c r="Y5" s="3495"/>
      <c r="Z5" s="3496"/>
      <c r="AA5" s="3481"/>
      <c r="AB5" s="3481"/>
      <c r="AC5" s="3481"/>
    </row>
    <row r="6" spans="1:29" ht="15.75" thickBot="1">
      <c r="A6" s="366"/>
      <c r="B6" s="367"/>
      <c r="C6" s="3537" t="s">
        <v>2376</v>
      </c>
      <c r="D6" s="3538"/>
      <c r="E6" s="3539" t="s">
        <v>2376</v>
      </c>
      <c r="F6" s="3540"/>
      <c r="G6" s="3537" t="s">
        <v>2376</v>
      </c>
      <c r="H6" s="3538"/>
      <c r="I6" s="3537" t="s">
        <v>2376</v>
      </c>
      <c r="J6" s="3538"/>
      <c r="K6" s="567" t="s">
        <v>2127</v>
      </c>
      <c r="L6" s="2894"/>
      <c r="M6" s="2895"/>
      <c r="N6" s="2895"/>
      <c r="O6" s="2895"/>
      <c r="P6" s="3491"/>
      <c r="Q6" s="3492"/>
      <c r="R6" s="3495"/>
      <c r="S6" s="3496"/>
      <c r="T6" s="3497"/>
      <c r="U6" s="3498"/>
      <c r="V6" s="3499"/>
      <c r="W6" s="3499"/>
      <c r="X6" s="1490"/>
      <c r="Y6" s="3497"/>
      <c r="Z6" s="3498"/>
      <c r="AA6" s="3482"/>
      <c r="AB6" s="3482"/>
      <c r="AC6" s="3482"/>
    </row>
    <row r="7" spans="1:29" s="113" customFormat="1" ht="15.75" thickBot="1">
      <c r="A7" s="368" t="s">
        <v>2128</v>
      </c>
      <c r="B7" s="369"/>
      <c r="C7" s="370">
        <f>'数据-取费表'!B2</f>
        <v>44726</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8" t="s">
        <v>2135</v>
      </c>
      <c r="Q9" s="1478" t="str">
        <f t="shared" ref="Q9:Q15" si="6">B9</f>
        <v>用途</v>
      </c>
      <c r="R9" s="710" t="s">
        <v>17</v>
      </c>
      <c r="S9" s="711">
        <f t="shared" si="0"/>
        <v>100</v>
      </c>
      <c r="T9" s="710" t="s">
        <v>17</v>
      </c>
      <c r="U9" s="711">
        <f t="shared" si="1"/>
        <v>100</v>
      </c>
      <c r="V9" s="710" t="s">
        <v>17</v>
      </c>
      <c r="W9" s="711">
        <f t="shared" si="2"/>
        <v>100</v>
      </c>
      <c r="X9" s="712"/>
      <c r="Y9" s="334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131</v>
      </c>
      <c r="G10" s="391"/>
      <c r="H10" s="132">
        <f>ROUND(100/'数据-取费表'!G16,0)</f>
        <v>131</v>
      </c>
      <c r="I10" s="391"/>
      <c r="J10" s="132">
        <f>ROUND(100/'数据-取费表'!G16,0)</f>
        <v>131</v>
      </c>
      <c r="K10" s="628"/>
      <c r="L10" s="2898"/>
      <c r="M10" s="2899"/>
      <c r="N10" s="2899"/>
      <c r="O10" s="2952"/>
      <c r="P10" s="3468"/>
      <c r="Q10" s="1478" t="str">
        <f t="shared" si="6"/>
        <v>土地使用年限（年）</v>
      </c>
      <c r="R10" s="710" t="s">
        <v>17</v>
      </c>
      <c r="S10" s="711">
        <f t="shared" si="0"/>
        <v>131</v>
      </c>
      <c r="T10" s="710" t="s">
        <v>17</v>
      </c>
      <c r="U10" s="711">
        <f t="shared" si="1"/>
        <v>131</v>
      </c>
      <c r="V10" s="710" t="s">
        <v>17</v>
      </c>
      <c r="W10" s="711">
        <f t="shared" si="2"/>
        <v>131</v>
      </c>
      <c r="X10" s="712"/>
      <c r="Y10" s="3340"/>
      <c r="Z10" s="55" t="str">
        <f t="shared" si="7"/>
        <v>土地使用年限（年）</v>
      </c>
      <c r="AA10" s="713">
        <f t="shared" si="3"/>
        <v>0.76335877862595425</v>
      </c>
      <c r="AB10" s="713">
        <f t="shared" si="4"/>
        <v>0.76335877862595425</v>
      </c>
      <c r="AC10" s="713">
        <f t="shared" si="5"/>
        <v>0.76335877862595425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8"/>
      <c r="Q11" s="1478" t="str">
        <f t="shared" si="6"/>
        <v>容积率</v>
      </c>
      <c r="R11" s="710" t="s">
        <v>17</v>
      </c>
      <c r="S11" s="711" t="e">
        <f t="shared" si="0"/>
        <v>#N/A</v>
      </c>
      <c r="T11" s="710" t="s">
        <v>17</v>
      </c>
      <c r="U11" s="711" t="e">
        <f t="shared" si="1"/>
        <v>#N/A</v>
      </c>
      <c r="V11" s="710" t="s">
        <v>17</v>
      </c>
      <c r="W11" s="711" t="e">
        <f t="shared" si="2"/>
        <v>#N/A</v>
      </c>
      <c r="X11" s="712"/>
      <c r="Y11" s="334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8"/>
      <c r="Q12" s="1478">
        <f t="shared" si="6"/>
        <v>111</v>
      </c>
      <c r="R12" s="710" t="s">
        <v>17</v>
      </c>
      <c r="S12" s="711">
        <f t="shared" si="0"/>
        <v>100</v>
      </c>
      <c r="T12" s="710" t="s">
        <v>17</v>
      </c>
      <c r="U12" s="711">
        <f t="shared" si="1"/>
        <v>100</v>
      </c>
      <c r="V12" s="710" t="s">
        <v>17</v>
      </c>
      <c r="W12" s="711">
        <f t="shared" si="2"/>
        <v>100</v>
      </c>
      <c r="X12" s="712"/>
      <c r="Y12" s="334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8"/>
      <c r="Q13" s="1478">
        <f t="shared" si="6"/>
        <v>111</v>
      </c>
      <c r="R13" s="710" t="s">
        <v>17</v>
      </c>
      <c r="S13" s="711">
        <f t="shared" si="0"/>
        <v>100</v>
      </c>
      <c r="T13" s="710" t="s">
        <v>17</v>
      </c>
      <c r="U13" s="711">
        <f t="shared" si="1"/>
        <v>100</v>
      </c>
      <c r="V13" s="710" t="s">
        <v>17</v>
      </c>
      <c r="W13" s="711">
        <f t="shared" si="2"/>
        <v>100</v>
      </c>
      <c r="X13" s="712"/>
      <c r="Y13" s="334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8"/>
      <c r="Q14" s="1478">
        <f t="shared" si="6"/>
        <v>111</v>
      </c>
      <c r="R14" s="710" t="s">
        <v>17</v>
      </c>
      <c r="S14" s="711">
        <f t="shared" si="0"/>
        <v>100</v>
      </c>
      <c r="T14" s="710" t="s">
        <v>17</v>
      </c>
      <c r="U14" s="711">
        <f t="shared" si="1"/>
        <v>100</v>
      </c>
      <c r="V14" s="710" t="s">
        <v>17</v>
      </c>
      <c r="W14" s="711">
        <f t="shared" si="2"/>
        <v>100</v>
      </c>
      <c r="X14" s="712"/>
      <c r="Y14" s="3340"/>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70" t="s">
        <v>2140</v>
      </c>
      <c r="Q15" s="1487" t="str">
        <f t="shared" si="6"/>
        <v>产业集聚程度</v>
      </c>
      <c r="R15" s="714" t="s">
        <v>17</v>
      </c>
      <c r="S15" s="715">
        <f t="shared" si="0"/>
        <v>100</v>
      </c>
      <c r="T15" s="714" t="s">
        <v>17</v>
      </c>
      <c r="U15" s="715">
        <f t="shared" si="1"/>
        <v>100</v>
      </c>
      <c r="V15" s="714" t="s">
        <v>17</v>
      </c>
      <c r="W15" s="715">
        <f t="shared" si="2"/>
        <v>100</v>
      </c>
      <c r="X15" s="1490"/>
      <c r="Y15" s="3470"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71"/>
      <c r="Q16" s="1487"/>
      <c r="R16" s="714"/>
      <c r="S16" s="715"/>
      <c r="T16" s="714"/>
      <c r="U16" s="715"/>
      <c r="V16" s="714"/>
      <c r="W16" s="715"/>
      <c r="X16" s="1490"/>
      <c r="Y16" s="3471"/>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71"/>
      <c r="Q17" s="1487" t="str">
        <f>B17</f>
        <v>交通便捷度</v>
      </c>
      <c r="R17" s="714" t="s">
        <v>17</v>
      </c>
      <c r="S17" s="715">
        <f>F17</f>
        <v>100</v>
      </c>
      <c r="T17" s="714" t="s">
        <v>17</v>
      </c>
      <c r="U17" s="715">
        <f>H17</f>
        <v>100</v>
      </c>
      <c r="V17" s="714" t="s">
        <v>17</v>
      </c>
      <c r="W17" s="715">
        <f>J17</f>
        <v>100</v>
      </c>
      <c r="X17" s="1490"/>
      <c r="Y17" s="347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71"/>
      <c r="Q18" s="1487"/>
      <c r="R18" s="714"/>
      <c r="S18" s="715"/>
      <c r="T18" s="714"/>
      <c r="U18" s="715"/>
      <c r="V18" s="714"/>
      <c r="W18" s="715"/>
      <c r="X18" s="1490"/>
      <c r="Y18" s="3471"/>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71"/>
      <c r="Q19" s="1487" t="str">
        <f t="shared" ref="Q19:Q33" si="8">B19</f>
        <v>区域土地利用方向</v>
      </c>
      <c r="R19" s="714" t="s">
        <v>17</v>
      </c>
      <c r="S19" s="715">
        <f>F19</f>
        <v>100</v>
      </c>
      <c r="T19" s="714" t="s">
        <v>17</v>
      </c>
      <c r="U19" s="715">
        <f>H19</f>
        <v>100</v>
      </c>
      <c r="V19" s="714" t="s">
        <v>17</v>
      </c>
      <c r="W19" s="715">
        <f>J19</f>
        <v>100</v>
      </c>
      <c r="X19" s="1490"/>
      <c r="Y19" s="347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71"/>
      <c r="Q20" s="1487"/>
      <c r="R20" s="714"/>
      <c r="S20" s="715"/>
      <c r="T20" s="714"/>
      <c r="U20" s="715"/>
      <c r="V20" s="714"/>
      <c r="W20" s="715"/>
      <c r="X20" s="1490"/>
      <c r="Y20" s="3471"/>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71"/>
      <c r="Q21" s="1487" t="str">
        <f t="shared" si="8"/>
        <v>环境状况</v>
      </c>
      <c r="R21" s="714" t="s">
        <v>17</v>
      </c>
      <c r="S21" s="715">
        <f>F21</f>
        <v>100</v>
      </c>
      <c r="T21" s="714" t="s">
        <v>17</v>
      </c>
      <c r="U21" s="715">
        <f>H21</f>
        <v>100</v>
      </c>
      <c r="V21" s="714" t="s">
        <v>17</v>
      </c>
      <c r="W21" s="715">
        <f>J21</f>
        <v>100</v>
      </c>
      <c r="X21" s="1490"/>
      <c r="Y21" s="347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71"/>
      <c r="Q22" s="1487"/>
      <c r="R22" s="714"/>
      <c r="S22" s="715"/>
      <c r="T22" s="714"/>
      <c r="U22" s="715"/>
      <c r="V22" s="714"/>
      <c r="W22" s="715"/>
      <c r="X22" s="1490"/>
      <c r="Y22" s="3471"/>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71"/>
      <c r="Q23" s="1478" t="str">
        <f t="shared" si="8"/>
        <v>公共配套设施</v>
      </c>
      <c r="R23" s="710" t="s">
        <v>17</v>
      </c>
      <c r="S23" s="711">
        <f>F23</f>
        <v>100</v>
      </c>
      <c r="T23" s="710" t="s">
        <v>17</v>
      </c>
      <c r="U23" s="711">
        <f>H23</f>
        <v>100</v>
      </c>
      <c r="V23" s="710" t="s">
        <v>17</v>
      </c>
      <c r="W23" s="711">
        <f>J23</f>
        <v>100</v>
      </c>
      <c r="X23" s="712"/>
      <c r="Y23" s="347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71"/>
      <c r="Q24" s="1478"/>
      <c r="R24" s="710"/>
      <c r="S24" s="711"/>
      <c r="T24" s="710"/>
      <c r="U24" s="711"/>
      <c r="V24" s="710"/>
      <c r="W24" s="711"/>
      <c r="X24" s="712"/>
      <c r="Y24" s="3471"/>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71"/>
      <c r="Q25" s="1478" t="str">
        <f t="shared" ref="Q25" si="9">B25</f>
        <v>基础设施水平</v>
      </c>
      <c r="R25" s="710" t="s">
        <v>17</v>
      </c>
      <c r="S25" s="711">
        <f>F25</f>
        <v>100</v>
      </c>
      <c r="T25" s="710" t="s">
        <v>17</v>
      </c>
      <c r="U25" s="711">
        <f>H25</f>
        <v>100</v>
      </c>
      <c r="V25" s="710" t="s">
        <v>17</v>
      </c>
      <c r="W25" s="711">
        <f>J25</f>
        <v>100</v>
      </c>
      <c r="X25" s="712"/>
      <c r="Y25" s="347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71"/>
      <c r="Q26" s="1478"/>
      <c r="R26" s="710"/>
      <c r="S26" s="711"/>
      <c r="T26" s="710"/>
      <c r="U26" s="711"/>
      <c r="V26" s="710"/>
      <c r="W26" s="711"/>
      <c r="X26" s="712"/>
      <c r="Y26" s="347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7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1"/>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71"/>
      <c r="Q28" s="1487" t="str">
        <f t="shared" si="8"/>
        <v>毗邻道路的类型与等级</v>
      </c>
      <c r="R28" s="714" t="s">
        <v>17</v>
      </c>
      <c r="S28" s="715">
        <f t="shared" si="10"/>
        <v>100</v>
      </c>
      <c r="T28" s="714" t="s">
        <v>17</v>
      </c>
      <c r="U28" s="715">
        <f t="shared" si="11"/>
        <v>100</v>
      </c>
      <c r="V28" s="714" t="s">
        <v>17</v>
      </c>
      <c r="W28" s="715">
        <f t="shared" si="12"/>
        <v>100</v>
      </c>
      <c r="X28" s="1490"/>
      <c r="Y28" s="347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71"/>
      <c r="Q29" s="1487"/>
      <c r="R29" s="714"/>
      <c r="S29" s="715"/>
      <c r="T29" s="714"/>
      <c r="U29" s="715"/>
      <c r="V29" s="714"/>
      <c r="W29" s="715"/>
      <c r="X29" s="1490"/>
      <c r="Y29" s="347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71"/>
      <c r="Q30" s="1487" t="str">
        <f t="shared" si="8"/>
        <v>土地级别</v>
      </c>
      <c r="R30" s="714" t="s">
        <v>17</v>
      </c>
      <c r="S30" s="715">
        <f t="shared" si="10"/>
        <v>100</v>
      </c>
      <c r="T30" s="714" t="s">
        <v>17</v>
      </c>
      <c r="U30" s="715">
        <f t="shared" si="11"/>
        <v>100</v>
      </c>
      <c r="V30" s="714" t="s">
        <v>17</v>
      </c>
      <c r="W30" s="715">
        <f t="shared" si="12"/>
        <v>100</v>
      </c>
      <c r="X30" s="1490"/>
      <c r="Y30" s="347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71"/>
      <c r="Q31" s="1487">
        <f t="shared" si="8"/>
        <v>111</v>
      </c>
      <c r="R31" s="714" t="s">
        <v>17</v>
      </c>
      <c r="S31" s="715">
        <f t="shared" si="10"/>
        <v>100</v>
      </c>
      <c r="T31" s="714" t="s">
        <v>17</v>
      </c>
      <c r="U31" s="715">
        <f t="shared" si="11"/>
        <v>100</v>
      </c>
      <c r="V31" s="714" t="s">
        <v>17</v>
      </c>
      <c r="W31" s="715">
        <f t="shared" si="12"/>
        <v>100</v>
      </c>
      <c r="X31" s="1490"/>
      <c r="Y31" s="347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2" t="s">
        <v>2145</v>
      </c>
      <c r="Q32" s="1487">
        <f t="shared" si="8"/>
        <v>111</v>
      </c>
      <c r="R32" s="714" t="s">
        <v>17</v>
      </c>
      <c r="S32" s="715">
        <f t="shared" si="10"/>
        <v>100</v>
      </c>
      <c r="T32" s="714" t="s">
        <v>17</v>
      </c>
      <c r="U32" s="715">
        <f t="shared" si="11"/>
        <v>100</v>
      </c>
      <c r="V32" s="714" t="s">
        <v>17</v>
      </c>
      <c r="W32" s="715">
        <f t="shared" si="12"/>
        <v>100</v>
      </c>
      <c r="X32" s="1490"/>
      <c r="Y32" s="3475"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5"/>
      <c r="Q33" s="1487">
        <f t="shared" si="8"/>
        <v>111</v>
      </c>
      <c r="R33" s="717" t="s">
        <v>17</v>
      </c>
      <c r="S33" s="718">
        <f t="shared" si="10"/>
        <v>100</v>
      </c>
      <c r="T33" s="717" t="s">
        <v>17</v>
      </c>
      <c r="U33" s="718">
        <f t="shared" si="11"/>
        <v>100</v>
      </c>
      <c r="V33" s="717" t="s">
        <v>17</v>
      </c>
      <c r="W33" s="718">
        <f t="shared" si="12"/>
        <v>100</v>
      </c>
      <c r="X33" s="719"/>
      <c r="Y33" s="347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5"/>
      <c r="Q34" s="1487" t="str">
        <f>B34</f>
        <v>宗地面积</v>
      </c>
      <c r="R34" s="714" t="s">
        <v>17</v>
      </c>
      <c r="S34" s="715" t="e">
        <f t="shared" si="10"/>
        <v>#N/A</v>
      </c>
      <c r="T34" s="714" t="s">
        <v>17</v>
      </c>
      <c r="U34" s="715" t="e">
        <f t="shared" si="11"/>
        <v>#N/A</v>
      </c>
      <c r="V34" s="714" t="s">
        <v>17</v>
      </c>
      <c r="W34" s="715" t="e">
        <f t="shared" si="12"/>
        <v>#N/A</v>
      </c>
      <c r="X34" s="1490"/>
      <c r="Y34" s="3475"/>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5"/>
      <c r="Q35" s="1487" t="str">
        <f t="shared" ref="Q35:Q40" si="14">B35</f>
        <v>宗地形状</v>
      </c>
      <c r="R35" s="714" t="s">
        <v>17</v>
      </c>
      <c r="S35" s="715">
        <f t="shared" si="10"/>
        <v>100</v>
      </c>
      <c r="T35" s="714" t="s">
        <v>17</v>
      </c>
      <c r="U35" s="715">
        <f t="shared" si="11"/>
        <v>100</v>
      </c>
      <c r="V35" s="714" t="s">
        <v>17</v>
      </c>
      <c r="W35" s="715">
        <f t="shared" si="12"/>
        <v>100</v>
      </c>
      <c r="X35" s="1490"/>
      <c r="Y35" s="3475"/>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5"/>
      <c r="Q36" s="1487" t="str">
        <f t="shared" si="14"/>
        <v>宗地开发程度</v>
      </c>
      <c r="R36" s="710" t="s">
        <v>17</v>
      </c>
      <c r="S36" s="711">
        <f t="shared" si="10"/>
        <v>100</v>
      </c>
      <c r="T36" s="710" t="s">
        <v>17</v>
      </c>
      <c r="U36" s="711">
        <f t="shared" si="11"/>
        <v>100</v>
      </c>
      <c r="V36" s="710" t="s">
        <v>17</v>
      </c>
      <c r="W36" s="711">
        <f t="shared" si="12"/>
        <v>100</v>
      </c>
      <c r="X36" s="712"/>
      <c r="Y36" s="3475"/>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5" t="s">
        <v>2145</v>
      </c>
      <c r="Q37" s="1487" t="str">
        <f t="shared" si="14"/>
        <v>工程地质条件</v>
      </c>
      <c r="R37" s="714" t="s">
        <v>17</v>
      </c>
      <c r="S37" s="715">
        <f t="shared" si="10"/>
        <v>100</v>
      </c>
      <c r="T37" s="714" t="s">
        <v>17</v>
      </c>
      <c r="U37" s="715">
        <f t="shared" si="11"/>
        <v>100</v>
      </c>
      <c r="V37" s="714" t="s">
        <v>17</v>
      </c>
      <c r="W37" s="715">
        <f t="shared" si="12"/>
        <v>100</v>
      </c>
      <c r="X37" s="1490"/>
      <c r="Y37" s="347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5"/>
      <c r="Q38" s="1487">
        <f t="shared" si="14"/>
        <v>111</v>
      </c>
      <c r="R38" s="714" t="s">
        <v>17</v>
      </c>
      <c r="S38" s="715">
        <f t="shared" si="10"/>
        <v>100</v>
      </c>
      <c r="T38" s="714" t="s">
        <v>17</v>
      </c>
      <c r="U38" s="715">
        <f t="shared" si="11"/>
        <v>100</v>
      </c>
      <c r="V38" s="714" t="s">
        <v>17</v>
      </c>
      <c r="W38" s="715">
        <f t="shared" si="12"/>
        <v>100</v>
      </c>
      <c r="X38" s="1490"/>
      <c r="Y38" s="347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5"/>
      <c r="Q39" s="1487">
        <f t="shared" si="14"/>
        <v>111</v>
      </c>
      <c r="R39" s="714" t="s">
        <v>17</v>
      </c>
      <c r="S39" s="715">
        <f t="shared" si="10"/>
        <v>100</v>
      </c>
      <c r="T39" s="714" t="s">
        <v>17</v>
      </c>
      <c r="U39" s="715">
        <f t="shared" si="11"/>
        <v>100</v>
      </c>
      <c r="V39" s="714" t="s">
        <v>17</v>
      </c>
      <c r="W39" s="715">
        <f t="shared" si="12"/>
        <v>100</v>
      </c>
      <c r="X39" s="1490"/>
      <c r="Y39" s="347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5"/>
      <c r="Q40" s="1487">
        <f t="shared" si="14"/>
        <v>111</v>
      </c>
      <c r="R40" s="717" t="s">
        <v>17</v>
      </c>
      <c r="S40" s="718">
        <f t="shared" si="10"/>
        <v>100</v>
      </c>
      <c r="T40" s="717" t="s">
        <v>17</v>
      </c>
      <c r="U40" s="718">
        <f t="shared" si="11"/>
        <v>100</v>
      </c>
      <c r="V40" s="717" t="s">
        <v>17</v>
      </c>
      <c r="W40" s="718">
        <f t="shared" si="12"/>
        <v>100</v>
      </c>
      <c r="X40" s="719"/>
      <c r="Y40" s="3475"/>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8" t="str">
        <f>A41</f>
        <v>成交单价</v>
      </c>
      <c r="Q41" s="3468"/>
      <c r="R41" s="3499">
        <f>E41</f>
        <v>0</v>
      </c>
      <c r="S41" s="3499"/>
      <c r="T41" s="3499">
        <f>G41</f>
        <v>0</v>
      </c>
      <c r="U41" s="3499"/>
      <c r="V41" s="3499">
        <f>I41</f>
        <v>0</v>
      </c>
      <c r="W41" s="3499"/>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68" t="str">
        <f>A42</f>
        <v>比较价值（元/平方米）</v>
      </c>
      <c r="Q42" s="3468"/>
      <c r="R42" s="3534" t="e">
        <f>ROUND(PRODUCT(R41,AA7:AA40),0)</f>
        <v>#DIV/0!</v>
      </c>
      <c r="S42" s="3534"/>
      <c r="T42" s="3534" t="e">
        <f>ROUND(PRODUCT(T41,AB7:AB40),0)</f>
        <v>#DIV/0!</v>
      </c>
      <c r="U42" s="3534"/>
      <c r="V42" s="3534" t="e">
        <f>ROUND(PRODUCT(V41,AC7:AC40),0)</f>
        <v>#DIV/0!</v>
      </c>
      <c r="W42" s="353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5" t="str">
        <f>A43</f>
        <v>估价对象XX用房的比较价值（楼面单价，元/平方米）</v>
      </c>
      <c r="Q43" s="3466"/>
      <c r="R43" s="3535" t="e">
        <f>ROUND(IF(D42="简单平均",AVERAGE(R42:W42),R42*F42+T42*H42+V42*J42),0)</f>
        <v>#DIV/0!</v>
      </c>
      <c r="S43" s="3535"/>
      <c r="T43" s="3535"/>
      <c r="U43" s="3535"/>
      <c r="V43" s="3535"/>
      <c r="W43" s="353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3" t="s">
        <v>2344</v>
      </c>
      <c r="H50" s="353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18937.57</v>
      </c>
      <c r="F51" s="647" t="e">
        <f t="shared" ref="F51:F60" si="15">ROUND(B51*E51/10000,0)</f>
        <v>#DIV/0!</v>
      </c>
      <c r="G51" s="3479"/>
      <c r="H51" s="3468"/>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4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2419</v>
      </c>
      <c r="X8" s="354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4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3"/>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5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8" t="s">
        <v>2462</v>
      </c>
      <c r="B16" s="2160" t="s">
        <v>2463</v>
      </c>
      <c r="C16" s="2322" t="e">
        <f>ROUND(IF(F17="与级别开发程度一致",0,(G17-E17)/C17),0)</f>
        <v>#DIV/0!</v>
      </c>
      <c r="D16" s="3564" t="s">
        <v>2467</v>
      </c>
      <c r="E16" s="3565"/>
      <c r="F16" s="3564" t="s">
        <v>2464</v>
      </c>
      <c r="G16" s="356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44726</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6"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3" t="s">
        <v>2550</v>
      </c>
      <c r="B90" s="3553"/>
      <c r="C90" s="3553"/>
      <c r="D90" s="3553"/>
      <c r="E90" s="3553"/>
      <c r="F90" s="3553"/>
      <c r="G90" s="3553"/>
      <c r="H90" s="3553"/>
      <c r="I90" s="3553"/>
      <c r="J90" s="3553"/>
      <c r="K90" s="2294"/>
      <c r="L90" s="2294"/>
      <c r="M90" s="2294"/>
      <c r="N90" s="2294"/>
    </row>
    <row r="91" spans="1:37">
      <c r="A91" s="3555" t="s">
        <v>2551</v>
      </c>
      <c r="B91" s="3555" t="s">
        <v>2552</v>
      </c>
      <c r="C91" s="2248" t="s">
        <v>2553</v>
      </c>
      <c r="D91" s="2249"/>
      <c r="E91" s="2249"/>
      <c r="F91" s="2249"/>
      <c r="G91" s="2249"/>
      <c r="H91" s="2249"/>
      <c r="I91" s="2249"/>
      <c r="J91" s="2295"/>
      <c r="K91" s="2296"/>
      <c r="L91" s="2296"/>
      <c r="M91" s="2296"/>
      <c r="N91" s="2296"/>
    </row>
    <row r="92" spans="1:37">
      <c r="A92" s="3555"/>
      <c r="B92" s="355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6"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57"/>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57"/>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57"/>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57"/>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57"/>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57"/>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57"/>
      <c r="B108" s="355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8"/>
      <c r="B109" s="3560"/>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54" t="s">
        <v>2558</v>
      </c>
      <c r="B110" s="3554"/>
      <c r="C110" s="3554"/>
      <c r="D110" s="3554"/>
      <c r="E110" s="3554"/>
      <c r="F110" s="3554"/>
      <c r="G110" s="3554"/>
      <c r="H110" s="3554"/>
      <c r="I110" s="3554"/>
      <c r="J110" s="3554"/>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76" t="s">
        <v>2954</v>
      </c>
      <c r="B20" s="3571" t="s">
        <v>2955</v>
      </c>
      <c r="C20" s="3213" t="s">
        <v>2956</v>
      </c>
      <c r="D20" s="3214"/>
      <c r="E20" s="3215">
        <v>1</v>
      </c>
      <c r="F20" s="3216" t="s">
        <v>2957</v>
      </c>
      <c r="G20" s="807"/>
      <c r="H20" s="801"/>
      <c r="I20" s="801"/>
    </row>
    <row r="21" spans="1:13" s="808" customFormat="1" ht="19.5" customHeight="1">
      <c r="A21" s="3577"/>
      <c r="B21" s="3570"/>
      <c r="C21" s="805" t="s">
        <v>2958</v>
      </c>
      <c r="D21" s="806"/>
      <c r="E21" s="3217">
        <v>1</v>
      </c>
      <c r="F21" s="3216" t="s">
        <v>2959</v>
      </c>
      <c r="G21" s="807"/>
      <c r="H21" s="801"/>
      <c r="I21" s="801"/>
    </row>
    <row r="22" spans="1:13" s="808" customFormat="1" ht="19.5" customHeight="1">
      <c r="A22" s="3577"/>
      <c r="B22" s="3570"/>
      <c r="C22" s="805" t="s">
        <v>2960</v>
      </c>
      <c r="D22" s="806"/>
      <c r="E22" s="3217">
        <v>0.9</v>
      </c>
      <c r="F22" s="3216" t="s">
        <v>2961</v>
      </c>
      <c r="G22" s="807"/>
      <c r="H22" s="801"/>
      <c r="I22" s="801"/>
    </row>
    <row r="23" spans="1:13" s="808" customFormat="1" ht="19.5" customHeight="1">
      <c r="A23" s="3577"/>
      <c r="B23" s="3570"/>
      <c r="C23" s="805" t="s">
        <v>2962</v>
      </c>
      <c r="D23" s="806"/>
      <c r="E23" s="3217">
        <v>0.9</v>
      </c>
      <c r="F23" s="3216" t="s">
        <v>2963</v>
      </c>
      <c r="G23" s="807"/>
      <c r="H23" s="801"/>
      <c r="I23" s="801"/>
    </row>
    <row r="24" spans="1:13" s="808" customFormat="1" ht="19.5" customHeight="1">
      <c r="A24" s="3577"/>
      <c r="B24" s="3570"/>
      <c r="C24" s="805" t="s">
        <v>2964</v>
      </c>
      <c r="D24" s="806"/>
      <c r="E24" s="3217">
        <v>0.8</v>
      </c>
      <c r="F24" s="3216" t="s">
        <v>2965</v>
      </c>
      <c r="G24" s="807"/>
      <c r="H24" s="801"/>
      <c r="I24" s="801"/>
    </row>
    <row r="25" spans="1:13" s="808" customFormat="1" ht="19.5" customHeight="1" thickBot="1">
      <c r="A25" s="3578"/>
      <c r="B25" s="3572"/>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73" t="s">
        <v>2971</v>
      </c>
      <c r="B27" s="3571" t="s">
        <v>2971</v>
      </c>
      <c r="C27" s="3213" t="s">
        <v>2972</v>
      </c>
      <c r="D27" s="3214"/>
      <c r="E27" s="3215">
        <v>1</v>
      </c>
      <c r="F27" s="3216" t="s">
        <v>2973</v>
      </c>
      <c r="G27" s="807"/>
      <c r="H27" s="801"/>
      <c r="I27" s="801"/>
    </row>
    <row r="28" spans="1:13" s="808" customFormat="1" ht="19.5" customHeight="1">
      <c r="A28" s="3574"/>
      <c r="B28" s="3570"/>
      <c r="C28" s="805" t="s">
        <v>2974</v>
      </c>
      <c r="D28" s="806"/>
      <c r="E28" s="3217">
        <v>1</v>
      </c>
      <c r="F28" s="3216" t="s">
        <v>2975</v>
      </c>
      <c r="G28" s="807"/>
      <c r="H28" s="801"/>
      <c r="I28" s="801"/>
    </row>
    <row r="29" spans="1:13" s="808" customFormat="1" ht="19.5" customHeight="1">
      <c r="A29" s="3574"/>
      <c r="B29" s="3570"/>
      <c r="C29" s="805" t="s">
        <v>2976</v>
      </c>
      <c r="D29" s="806"/>
      <c r="E29" s="3217">
        <v>0.8</v>
      </c>
      <c r="F29" s="3216" t="s">
        <v>2977</v>
      </c>
      <c r="G29" s="807"/>
      <c r="H29" s="801"/>
      <c r="I29" s="801"/>
    </row>
    <row r="30" spans="1:13" s="808" customFormat="1" ht="19.5" customHeight="1">
      <c r="A30" s="3574"/>
      <c r="B30" s="3570"/>
      <c r="C30" s="805" t="s">
        <v>2978</v>
      </c>
      <c r="D30" s="806"/>
      <c r="E30" s="3217">
        <v>0.8</v>
      </c>
      <c r="F30" s="3216" t="s">
        <v>2979</v>
      </c>
      <c r="G30" s="807"/>
      <c r="H30" s="801"/>
      <c r="I30" s="801"/>
    </row>
    <row r="31" spans="1:13" s="808" customFormat="1" ht="19.5" customHeight="1">
      <c r="A31" s="3574"/>
      <c r="B31" s="3570"/>
      <c r="C31" s="805" t="s">
        <v>2980</v>
      </c>
      <c r="D31" s="806"/>
      <c r="E31" s="3217">
        <v>0.8</v>
      </c>
      <c r="F31" s="3216" t="s">
        <v>2981</v>
      </c>
      <c r="G31" s="807"/>
      <c r="H31" s="801"/>
      <c r="I31" s="801"/>
    </row>
    <row r="32" spans="1:13" s="808" customFormat="1" ht="19.5" customHeight="1">
      <c r="A32" s="3574"/>
      <c r="B32" s="3570"/>
      <c r="C32" s="805" t="s">
        <v>2982</v>
      </c>
      <c r="D32" s="806"/>
      <c r="E32" s="3217">
        <v>0.7</v>
      </c>
      <c r="F32" s="3216" t="s">
        <v>2983</v>
      </c>
      <c r="G32" s="807"/>
      <c r="H32" s="801"/>
      <c r="I32" s="801"/>
    </row>
    <row r="33" spans="1:9" s="808" customFormat="1" ht="19.5" customHeight="1">
      <c r="A33" s="3574"/>
      <c r="B33" s="3570"/>
      <c r="C33" s="805" t="s">
        <v>2984</v>
      </c>
      <c r="D33" s="806"/>
      <c r="E33" s="3217">
        <v>0.8</v>
      </c>
      <c r="F33" s="3216" t="s">
        <v>2985</v>
      </c>
      <c r="G33" s="807"/>
      <c r="H33" s="801"/>
      <c r="I33" s="801"/>
    </row>
    <row r="34" spans="1:9" s="808" customFormat="1" ht="19.5" customHeight="1">
      <c r="A34" s="3574"/>
      <c r="B34" s="3570"/>
      <c r="C34" s="805" t="s">
        <v>2986</v>
      </c>
      <c r="D34" s="806"/>
      <c r="E34" s="3217">
        <v>0.6</v>
      </c>
      <c r="F34" s="3216" t="s">
        <v>2987</v>
      </c>
      <c r="G34" s="807"/>
      <c r="H34" s="801"/>
      <c r="I34" s="801"/>
    </row>
    <row r="35" spans="1:9" s="808" customFormat="1" ht="19.5" customHeight="1">
      <c r="A35" s="3574"/>
      <c r="B35" s="3570"/>
      <c r="C35" s="805" t="s">
        <v>2988</v>
      </c>
      <c r="D35" s="806"/>
      <c r="E35" s="3217">
        <v>0.2</v>
      </c>
      <c r="F35" s="3216" t="s">
        <v>2989</v>
      </c>
      <c r="G35" s="807"/>
      <c r="H35" s="801"/>
      <c r="I35" s="801"/>
    </row>
    <row r="36" spans="1:9" s="808" customFormat="1" ht="19.5" customHeight="1">
      <c r="A36" s="3574"/>
      <c r="B36" s="3570"/>
      <c r="C36" s="805" t="s">
        <v>2990</v>
      </c>
      <c r="D36" s="806"/>
      <c r="E36" s="3217">
        <v>0.2</v>
      </c>
      <c r="F36" s="3216" t="s">
        <v>2991</v>
      </c>
      <c r="G36" s="807"/>
      <c r="H36" s="801"/>
      <c r="I36" s="801"/>
    </row>
    <row r="37" spans="1:9" s="808" customFormat="1" ht="19.5" customHeight="1">
      <c r="A37" s="3574"/>
      <c r="B37" s="3568" t="s">
        <v>2992</v>
      </c>
      <c r="C37" s="805" t="s">
        <v>2993</v>
      </c>
      <c r="D37" s="806"/>
      <c r="E37" s="3217">
        <v>0.6</v>
      </c>
      <c r="F37" s="3216" t="s">
        <v>2994</v>
      </c>
      <c r="G37" s="807"/>
      <c r="H37" s="801"/>
      <c r="I37" s="801"/>
    </row>
    <row r="38" spans="1:9" s="808" customFormat="1" ht="19.5" customHeight="1">
      <c r="A38" s="3574"/>
      <c r="B38" s="3570"/>
      <c r="C38" s="805" t="s">
        <v>2995</v>
      </c>
      <c r="D38" s="806"/>
      <c r="E38" s="3217">
        <v>0.6</v>
      </c>
      <c r="F38" s="3216" t="s">
        <v>2996</v>
      </c>
      <c r="G38" s="807"/>
      <c r="H38" s="801"/>
      <c r="I38" s="801"/>
    </row>
    <row r="39" spans="1:9" s="808" customFormat="1" ht="19.5" customHeight="1" thickBot="1">
      <c r="A39" s="3575"/>
      <c r="B39" s="3572"/>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76" t="s">
        <v>3002</v>
      </c>
      <c r="B41" s="3571" t="s">
        <v>3003</v>
      </c>
      <c r="C41" s="3213" t="s">
        <v>3004</v>
      </c>
      <c r="D41" s="3214"/>
      <c r="E41" s="3215">
        <v>1</v>
      </c>
      <c r="F41" s="3216" t="s">
        <v>3005</v>
      </c>
      <c r="G41" s="807"/>
      <c r="H41" s="801"/>
      <c r="I41" s="801"/>
    </row>
    <row r="42" spans="1:9" s="808" customFormat="1" ht="19.5" customHeight="1">
      <c r="A42" s="3577"/>
      <c r="B42" s="3570"/>
      <c r="C42" s="805" t="s">
        <v>3006</v>
      </c>
      <c r="D42" s="806"/>
      <c r="E42" s="3217">
        <v>1</v>
      </c>
      <c r="F42" s="3216" t="s">
        <v>3007</v>
      </c>
      <c r="G42" s="807"/>
      <c r="H42" s="801"/>
      <c r="I42" s="801"/>
    </row>
    <row r="43" spans="1:9" s="808" customFormat="1" ht="19.5" customHeight="1">
      <c r="A43" s="3577"/>
      <c r="B43" s="3569"/>
      <c r="C43" s="805" t="s">
        <v>3008</v>
      </c>
      <c r="D43" s="806"/>
      <c r="E43" s="3217">
        <v>1.5</v>
      </c>
      <c r="F43" s="3216" t="s">
        <v>3009</v>
      </c>
      <c r="G43" s="807"/>
      <c r="H43" s="801"/>
      <c r="I43" s="801"/>
    </row>
    <row r="44" spans="1:9" s="808" customFormat="1" ht="19.5" customHeight="1">
      <c r="A44" s="3577"/>
      <c r="B44" s="3226" t="s">
        <v>2971</v>
      </c>
      <c r="C44" s="805" t="s">
        <v>3010</v>
      </c>
      <c r="D44" s="806"/>
      <c r="E44" s="3217">
        <v>2</v>
      </c>
      <c r="F44" s="3216" t="s">
        <v>3011</v>
      </c>
      <c r="G44" s="807"/>
      <c r="H44" s="801"/>
      <c r="I44" s="801"/>
    </row>
    <row r="45" spans="1:9" s="808" customFormat="1" ht="19.5" customHeight="1">
      <c r="A45" s="3577"/>
      <c r="B45" s="3568" t="s">
        <v>3012</v>
      </c>
      <c r="C45" s="805" t="s">
        <v>3013</v>
      </c>
      <c r="D45" s="806"/>
      <c r="E45" s="3217">
        <v>1</v>
      </c>
      <c r="F45" s="3216" t="s">
        <v>3014</v>
      </c>
      <c r="G45" s="807"/>
      <c r="H45" s="801"/>
      <c r="I45" s="801"/>
    </row>
    <row r="46" spans="1:9" s="808" customFormat="1" ht="19.5" customHeight="1">
      <c r="A46" s="3577"/>
      <c r="B46" s="3570"/>
      <c r="C46" s="805" t="s">
        <v>3015</v>
      </c>
      <c r="D46" s="806"/>
      <c r="E46" s="3217">
        <v>1</v>
      </c>
      <c r="F46" s="3216" t="s">
        <v>3016</v>
      </c>
      <c r="G46" s="807"/>
      <c r="H46" s="801"/>
      <c r="I46" s="801"/>
    </row>
    <row r="47" spans="1:9" s="808" customFormat="1" ht="19.5" customHeight="1">
      <c r="A47" s="3577"/>
      <c r="B47" s="3570"/>
      <c r="C47" s="805" t="s">
        <v>3017</v>
      </c>
      <c r="D47" s="806"/>
      <c r="E47" s="3217">
        <v>1</v>
      </c>
      <c r="F47" s="3216" t="s">
        <v>3018</v>
      </c>
      <c r="G47" s="807"/>
      <c r="H47" s="801"/>
      <c r="I47" s="801"/>
    </row>
    <row r="48" spans="1:9" s="808" customFormat="1" ht="19.5" customHeight="1">
      <c r="A48" s="3577"/>
      <c r="B48" s="3570"/>
      <c r="C48" s="805" t="s">
        <v>3019</v>
      </c>
      <c r="D48" s="806"/>
      <c r="E48" s="3217">
        <v>1</v>
      </c>
      <c r="F48" s="3216" t="s">
        <v>3020</v>
      </c>
      <c r="G48" s="807"/>
      <c r="H48" s="801"/>
      <c r="I48" s="801"/>
    </row>
    <row r="49" spans="1:9" s="808" customFormat="1" ht="19.5" customHeight="1">
      <c r="A49" s="3577"/>
      <c r="B49" s="3570"/>
      <c r="C49" s="805" t="s">
        <v>3021</v>
      </c>
      <c r="D49" s="806"/>
      <c r="E49" s="3217">
        <v>1</v>
      </c>
      <c r="F49" s="3216" t="s">
        <v>3022</v>
      </c>
      <c r="G49" s="807"/>
      <c r="H49" s="801"/>
      <c r="I49" s="801"/>
    </row>
    <row r="50" spans="1:9" s="808" customFormat="1" ht="19.5" customHeight="1">
      <c r="A50" s="3577"/>
      <c r="B50" s="3570"/>
      <c r="C50" s="805" t="s">
        <v>3023</v>
      </c>
      <c r="D50" s="806"/>
      <c r="E50" s="3217">
        <v>1</v>
      </c>
      <c r="F50" s="3216" t="s">
        <v>3024</v>
      </c>
      <c r="G50" s="807"/>
      <c r="H50" s="801"/>
      <c r="I50" s="801"/>
    </row>
    <row r="51" spans="1:9" s="808" customFormat="1" ht="19.5" customHeight="1" thickBot="1">
      <c r="A51" s="3578"/>
      <c r="B51" s="3572"/>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68" t="s">
        <v>3028</v>
      </c>
      <c r="C73" s="3206" t="s">
        <v>3029</v>
      </c>
      <c r="D73" s="3206" t="s">
        <v>3030</v>
      </c>
      <c r="E73" s="3227">
        <v>0.2</v>
      </c>
      <c r="F73" s="3226">
        <v>25</v>
      </c>
    </row>
    <row r="74" spans="1:7" s="801" customFormat="1" ht="24">
      <c r="A74" s="3226">
        <v>2</v>
      </c>
      <c r="B74" s="3570"/>
      <c r="C74" s="3206" t="s">
        <v>3031</v>
      </c>
      <c r="D74" s="3206" t="s">
        <v>3032</v>
      </c>
      <c r="E74" s="3227">
        <v>0.2</v>
      </c>
      <c r="F74" s="3226">
        <v>25</v>
      </c>
    </row>
    <row r="75" spans="1:7" s="801" customFormat="1" ht="24">
      <c r="A75" s="3226">
        <v>3</v>
      </c>
      <c r="B75" s="3570"/>
      <c r="C75" s="3206" t="s">
        <v>3033</v>
      </c>
      <c r="D75" s="3206" t="s">
        <v>3034</v>
      </c>
      <c r="E75" s="3227">
        <v>0.2</v>
      </c>
      <c r="F75" s="3226">
        <v>25</v>
      </c>
    </row>
    <row r="76" spans="1:7" s="801" customFormat="1" ht="13.5">
      <c r="A76" s="3226">
        <v>4</v>
      </c>
      <c r="B76" s="3570"/>
      <c r="C76" s="3206" t="s">
        <v>3035</v>
      </c>
      <c r="D76" s="3206" t="s">
        <v>3036</v>
      </c>
      <c r="E76" s="3227">
        <v>0.15</v>
      </c>
      <c r="F76" s="3226">
        <v>20</v>
      </c>
    </row>
    <row r="77" spans="1:7" s="801" customFormat="1" ht="24">
      <c r="A77" s="3226">
        <v>5</v>
      </c>
      <c r="B77" s="3570"/>
      <c r="C77" s="3206" t="s">
        <v>3037</v>
      </c>
      <c r="D77" s="3206" t="s">
        <v>3038</v>
      </c>
      <c r="E77" s="3227">
        <v>0.15</v>
      </c>
      <c r="F77" s="3226">
        <v>20</v>
      </c>
    </row>
    <row r="78" spans="1:7" s="801" customFormat="1" ht="24">
      <c r="A78" s="3226">
        <v>6</v>
      </c>
      <c r="B78" s="3570"/>
      <c r="C78" s="3206" t="s">
        <v>3039</v>
      </c>
      <c r="D78" s="3206" t="s">
        <v>3040</v>
      </c>
      <c r="E78" s="3227">
        <v>0.15</v>
      </c>
      <c r="F78" s="3226">
        <v>20</v>
      </c>
    </row>
    <row r="79" spans="1:7" s="801" customFormat="1" ht="24">
      <c r="A79" s="3226">
        <v>7</v>
      </c>
      <c r="B79" s="3570"/>
      <c r="C79" s="3206" t="s">
        <v>3041</v>
      </c>
      <c r="D79" s="3206" t="s">
        <v>3042</v>
      </c>
      <c r="E79" s="3227">
        <v>0.15</v>
      </c>
      <c r="F79" s="3226">
        <v>20</v>
      </c>
    </row>
    <row r="80" spans="1:7" s="801" customFormat="1" ht="24">
      <c r="A80" s="3226">
        <v>8</v>
      </c>
      <c r="B80" s="3570"/>
      <c r="C80" s="3206" t="s">
        <v>3043</v>
      </c>
      <c r="D80" s="3206" t="s">
        <v>3044</v>
      </c>
      <c r="E80" s="3227">
        <v>0.1</v>
      </c>
      <c r="F80" s="3226">
        <v>15</v>
      </c>
    </row>
    <row r="81" spans="1:6" s="801" customFormat="1" ht="24">
      <c r="A81" s="3226">
        <v>9</v>
      </c>
      <c r="B81" s="3570"/>
      <c r="C81" s="3206" t="s">
        <v>3045</v>
      </c>
      <c r="D81" s="3206" t="s">
        <v>3046</v>
      </c>
      <c r="E81" s="3227">
        <v>0.1</v>
      </c>
      <c r="F81" s="3226">
        <v>15</v>
      </c>
    </row>
    <row r="82" spans="1:6" s="801" customFormat="1" ht="24">
      <c r="A82" s="3226">
        <v>10</v>
      </c>
      <c r="B82" s="3570"/>
      <c r="C82" s="3206" t="s">
        <v>3047</v>
      </c>
      <c r="D82" s="3206" t="s">
        <v>3048</v>
      </c>
      <c r="E82" s="3227">
        <v>0.1</v>
      </c>
      <c r="F82" s="3226">
        <v>15</v>
      </c>
    </row>
    <row r="83" spans="1:6" s="801" customFormat="1" ht="24">
      <c r="A83" s="3226">
        <v>11</v>
      </c>
      <c r="B83" s="3570"/>
      <c r="C83" s="3206" t="s">
        <v>3049</v>
      </c>
      <c r="D83" s="3206" t="s">
        <v>3050</v>
      </c>
      <c r="E83" s="3227">
        <v>0.1</v>
      </c>
      <c r="F83" s="3226">
        <v>15</v>
      </c>
    </row>
    <row r="84" spans="1:6" s="801" customFormat="1" ht="24">
      <c r="A84" s="3226">
        <v>12</v>
      </c>
      <c r="B84" s="3570"/>
      <c r="C84" s="3206" t="s">
        <v>3051</v>
      </c>
      <c r="D84" s="3206" t="s">
        <v>3052</v>
      </c>
      <c r="E84" s="3227">
        <v>0.1</v>
      </c>
      <c r="F84" s="3226">
        <v>15</v>
      </c>
    </row>
    <row r="85" spans="1:6" s="801" customFormat="1" ht="13.5">
      <c r="A85" s="3226">
        <v>13</v>
      </c>
      <c r="B85" s="3570"/>
      <c r="C85" s="3206" t="s">
        <v>3053</v>
      </c>
      <c r="D85" s="3206" t="s">
        <v>3054</v>
      </c>
      <c r="E85" s="3227">
        <v>0.1</v>
      </c>
      <c r="F85" s="3226">
        <v>15</v>
      </c>
    </row>
    <row r="86" spans="1:6" s="801" customFormat="1" ht="13.5">
      <c r="A86" s="3226">
        <v>14</v>
      </c>
      <c r="B86" s="3570"/>
      <c r="C86" s="3206" t="s">
        <v>3055</v>
      </c>
      <c r="D86" s="3206" t="s">
        <v>3056</v>
      </c>
      <c r="E86" s="3227">
        <v>0.1</v>
      </c>
      <c r="F86" s="3226">
        <v>15</v>
      </c>
    </row>
    <row r="87" spans="1:6" s="801" customFormat="1" ht="13.5">
      <c r="A87" s="3226">
        <v>15</v>
      </c>
      <c r="B87" s="3570"/>
      <c r="C87" s="3206" t="s">
        <v>3057</v>
      </c>
      <c r="D87" s="3206" t="s">
        <v>3058</v>
      </c>
      <c r="E87" s="3227">
        <v>0.1</v>
      </c>
      <c r="F87" s="3226">
        <v>15</v>
      </c>
    </row>
    <row r="88" spans="1:6" s="801" customFormat="1" ht="24">
      <c r="A88" s="3226">
        <v>16</v>
      </c>
      <c r="B88" s="3570"/>
      <c r="C88" s="3206" t="s">
        <v>3059</v>
      </c>
      <c r="D88" s="3206" t="s">
        <v>3060</v>
      </c>
      <c r="E88" s="3227">
        <v>0.1</v>
      </c>
      <c r="F88" s="3226">
        <v>15</v>
      </c>
    </row>
    <row r="89" spans="1:6" s="801" customFormat="1" ht="24">
      <c r="A89" s="3226">
        <v>17</v>
      </c>
      <c r="B89" s="3569"/>
      <c r="C89" s="3206" t="s">
        <v>3061</v>
      </c>
      <c r="D89" s="3206" t="s">
        <v>3062</v>
      </c>
      <c r="E89" s="3227">
        <v>0.1</v>
      </c>
      <c r="F89" s="3226">
        <v>15</v>
      </c>
    </row>
    <row r="90" spans="1:6" s="801" customFormat="1" ht="13.5">
      <c r="A90" s="3226">
        <v>18</v>
      </c>
      <c r="B90" s="3568" t="s">
        <v>3063</v>
      </c>
      <c r="C90" s="3206" t="s">
        <v>3064</v>
      </c>
      <c r="D90" s="3206" t="s">
        <v>3065</v>
      </c>
      <c r="E90" s="3227">
        <v>0.2</v>
      </c>
      <c r="F90" s="3226">
        <v>25</v>
      </c>
    </row>
    <row r="91" spans="1:6" s="801" customFormat="1" ht="24">
      <c r="A91" s="3226">
        <v>19</v>
      </c>
      <c r="B91" s="3570"/>
      <c r="C91" s="3206" t="s">
        <v>3066</v>
      </c>
      <c r="D91" s="3206" t="s">
        <v>3067</v>
      </c>
      <c r="E91" s="3227">
        <v>0.2</v>
      </c>
      <c r="F91" s="3226">
        <v>25</v>
      </c>
    </row>
    <row r="92" spans="1:6" s="801" customFormat="1" ht="13.5">
      <c r="A92" s="3226">
        <v>20</v>
      </c>
      <c r="B92" s="3570"/>
      <c r="C92" s="3206" t="s">
        <v>3068</v>
      </c>
      <c r="D92" s="3206" t="s">
        <v>3069</v>
      </c>
      <c r="E92" s="3227">
        <v>0.15</v>
      </c>
      <c r="F92" s="3226">
        <v>20</v>
      </c>
    </row>
    <row r="93" spans="1:6" s="801" customFormat="1" ht="24">
      <c r="A93" s="3226">
        <v>21</v>
      </c>
      <c r="B93" s="3570"/>
      <c r="C93" s="3206" t="s">
        <v>3070</v>
      </c>
      <c r="D93" s="3206" t="s">
        <v>3071</v>
      </c>
      <c r="E93" s="3227">
        <v>0.15</v>
      </c>
      <c r="F93" s="3226">
        <v>20</v>
      </c>
    </row>
    <row r="94" spans="1:6" s="801" customFormat="1" ht="24">
      <c r="A94" s="3226">
        <v>22</v>
      </c>
      <c r="B94" s="3570"/>
      <c r="C94" s="3206" t="s">
        <v>3072</v>
      </c>
      <c r="D94" s="3206" t="s">
        <v>3073</v>
      </c>
      <c r="E94" s="3227">
        <v>0.15</v>
      </c>
      <c r="F94" s="3226">
        <v>20</v>
      </c>
    </row>
    <row r="95" spans="1:6" s="801" customFormat="1" ht="36">
      <c r="A95" s="3226">
        <v>23</v>
      </c>
      <c r="B95" s="3570"/>
      <c r="C95" s="3206" t="s">
        <v>3074</v>
      </c>
      <c r="D95" s="3206" t="s">
        <v>3075</v>
      </c>
      <c r="E95" s="3227">
        <v>0.15</v>
      </c>
      <c r="F95" s="3226">
        <v>20</v>
      </c>
    </row>
    <row r="96" spans="1:6" s="801" customFormat="1" ht="13.5">
      <c r="A96" s="3226">
        <v>24</v>
      </c>
      <c r="B96" s="3570"/>
      <c r="C96" s="3206" t="s">
        <v>3076</v>
      </c>
      <c r="D96" s="3206" t="s">
        <v>3077</v>
      </c>
      <c r="E96" s="3227">
        <v>0.1</v>
      </c>
      <c r="F96" s="3226">
        <v>15</v>
      </c>
    </row>
    <row r="97" spans="1:6" s="801" customFormat="1" ht="24">
      <c r="A97" s="3226">
        <v>25</v>
      </c>
      <c r="B97" s="3570"/>
      <c r="C97" s="3206" t="s">
        <v>3078</v>
      </c>
      <c r="D97" s="3206" t="s">
        <v>3079</v>
      </c>
      <c r="E97" s="3227">
        <v>0.1</v>
      </c>
      <c r="F97" s="3226">
        <v>15</v>
      </c>
    </row>
    <row r="98" spans="1:6" s="801" customFormat="1" ht="24">
      <c r="A98" s="3226">
        <v>26</v>
      </c>
      <c r="B98" s="3570"/>
      <c r="C98" s="3206" t="s">
        <v>3080</v>
      </c>
      <c r="D98" s="3206" t="s">
        <v>3081</v>
      </c>
      <c r="E98" s="3227">
        <v>0.1</v>
      </c>
      <c r="F98" s="3226">
        <v>15</v>
      </c>
    </row>
    <row r="99" spans="1:6" s="801" customFormat="1" ht="24">
      <c r="A99" s="3226">
        <v>27</v>
      </c>
      <c r="B99" s="3570"/>
      <c r="C99" s="3206" t="s">
        <v>3082</v>
      </c>
      <c r="D99" s="3206" t="s">
        <v>3083</v>
      </c>
      <c r="E99" s="3227">
        <v>0.1</v>
      </c>
      <c r="F99" s="3226">
        <v>15</v>
      </c>
    </row>
    <row r="100" spans="1:6" s="801" customFormat="1" ht="24">
      <c r="A100" s="3226">
        <v>28</v>
      </c>
      <c r="B100" s="3570"/>
      <c r="C100" s="3206" t="s">
        <v>3084</v>
      </c>
      <c r="D100" s="3206" t="s">
        <v>3085</v>
      </c>
      <c r="E100" s="3227">
        <v>0.1</v>
      </c>
      <c r="F100" s="3226">
        <v>15</v>
      </c>
    </row>
    <row r="101" spans="1:6" s="801" customFormat="1" ht="24">
      <c r="A101" s="3226">
        <v>29</v>
      </c>
      <c r="B101" s="3570"/>
      <c r="C101" s="3206" t="s">
        <v>3086</v>
      </c>
      <c r="D101" s="3206" t="s">
        <v>3087</v>
      </c>
      <c r="E101" s="3227">
        <v>0.1</v>
      </c>
      <c r="F101" s="3226">
        <v>15</v>
      </c>
    </row>
    <row r="102" spans="1:6" s="801" customFormat="1" ht="24">
      <c r="A102" s="3226">
        <v>30</v>
      </c>
      <c r="B102" s="3570"/>
      <c r="C102" s="3206" t="s">
        <v>3088</v>
      </c>
      <c r="D102" s="3206" t="s">
        <v>3089</v>
      </c>
      <c r="E102" s="3227">
        <v>0.1</v>
      </c>
      <c r="F102" s="3226">
        <v>15</v>
      </c>
    </row>
    <row r="103" spans="1:6" s="801" customFormat="1" ht="24">
      <c r="A103" s="3226">
        <v>31</v>
      </c>
      <c r="B103" s="3570"/>
      <c r="C103" s="3206" t="s">
        <v>3090</v>
      </c>
      <c r="D103" s="3206" t="s">
        <v>3091</v>
      </c>
      <c r="E103" s="3227">
        <v>0.1</v>
      </c>
      <c r="F103" s="3226">
        <v>15</v>
      </c>
    </row>
    <row r="104" spans="1:6" s="801" customFormat="1" ht="24">
      <c r="A104" s="3226">
        <v>32</v>
      </c>
      <c r="B104" s="3570"/>
      <c r="C104" s="3206" t="s">
        <v>3092</v>
      </c>
      <c r="D104" s="3206" t="s">
        <v>3093</v>
      </c>
      <c r="E104" s="3227">
        <v>0.1</v>
      </c>
      <c r="F104" s="3226">
        <v>15</v>
      </c>
    </row>
    <row r="105" spans="1:6" s="801" customFormat="1" ht="24">
      <c r="A105" s="3226">
        <v>33</v>
      </c>
      <c r="B105" s="3570"/>
      <c r="C105" s="3206" t="s">
        <v>3094</v>
      </c>
      <c r="D105" s="3206" t="s">
        <v>3095</v>
      </c>
      <c r="E105" s="3227">
        <v>0.1</v>
      </c>
      <c r="F105" s="3226">
        <v>15</v>
      </c>
    </row>
    <row r="106" spans="1:6" s="801" customFormat="1" ht="24">
      <c r="A106" s="3226">
        <v>34</v>
      </c>
      <c r="B106" s="3569"/>
      <c r="C106" s="3206" t="s">
        <v>3096</v>
      </c>
      <c r="D106" s="3206" t="s">
        <v>3097</v>
      </c>
      <c r="E106" s="3227">
        <v>0.1</v>
      </c>
      <c r="F106" s="3226">
        <v>15</v>
      </c>
    </row>
    <row r="107" spans="1:6" s="801" customFormat="1" ht="24">
      <c r="A107" s="3226">
        <v>35</v>
      </c>
      <c r="B107" s="3568" t="s">
        <v>3098</v>
      </c>
      <c r="C107" s="3226" t="s">
        <v>3099</v>
      </c>
      <c r="D107" s="3206" t="s">
        <v>3100</v>
      </c>
      <c r="E107" s="3227">
        <v>0.15</v>
      </c>
      <c r="F107" s="3226">
        <v>20</v>
      </c>
    </row>
    <row r="108" spans="1:6" s="801" customFormat="1" ht="24">
      <c r="A108" s="3226">
        <v>36</v>
      </c>
      <c r="B108" s="3570"/>
      <c r="C108" s="3226" t="s">
        <v>3101</v>
      </c>
      <c r="D108" s="3206" t="s">
        <v>3102</v>
      </c>
      <c r="E108" s="3227">
        <v>0.15</v>
      </c>
      <c r="F108" s="3226">
        <v>20</v>
      </c>
    </row>
    <row r="109" spans="1:6" s="801" customFormat="1" ht="24">
      <c r="A109" s="3226">
        <v>37</v>
      </c>
      <c r="B109" s="3570"/>
      <c r="C109" s="3226" t="s">
        <v>3103</v>
      </c>
      <c r="D109" s="3206" t="s">
        <v>3104</v>
      </c>
      <c r="E109" s="3227">
        <v>0.15</v>
      </c>
      <c r="F109" s="3226">
        <v>20</v>
      </c>
    </row>
    <row r="110" spans="1:6" s="801" customFormat="1" ht="13.5">
      <c r="A110" s="3226">
        <v>38</v>
      </c>
      <c r="B110" s="3570"/>
      <c r="C110" s="3226" t="s">
        <v>3105</v>
      </c>
      <c r="D110" s="3206" t="s">
        <v>3106</v>
      </c>
      <c r="E110" s="3227">
        <v>0.1</v>
      </c>
      <c r="F110" s="3226">
        <v>15</v>
      </c>
    </row>
    <row r="111" spans="1:6" s="801" customFormat="1" ht="24">
      <c r="A111" s="3226">
        <v>39</v>
      </c>
      <c r="B111" s="3570"/>
      <c r="C111" s="3226" t="s">
        <v>3107</v>
      </c>
      <c r="D111" s="3206" t="s">
        <v>3108</v>
      </c>
      <c r="E111" s="3227">
        <v>0.1</v>
      </c>
      <c r="F111" s="3226">
        <v>15</v>
      </c>
    </row>
    <row r="112" spans="1:6" s="801" customFormat="1" ht="24">
      <c r="A112" s="3226">
        <v>40</v>
      </c>
      <c r="B112" s="3569"/>
      <c r="C112" s="3226" t="s">
        <v>3109</v>
      </c>
      <c r="D112" s="3206" t="s">
        <v>3110</v>
      </c>
      <c r="E112" s="3227">
        <v>0.1</v>
      </c>
      <c r="F112" s="3226">
        <v>15</v>
      </c>
    </row>
    <row r="113" spans="1:6" s="801" customFormat="1" ht="24">
      <c r="A113" s="3226">
        <v>41</v>
      </c>
      <c r="B113" s="3567" t="s">
        <v>3111</v>
      </c>
      <c r="C113" s="3226" t="s">
        <v>3112</v>
      </c>
      <c r="D113" s="3206" t="s">
        <v>3113</v>
      </c>
      <c r="E113" s="3227">
        <v>0.1</v>
      </c>
      <c r="F113" s="3226">
        <v>15</v>
      </c>
    </row>
    <row r="114" spans="1:6" s="801" customFormat="1" ht="13.5">
      <c r="A114" s="3226">
        <v>42</v>
      </c>
      <c r="B114" s="3567"/>
      <c r="C114" s="3226" t="s">
        <v>3114</v>
      </c>
      <c r="D114" s="3206" t="s">
        <v>3115</v>
      </c>
      <c r="E114" s="3227">
        <v>0.1</v>
      </c>
      <c r="F114" s="3226">
        <v>15</v>
      </c>
    </row>
    <row r="115" spans="1:6" s="801" customFormat="1" ht="24">
      <c r="A115" s="3226">
        <v>43</v>
      </c>
      <c r="B115" s="3567"/>
      <c r="C115" s="3226" t="s">
        <v>3116</v>
      </c>
      <c r="D115" s="3206" t="s">
        <v>3117</v>
      </c>
      <c r="E115" s="3227">
        <v>0.1</v>
      </c>
      <c r="F115" s="3226">
        <v>15</v>
      </c>
    </row>
    <row r="116" spans="1:6" s="801" customFormat="1" ht="24">
      <c r="A116" s="3226">
        <v>44</v>
      </c>
      <c r="B116" s="3568" t="s">
        <v>3118</v>
      </c>
      <c r="C116" s="3226" t="s">
        <v>3119</v>
      </c>
      <c r="D116" s="3206" t="s">
        <v>3120</v>
      </c>
      <c r="E116" s="3227">
        <v>0.1</v>
      </c>
      <c r="F116" s="3226">
        <v>15</v>
      </c>
    </row>
    <row r="117" spans="1:6" s="801" customFormat="1" ht="24">
      <c r="A117" s="3226">
        <v>45</v>
      </c>
      <c r="B117" s="3569"/>
      <c r="C117" s="3206" t="s">
        <v>3121</v>
      </c>
      <c r="D117" s="3206" t="s">
        <v>3122</v>
      </c>
      <c r="E117" s="3227">
        <v>0.1</v>
      </c>
      <c r="F117" s="3226">
        <v>15</v>
      </c>
    </row>
    <row r="118" spans="1:6" s="801" customFormat="1" ht="24">
      <c r="A118" s="3226">
        <v>46</v>
      </c>
      <c r="B118" s="3568" t="s">
        <v>3123</v>
      </c>
      <c r="C118" s="3226" t="s">
        <v>3124</v>
      </c>
      <c r="D118" s="3206" t="s">
        <v>3125</v>
      </c>
      <c r="E118" s="3227">
        <v>0.1</v>
      </c>
      <c r="F118" s="3226">
        <v>15</v>
      </c>
    </row>
    <row r="119" spans="1:6" s="801" customFormat="1" ht="24">
      <c r="A119" s="3226">
        <v>47</v>
      </c>
      <c r="B119" s="3569"/>
      <c r="C119" s="3226" t="s">
        <v>3126</v>
      </c>
      <c r="D119" s="3206" t="s">
        <v>3127</v>
      </c>
      <c r="E119" s="3227">
        <v>0.1</v>
      </c>
      <c r="F119" s="3226">
        <v>15</v>
      </c>
    </row>
    <row r="120" spans="1:6" s="801" customFormat="1" ht="24">
      <c r="A120" s="3226">
        <v>48</v>
      </c>
      <c r="B120" s="3568" t="s">
        <v>3128</v>
      </c>
      <c r="C120" s="3226" t="s">
        <v>3129</v>
      </c>
      <c r="D120" s="3206" t="s">
        <v>3130</v>
      </c>
      <c r="E120" s="3227">
        <v>0.1</v>
      </c>
      <c r="F120" s="3226">
        <v>15</v>
      </c>
    </row>
    <row r="121" spans="1:6" s="801" customFormat="1" ht="13.5">
      <c r="A121" s="3226">
        <v>49</v>
      </c>
      <c r="B121" s="3569"/>
      <c r="C121" s="3226" t="s">
        <v>3131</v>
      </c>
      <c r="D121" s="3206" t="s">
        <v>3132</v>
      </c>
      <c r="E121" s="3227">
        <v>0.1</v>
      </c>
      <c r="F121" s="3226">
        <v>15</v>
      </c>
    </row>
    <row r="122" spans="1:6" s="801" customFormat="1" ht="24">
      <c r="A122" s="3226">
        <v>50</v>
      </c>
      <c r="B122" s="3567" t="s">
        <v>3133</v>
      </c>
      <c r="C122" s="3226" t="s">
        <v>3134</v>
      </c>
      <c r="D122" s="3206" t="s">
        <v>3135</v>
      </c>
      <c r="E122" s="3227">
        <v>0.1</v>
      </c>
      <c r="F122" s="3226">
        <v>15</v>
      </c>
    </row>
    <row r="123" spans="1:6" s="801" customFormat="1" ht="24">
      <c r="A123" s="3226">
        <v>51</v>
      </c>
      <c r="B123" s="3567"/>
      <c r="C123" s="3226" t="s">
        <v>3136</v>
      </c>
      <c r="D123" s="3206" t="s">
        <v>3137</v>
      </c>
      <c r="E123" s="3227">
        <v>0.1</v>
      </c>
      <c r="F123" s="3226">
        <v>15</v>
      </c>
    </row>
    <row r="124" spans="1:6" s="801" customFormat="1" ht="24">
      <c r="A124" s="3226">
        <v>52</v>
      </c>
      <c r="B124" s="3567" t="s">
        <v>3138</v>
      </c>
      <c r="C124" s="3226" t="s">
        <v>3139</v>
      </c>
      <c r="D124" s="3206" t="s">
        <v>3140</v>
      </c>
      <c r="E124" s="3227">
        <v>0.1</v>
      </c>
      <c r="F124" s="3226">
        <v>15</v>
      </c>
    </row>
    <row r="125" spans="1:6" s="801" customFormat="1" ht="24">
      <c r="A125" s="3226">
        <v>53</v>
      </c>
      <c r="B125" s="3567"/>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7" t="s">
        <v>3146</v>
      </c>
      <c r="C127" s="3226" t="s">
        <v>3147</v>
      </c>
      <c r="D127" s="3206" t="s">
        <v>3148</v>
      </c>
      <c r="E127" s="3227">
        <v>0.1</v>
      </c>
      <c r="F127" s="3226">
        <v>15</v>
      </c>
    </row>
    <row r="128" spans="1:6" ht="13.5">
      <c r="A128" s="3226">
        <v>56</v>
      </c>
      <c r="B128" s="3567"/>
      <c r="C128" s="3226" t="s">
        <v>3149</v>
      </c>
      <c r="D128" s="3206" t="s">
        <v>3150</v>
      </c>
      <c r="E128" s="3227">
        <v>0.1</v>
      </c>
      <c r="F128" s="3226">
        <v>15</v>
      </c>
    </row>
    <row r="129" spans="1:6" ht="24">
      <c r="A129" s="3226">
        <v>57</v>
      </c>
      <c r="B129" s="3567"/>
      <c r="C129" s="3226" t="s">
        <v>3151</v>
      </c>
      <c r="D129" s="3206" t="s">
        <v>3152</v>
      </c>
      <c r="E129" s="3227">
        <v>0.1</v>
      </c>
      <c r="F129" s="3226">
        <v>15</v>
      </c>
    </row>
    <row r="130" spans="1:6" ht="24">
      <c r="A130" s="3226">
        <v>58</v>
      </c>
      <c r="B130" s="3567" t="s">
        <v>3153</v>
      </c>
      <c r="C130" s="3226" t="s">
        <v>3154</v>
      </c>
      <c r="D130" s="3206" t="s">
        <v>3155</v>
      </c>
      <c r="E130" s="3227">
        <v>0.1</v>
      </c>
      <c r="F130" s="3226">
        <v>15</v>
      </c>
    </row>
    <row r="131" spans="1:6" ht="24">
      <c r="A131" s="3226">
        <v>59</v>
      </c>
      <c r="B131" s="3567"/>
      <c r="C131" s="3226" t="s">
        <v>3156</v>
      </c>
      <c r="D131" s="3206" t="s">
        <v>3157</v>
      </c>
      <c r="E131" s="3227">
        <v>0.1</v>
      </c>
      <c r="F131" s="3226">
        <v>15</v>
      </c>
    </row>
    <row r="132" spans="1:6" ht="24">
      <c r="A132" s="3226">
        <v>60</v>
      </c>
      <c r="B132" s="3568" t="s">
        <v>3158</v>
      </c>
      <c r="C132" s="3226" t="s">
        <v>3159</v>
      </c>
      <c r="D132" s="3206" t="s">
        <v>3160</v>
      </c>
      <c r="E132" s="3227">
        <v>0.1</v>
      </c>
      <c r="F132" s="3226">
        <v>15</v>
      </c>
    </row>
    <row r="133" spans="1:6" ht="24">
      <c r="A133" s="3226">
        <v>61</v>
      </c>
      <c r="B133" s="3569"/>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7" t="s">
        <v>3166</v>
      </c>
      <c r="C135" s="3226" t="s">
        <v>3167</v>
      </c>
      <c r="D135" s="3206" t="s">
        <v>3168</v>
      </c>
      <c r="E135" s="3227">
        <v>0.1</v>
      </c>
      <c r="F135" s="3226">
        <v>15</v>
      </c>
    </row>
    <row r="136" spans="1:6" ht="13.5">
      <c r="A136" s="3226">
        <v>64</v>
      </c>
      <c r="B136" s="3567"/>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4" t="s">
        <v>877</v>
      </c>
      <c r="C1" s="3584"/>
      <c r="D1" s="3584"/>
      <c r="E1" s="3584"/>
      <c r="F1" s="3584"/>
      <c r="G1" s="3583" t="s">
        <v>878</v>
      </c>
      <c r="H1" s="3583"/>
      <c r="I1" s="3583"/>
      <c r="J1" s="3583"/>
      <c r="K1" s="3583"/>
      <c r="L1" s="3583"/>
      <c r="N1" s="3583" t="s">
        <v>879</v>
      </c>
      <c r="O1" s="3583"/>
      <c r="P1" s="3583"/>
      <c r="Q1" s="3583"/>
      <c r="S1" s="3583" t="s">
        <v>880</v>
      </c>
      <c r="T1" s="3583"/>
      <c r="U1" s="3583"/>
      <c r="V1" s="3583"/>
      <c r="X1" s="3582" t="s">
        <v>881</v>
      </c>
      <c r="Y1" s="3583"/>
      <c r="Z1" s="3583"/>
      <c r="AA1" s="3583"/>
      <c r="AB1" s="3583"/>
      <c r="AD1" s="3582" t="s">
        <v>882</v>
      </c>
      <c r="AE1" s="3583"/>
      <c r="AF1" s="3583"/>
      <c r="AG1" s="3583"/>
      <c r="AH1" s="358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8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35749</v>
      </c>
      <c r="C2" s="2" t="s">
        <v>133</v>
      </c>
      <c r="D2" s="205"/>
      <c r="E2" s="205"/>
      <c r="F2" s="205"/>
      <c r="G2" s="205"/>
    </row>
    <row r="3" spans="1:7" s="206" customFormat="1" ht="18" customHeight="1" thickBot="1">
      <c r="A3" s="209" t="s">
        <v>85</v>
      </c>
      <c r="B3" s="210">
        <f ca="1">ROUND(B2*10000/'数据-汇总表'!E3,0)</f>
        <v>18569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290</v>
      </c>
      <c r="F9" s="227"/>
      <c r="G9" s="232"/>
    </row>
    <row r="10" spans="1:7" s="220" customFormat="1" ht="13.5" customHeight="1">
      <c r="A10" s="868" t="s">
        <v>620</v>
      </c>
      <c r="B10" s="230" t="s">
        <v>94</v>
      </c>
      <c r="C10" s="231">
        <f>ROUND(D10*E10/10000,0)</f>
        <v>558</v>
      </c>
      <c r="D10" s="935">
        <f>'数据-汇总表'!E6</f>
        <v>19251.75</v>
      </c>
      <c r="E10" s="231">
        <f>'数据-取费表'!B28</f>
        <v>290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385</v>
      </c>
      <c r="D19" s="939">
        <f>'数据-汇总表'!E3</f>
        <v>19251.75</v>
      </c>
      <c r="E19" s="217">
        <f>'数据-取费表'!B31</f>
        <v>200</v>
      </c>
      <c r="F19" s="237"/>
      <c r="G19" s="1" t="s">
        <v>861</v>
      </c>
    </row>
    <row r="20" spans="1:7" s="220" customFormat="1" ht="13.5" customHeight="1">
      <c r="A20" s="866" t="s">
        <v>844</v>
      </c>
      <c r="B20" s="216" t="s">
        <v>104</v>
      </c>
      <c r="C20" s="238">
        <f>ROUND((C5+C19)*F20,0)</f>
        <v>420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891</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4283</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4283</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6325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5776</v>
      </c>
      <c r="D34" s="223"/>
      <c r="E34" s="226"/>
      <c r="F34" s="263">
        <f>IF('数据-取费表'!B24=0,1,'数据-取费表'!N16)</f>
        <v>1</v>
      </c>
      <c r="G34" s="225" t="s">
        <v>116</v>
      </c>
    </row>
    <row r="35" spans="1:7" ht="13.5" customHeight="1">
      <c r="A35" s="869" t="s">
        <v>615</v>
      </c>
      <c r="B35" s="221" t="s">
        <v>60</v>
      </c>
      <c r="C35" s="226">
        <f>ROUND(C34*F35,0)</f>
        <v>173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289</v>
      </c>
      <c r="D37" s="223">
        <f>'数据-汇总表'!E3</f>
        <v>19251.75</v>
      </c>
      <c r="E37" s="255">
        <f>'数据-取费表'!B35</f>
        <v>150</v>
      </c>
      <c r="F37" s="265"/>
      <c r="G37" s="267" t="s">
        <v>119</v>
      </c>
    </row>
    <row r="38" spans="1:7" ht="13.5" customHeight="1">
      <c r="A38" s="869" t="s">
        <v>618</v>
      </c>
      <c r="B38" s="221" t="s">
        <v>63</v>
      </c>
      <c r="C38" s="226">
        <f>ROUND(C34*F38,0)</f>
        <v>87</v>
      </c>
      <c r="D38" s="226"/>
      <c r="E38" s="226"/>
      <c r="F38" s="265">
        <f>'数据-取费表'!B36</f>
        <v>1.4999999999999999E-2</v>
      </c>
      <c r="G38" s="225" t="s">
        <v>117</v>
      </c>
    </row>
    <row r="39" spans="1:7" s="220" customFormat="1" ht="13.5" customHeight="1">
      <c r="A39" s="866" t="s">
        <v>602</v>
      </c>
      <c r="B39" s="216" t="s">
        <v>104</v>
      </c>
      <c r="C39" s="238">
        <f>ROUND(C33*F20,0)</f>
        <v>127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133</v>
      </c>
      <c r="D42" s="244"/>
      <c r="E42" s="244"/>
      <c r="F42" s="245"/>
      <c r="G42" s="3436" t="s">
        <v>121</v>
      </c>
    </row>
    <row r="43" spans="1:7" ht="13.5" customHeight="1">
      <c r="A43" s="869" t="s">
        <v>611</v>
      </c>
      <c r="B43" s="221" t="s">
        <v>851</v>
      </c>
      <c r="C43" s="244">
        <f ca="1">ROUND(IF('数据-取费表'!B22&lt;=1,C39*F22*'数据-取费表'!B21/2,C39*(POWER((1+F22),'数据-取费表'!B21/2)-1)),0)</f>
        <v>3</v>
      </c>
      <c r="D43" s="244"/>
      <c r="E43" s="244"/>
      <c r="F43" s="245"/>
      <c r="G43" s="3437"/>
    </row>
    <row r="44" spans="1:7" ht="13.5" customHeight="1">
      <c r="A44" s="869" t="s">
        <v>612</v>
      </c>
      <c r="B44" s="221" t="s">
        <v>853</v>
      </c>
      <c r="C44" s="244">
        <f ca="1">ROUND(IF('数据-取费表'!B22&lt;=1,C40*F22*'数据-取费表'!B21/2,C40*(POWER((1+F22),'数据-取费表'!B21/2)-1)),4)</f>
        <v>4.0000000000000002E-4</v>
      </c>
      <c r="D44" s="244"/>
      <c r="E44" s="244"/>
      <c r="F44" s="245"/>
      <c r="G44" s="3438"/>
    </row>
    <row r="45" spans="1:7" s="220" customFormat="1" ht="13.5" customHeight="1">
      <c r="A45" s="866" t="s">
        <v>605</v>
      </c>
      <c r="B45" s="250" t="s">
        <v>112</v>
      </c>
      <c r="C45" s="251">
        <f>C46</f>
        <v>1290</v>
      </c>
      <c r="D45" s="241">
        <f>C47</f>
        <v>4.0000000000000001E-3</v>
      </c>
      <c r="E45" s="242" t="s">
        <v>129</v>
      </c>
      <c r="F45" s="252"/>
      <c r="G45" s="253" t="s">
        <v>859</v>
      </c>
    </row>
    <row r="46" spans="1:7" s="220" customFormat="1" ht="13.5" customHeight="1">
      <c r="A46" s="869" t="s">
        <v>613</v>
      </c>
      <c r="B46" s="254" t="s">
        <v>852</v>
      </c>
      <c r="C46" s="255">
        <f>ROUND((C33+C39)*F27,0)</f>
        <v>1290</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8542</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6919</v>
      </c>
      <c r="D51" s="238"/>
      <c r="E51" s="238"/>
      <c r="F51" s="270"/>
      <c r="G51" s="240" t="s">
        <v>64</v>
      </c>
    </row>
    <row r="52" spans="1:7" s="214" customFormat="1" ht="16.5" thickBot="1">
      <c r="A52" s="271" t="s">
        <v>65</v>
      </c>
      <c r="B52" s="272"/>
      <c r="C52" s="273">
        <f ca="1">C31+C51</f>
        <v>35749</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v>
      </c>
      <c r="B3" s="3253"/>
      <c r="C3" s="3253"/>
      <c r="D3" s="3253"/>
      <c r="E3" s="3253"/>
    </row>
    <row r="4" spans="1:5" ht="19.5" thickBot="1">
      <c r="A4" s="1629"/>
      <c r="B4" s="3251" t="s">
        <v>1354</v>
      </c>
      <c r="C4" s="3251"/>
      <c r="D4" s="3251"/>
      <c r="E4" s="1629"/>
    </row>
    <row r="5" spans="1:5" ht="16.5" thickTop="1">
      <c r="A5" s="1627"/>
      <c r="B5" s="3249" t="s">
        <v>1346</v>
      </c>
      <c r="C5" s="1630" t="s">
        <v>1347</v>
      </c>
      <c r="D5" s="940">
        <f ca="1">结果表!H101</f>
        <v>28866</v>
      </c>
      <c r="E5" s="1627"/>
    </row>
    <row r="6" spans="1:5" ht="15.75">
      <c r="A6" s="1627"/>
      <c r="B6" s="3249"/>
      <c r="C6" s="1630" t="s">
        <v>1348</v>
      </c>
      <c r="D6" s="940" t="str">
        <f ca="1">NUMBERSTRING(INT(D5*10000),2)&amp;"元整"</f>
        <v>贰亿捌仟捌佰陆拾陆万元整</v>
      </c>
      <c r="E6" s="1627"/>
    </row>
    <row r="7" spans="1:5" ht="15.75">
      <c r="A7" s="1627"/>
      <c r="B7" s="3254"/>
      <c r="C7" s="1631" t="s">
        <v>1349</v>
      </c>
      <c r="D7" s="941">
        <f ca="1">结果表!H102</f>
        <v>14994</v>
      </c>
      <c r="E7" s="1627"/>
    </row>
    <row r="8" spans="1:5" ht="15.75">
      <c r="A8" s="1627"/>
      <c r="B8" s="3255" t="str">
        <f>结果表!E103</f>
        <v>2.估价师知悉的法定优先受偿款</v>
      </c>
      <c r="C8" s="1632" t="s">
        <v>1350</v>
      </c>
      <c r="D8" s="941">
        <f>结果表!H103</f>
        <v>0</v>
      </c>
      <c r="E8" s="1627"/>
    </row>
    <row r="9" spans="1:5" ht="15.75">
      <c r="A9" s="1627"/>
      <c r="B9" s="325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8" t="str">
        <f>结果表!E107</f>
        <v>3.房地产抵押价值</v>
      </c>
      <c r="C13" s="1635" t="s">
        <v>1347</v>
      </c>
      <c r="D13" s="943">
        <f ca="1">结果表!H107</f>
        <v>28866</v>
      </c>
      <c r="E13" s="1627"/>
    </row>
    <row r="14" spans="1:5" ht="15.75">
      <c r="A14" s="1627"/>
      <c r="B14" s="3249"/>
      <c r="C14" s="1630" t="s">
        <v>1348</v>
      </c>
      <c r="D14" s="940" t="str">
        <f ca="1">NUMBERSTRING(INT(D13*10000),2)&amp;"元整"</f>
        <v>贰亿捌仟捌佰陆拾陆万元整</v>
      </c>
      <c r="E14" s="1627"/>
    </row>
    <row r="15" spans="1:5" ht="15">
      <c r="A15" s="1627"/>
      <c r="B15" s="3254"/>
      <c r="C15" s="1631" t="s">
        <v>1358</v>
      </c>
      <c r="D15" s="949">
        <f ca="1">结果表!H108</f>
        <v>14994</v>
      </c>
      <c r="E15" s="1627"/>
    </row>
    <row r="16" spans="1:5" ht="15">
      <c r="A16" s="1627"/>
      <c r="B16" s="3255" t="str">
        <f>结果表!E109</f>
        <v>——</v>
      </c>
      <c r="C16" s="1635" t="s">
        <v>1359</v>
      </c>
      <c r="D16" s="1636" t="str">
        <f>结果表!H109</f>
        <v>——</v>
      </c>
      <c r="E16" s="1627"/>
    </row>
    <row r="17" spans="1:5" ht="15.75">
      <c r="A17" s="1627"/>
      <c r="B17" s="3256"/>
      <c r="C17" s="1630" t="s">
        <v>1360</v>
      </c>
      <c r="D17" s="940" t="e">
        <f>NUMBERSTRING(INT(D16*10000),2)&amp;"元整"</f>
        <v>#VALUE!</v>
      </c>
      <c r="E17" s="1627"/>
    </row>
    <row r="18" spans="1:5" ht="15">
      <c r="A18" s="1627"/>
      <c r="B18" s="3257"/>
      <c r="C18" s="1631" t="s">
        <v>1349</v>
      </c>
      <c r="D18" s="949" t="str">
        <f>结果表!H110</f>
        <v>——</v>
      </c>
      <c r="E18" s="1627"/>
    </row>
    <row r="19" spans="1:5" ht="15.75">
      <c r="A19" s="1627"/>
      <c r="B19" s="3248" t="str">
        <f>结果表!E111</f>
        <v>——</v>
      </c>
      <c r="C19" s="1635" t="s">
        <v>1347</v>
      </c>
      <c r="D19" s="941" t="str">
        <f>结果表!H111</f>
        <v>——</v>
      </c>
      <c r="E19" s="1627"/>
    </row>
    <row r="20" spans="1:5" ht="15.75">
      <c r="A20" s="1627"/>
      <c r="B20" s="3249"/>
      <c r="C20" s="1630" t="s">
        <v>1360</v>
      </c>
      <c r="D20" s="940" t="e">
        <f>NUMBERSTRING(INT(D19*10000),2)&amp;"元整"</f>
        <v>#VALUE!</v>
      </c>
      <c r="E20" s="1627"/>
    </row>
    <row r="21" spans="1:5" ht="15.75" thickBot="1">
      <c r="A21" s="1627"/>
      <c r="B21" s="325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658</v>
      </c>
      <c r="B1" s="359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8" sqref="I8"/>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44726</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2814</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20.82</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22272</v>
      </c>
      <c r="C2" s="1522" t="s">
        <v>1240</v>
      </c>
      <c r="D2" s="1522"/>
      <c r="E2" s="1523"/>
      <c r="F2" s="1524"/>
      <c r="G2" s="2885"/>
      <c r="H2" s="2874"/>
      <c r="I2" s="2874"/>
      <c r="J2" s="2874"/>
      <c r="K2" s="2875"/>
      <c r="L2" s="2874"/>
      <c r="M2" s="2874"/>
    </row>
    <row r="3" spans="1:37" ht="18" customHeight="1" thickBot="1">
      <c r="A3" s="1525" t="s">
        <v>1241</v>
      </c>
      <c r="B3" s="1526">
        <f ca="1">IF(ISERROR(B2*10000/F43),0,ROUND(B2*10000/F43,0))</f>
        <v>11569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1918</v>
      </c>
      <c r="D5" s="1499" t="s">
        <v>1126</v>
      </c>
      <c r="E5" s="1184"/>
      <c r="F5" s="1185"/>
      <c r="G5" s="1519"/>
      <c r="H5" s="305">
        <v>1</v>
      </c>
      <c r="I5" s="306" t="s">
        <v>1125</v>
      </c>
      <c r="J5" s="1183">
        <f ca="1">J6+J10+J12</f>
        <v>0</v>
      </c>
      <c r="K5" s="1499" t="s">
        <v>1126</v>
      </c>
      <c r="L5" s="1184"/>
      <c r="M5" s="1185"/>
    </row>
    <row r="6" spans="1:37" ht="18" customHeight="1">
      <c r="A6" s="1182" t="s">
        <v>822</v>
      </c>
      <c r="B6" s="3439" t="s">
        <v>1127</v>
      </c>
      <c r="C6" s="1187">
        <f ca="1">ROUND(F6*F8*F7*(1-F9)/10000,0)</f>
        <v>1916</v>
      </c>
      <c r="D6" s="160" t="s">
        <v>2608</v>
      </c>
      <c r="E6" s="308" t="s">
        <v>1129</v>
      </c>
      <c r="F6" s="309">
        <f ca="1">INDIRECT("'数据-取费表'!u"&amp;$G$1)</f>
        <v>3.03</v>
      </c>
      <c r="G6" s="1519"/>
      <c r="H6" s="1182" t="s">
        <v>822</v>
      </c>
      <c r="I6" s="3439" t="s">
        <v>1127</v>
      </c>
      <c r="J6" s="307">
        <f ca="1">ROUND(M6*M8*M7*(1-M9)/10000,0)</f>
        <v>0</v>
      </c>
      <c r="K6" s="160" t="s">
        <v>2607</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19251.75</v>
      </c>
      <c r="G7" s="1519"/>
      <c r="H7" s="310"/>
      <c r="I7" s="3440"/>
      <c r="J7" s="312"/>
      <c r="K7" s="313"/>
      <c r="L7" s="308" t="s">
        <v>1130</v>
      </c>
      <c r="M7" s="309">
        <f ca="1">F7</f>
        <v>19251.75</v>
      </c>
    </row>
    <row r="8" spans="1:37" ht="18" customHeight="1">
      <c r="A8" s="310"/>
      <c r="B8" s="3440"/>
      <c r="C8" s="312"/>
      <c r="D8" s="313"/>
      <c r="E8" s="308" t="s">
        <v>1131</v>
      </c>
      <c r="F8" s="309">
        <f ca="1">INDIRECT("'数据-取费表'!ai"&amp;$G$1)</f>
        <v>365</v>
      </c>
      <c r="G8" s="1519"/>
      <c r="H8" s="310"/>
      <c r="I8" s="3440"/>
      <c r="J8" s="312"/>
      <c r="K8" s="313"/>
      <c r="L8" s="308" t="s">
        <v>1131</v>
      </c>
      <c r="M8" s="309">
        <f ca="1">INDIRECT("'数据-取费表'!ai"&amp;$G$1)</f>
        <v>365</v>
      </c>
    </row>
    <row r="9" spans="1:37" ht="18" customHeight="1">
      <c r="A9" s="310"/>
      <c r="B9" s="3441"/>
      <c r="C9" s="312"/>
      <c r="D9" s="313"/>
      <c r="E9" s="308" t="s">
        <v>1132</v>
      </c>
      <c r="F9" s="318">
        <f ca="1">INDIRECT("'数据-取费表'!w"&amp;$G$1)</f>
        <v>0.1</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3244</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6919</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5776</v>
      </c>
      <c r="D14" s="1480" t="s">
        <v>1142</v>
      </c>
      <c r="E14" s="1477"/>
      <c r="F14" s="325"/>
      <c r="G14" s="1519"/>
      <c r="H14" s="1094" t="s">
        <v>822</v>
      </c>
      <c r="I14" s="308" t="s">
        <v>1143</v>
      </c>
      <c r="J14" s="24">
        <f ca="1">C29</f>
        <v>8542</v>
      </c>
      <c r="K14" s="15"/>
      <c r="L14" s="897"/>
      <c r="M14" s="898"/>
    </row>
    <row r="15" spans="1:37" s="1532" customFormat="1" ht="18" customHeight="1" thickBot="1">
      <c r="A15" s="1094" t="s">
        <v>823</v>
      </c>
      <c r="B15" s="308" t="s">
        <v>1144</v>
      </c>
      <c r="C15" s="24">
        <f ca="1">ROUND(C14*F15,0)</f>
        <v>173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157</v>
      </c>
      <c r="K16" s="1200" t="s">
        <v>1149</v>
      </c>
      <c r="L16" s="1201"/>
      <c r="M16" s="1185"/>
    </row>
    <row r="17" spans="1:37" s="1532" customFormat="1" ht="18" customHeight="1">
      <c r="A17" s="1094" t="s">
        <v>1114</v>
      </c>
      <c r="B17" s="308" t="s">
        <v>1150</v>
      </c>
      <c r="C17" s="24">
        <f ca="1">ROUND(F17*(F43+INDIRECT("'数据-取费表'!S"&amp;$G$1))/10000,0)</f>
        <v>289</v>
      </c>
      <c r="D17" s="308" t="s">
        <v>1151</v>
      </c>
      <c r="E17" s="308" t="s">
        <v>1152</v>
      </c>
      <c r="F17" s="26">
        <f>'数据-取费表'!B35</f>
        <v>150</v>
      </c>
      <c r="G17" s="1531"/>
      <c r="H17" s="1094" t="s">
        <v>822</v>
      </c>
      <c r="I17" s="308" t="s">
        <v>1153</v>
      </c>
      <c r="J17" s="2485">
        <f ca="1">ROUND(IF(AND(项目基本情况!B11="自然人",项目基本情况!B10="北京市"),J6*M17/(1+'数据-取费表'!C42),J18+J19+J20),0)</f>
        <v>72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6325</v>
      </c>
      <c r="D19" s="136" t="s">
        <v>1160</v>
      </c>
      <c r="E19" s="1495"/>
      <c r="F19" s="26"/>
      <c r="G19" s="1519"/>
      <c r="H19" s="1094" t="s">
        <v>823</v>
      </c>
      <c r="I19" s="308" t="s">
        <v>1161</v>
      </c>
      <c r="J19" s="24">
        <f ca="1">IF(K19="按租金收入计税",ROUND(J6*M19/(1+'数据-取费表'!C42),2),ROUND(C29*M19*0.7,2))</f>
        <v>71.75</v>
      </c>
      <c r="K19" s="1505" t="s">
        <v>1162</v>
      </c>
      <c r="L19" s="308" t="s">
        <v>1146</v>
      </c>
      <c r="M19" s="328">
        <f>IF(K19="按租金收入计税",'数据-取费表'!B51,'数据-取费表'!B50)</f>
        <v>1.2E-2</v>
      </c>
    </row>
    <row r="20" spans="1:37" s="1532" customFormat="1" ht="18" customHeight="1">
      <c r="A20" s="1094" t="s">
        <v>826</v>
      </c>
      <c r="B20" s="308" t="s">
        <v>1163</v>
      </c>
      <c r="C20" s="24">
        <f ca="1">ROUND(C19*F20,0)</f>
        <v>127</v>
      </c>
      <c r="D20" s="329" t="s">
        <v>1164</v>
      </c>
      <c r="E20" s="308" t="s">
        <v>1146</v>
      </c>
      <c r="F20" s="328">
        <f>'数据-取费表'!B37</f>
        <v>0.02</v>
      </c>
      <c r="G20" s="1531"/>
      <c r="H20" s="1094" t="s">
        <v>1113</v>
      </c>
      <c r="I20" s="160" t="s">
        <v>1165</v>
      </c>
      <c r="J20" s="25">
        <f ca="1">ROUND(M20*M21/10000,2)</f>
        <v>0</v>
      </c>
      <c r="K20" s="330" t="s">
        <v>1166</v>
      </c>
      <c r="L20" s="308" t="s">
        <v>1167</v>
      </c>
      <c r="M20" s="331">
        <f>'数据-取费表'!B52</f>
        <v>20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85.4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-157</v>
      </c>
      <c r="K25" s="1208" t="s">
        <v>1188</v>
      </c>
      <c r="L25" s="1209"/>
      <c r="M25" s="1210"/>
    </row>
    <row r="26" spans="1:37">
      <c r="A26" s="1094" t="s">
        <v>821</v>
      </c>
      <c r="B26" s="308" t="s">
        <v>1189</v>
      </c>
      <c r="C26" s="24">
        <f ca="1">ROUND((C19+C20)*F26,0)</f>
        <v>1290</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8542</v>
      </c>
      <c r="D29" s="1205"/>
      <c r="E29" s="1203"/>
      <c r="F29" s="1206"/>
      <c r="G29" s="1531"/>
      <c r="H29" s="340" t="s">
        <v>820</v>
      </c>
      <c r="I29" s="341" t="s">
        <v>1203</v>
      </c>
      <c r="J29" s="342">
        <f ca="1">ROUND(J26/(1+F40)^F41,0)</f>
        <v>0</v>
      </c>
      <c r="K29" s="343" t="s">
        <v>1204</v>
      </c>
      <c r="L29" s="344"/>
      <c r="M29" s="345">
        <f ca="1">INDIRECT("'数据-取费表'!k"&amp;$G$1)</f>
        <v>19251.75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433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321</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102.19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218.97</v>
      </c>
      <c r="D33" s="1505" t="s">
        <v>3247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20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85.4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6.9</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19.2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1485</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22272</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20.82</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11569</v>
      </c>
      <c r="D43" s="343" t="s">
        <v>1212</v>
      </c>
      <c r="E43" s="344" t="s">
        <v>1213</v>
      </c>
      <c r="F43" s="345">
        <f ca="1">INDIRECT("'数据-取费表'!k"&amp;$G$1)</f>
        <v>19251.75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-31759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3245</v>
      </c>
      <c r="K47" s="1551" t="s">
        <v>1251</v>
      </c>
      <c r="L47" s="1552">
        <f ca="1">INDIRECT("'数据-取费表'!d"&amp;$G$1)</f>
        <v>40</v>
      </c>
      <c r="M47" s="1515" t="str">
        <f>IF(ISNUMBER(FIND("住宅",C1)),"住宅","非住宅")</f>
        <v>非住宅</v>
      </c>
      <c r="O47" s="1553" t="s">
        <v>827</v>
      </c>
      <c r="P47" s="1554" t="s">
        <v>1252</v>
      </c>
      <c r="Q47" s="1555">
        <f ca="1">C40+J29</f>
        <v>22272</v>
      </c>
      <c r="R47" s="1555" t="s">
        <v>1253</v>
      </c>
    </row>
    <row r="48" spans="1:18" s="1519" customFormat="1" ht="28.5" thickBot="1">
      <c r="A48" s="1223" t="s">
        <v>863</v>
      </c>
      <c r="B48" s="306" t="s">
        <v>1125</v>
      </c>
      <c r="C48" s="1494">
        <f ca="1">C49+C53+C55</f>
        <v>0</v>
      </c>
      <c r="D48" s="1225"/>
      <c r="E48" s="1226"/>
      <c r="F48" s="1074"/>
      <c r="G48" s="731"/>
      <c r="H48" s="732"/>
      <c r="I48" s="1556" t="s">
        <v>1254</v>
      </c>
      <c r="J48" s="1557" t="s">
        <v>3246</v>
      </c>
      <c r="K48" s="1558" t="s">
        <v>1255</v>
      </c>
      <c r="L48" s="1559">
        <f ca="1">INDIRECT("'数据-取费表'!f"&amp;$G$1)</f>
        <v>20.82</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2007</v>
      </c>
      <c r="K49" s="1558" t="s">
        <v>1259</v>
      </c>
      <c r="L49" s="1562"/>
      <c r="O49" s="1563" t="s">
        <v>829</v>
      </c>
      <c r="P49" s="1554" t="s">
        <v>1260</v>
      </c>
      <c r="Q49" s="1555">
        <f ca="1">C29</f>
        <v>8542</v>
      </c>
      <c r="R49" s="1555" t="s">
        <v>1253</v>
      </c>
    </row>
    <row r="50" spans="1:18" s="1519" customFormat="1" ht="13.5" thickBot="1">
      <c r="A50" s="1088"/>
      <c r="B50" s="1091"/>
      <c r="C50" s="1231"/>
      <c r="D50" s="1065"/>
      <c r="E50" s="1168" t="s">
        <v>1130</v>
      </c>
      <c r="F50" s="1169">
        <f ca="1">F7</f>
        <v>19251.75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15986</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'数据-取费表'!I6+0.02</f>
        <v>0.08</v>
      </c>
      <c r="K52" s="1572" t="s">
        <v>1268</v>
      </c>
      <c r="L52" s="1573"/>
      <c r="O52" s="1563" t="s">
        <v>832</v>
      </c>
      <c r="P52" s="1554" t="s">
        <v>1269</v>
      </c>
      <c r="Q52" s="1555">
        <f ca="1">J53</f>
        <v>20.82</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20.82</v>
      </c>
      <c r="K53" s="3442" t="s">
        <v>1272</v>
      </c>
      <c r="L53" s="3443"/>
      <c r="O53" s="1553" t="s">
        <v>833</v>
      </c>
      <c r="P53" s="1554" t="s">
        <v>1273</v>
      </c>
      <c r="Q53" s="1555">
        <f ca="1">Q47+Q48</f>
        <v>22272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6919</v>
      </c>
      <c r="D56" s="1582"/>
      <c r="E56" s="1583"/>
      <c r="F56" s="1575"/>
      <c r="I56" s="1584" t="s">
        <v>1278</v>
      </c>
      <c r="J56" s="1585" t="s">
        <v>3236</v>
      </c>
      <c r="K56" s="1556" t="s">
        <v>1279</v>
      </c>
      <c r="L56" s="1559" t="str">
        <f ca="1">IF(L48&lt;J51,"——",L48-J53)</f>
        <v>——</v>
      </c>
      <c r="O56" s="1553" t="s">
        <v>827</v>
      </c>
      <c r="P56" s="1554" t="s">
        <v>1252</v>
      </c>
      <c r="Q56" s="1555">
        <f ca="1">C40+J29</f>
        <v>22272</v>
      </c>
      <c r="R56" s="1555" t="s">
        <v>1253</v>
      </c>
    </row>
    <row r="57" spans="1:18" s="1519" customFormat="1" ht="24.75" thickBot="1">
      <c r="A57" s="1586"/>
      <c r="B57" s="1062" t="s">
        <v>1202</v>
      </c>
      <c r="C57" s="244">
        <f ca="1">C29</f>
        <v>8542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810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718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717.53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20</v>
      </c>
      <c r="I62" s="1597" t="s">
        <v>1294</v>
      </c>
      <c r="J62" s="1598" t="s">
        <v>1295</v>
      </c>
      <c r="K62" s="1598" t="s">
        <v>1296</v>
      </c>
      <c r="L62" s="1598" t="s">
        <v>1297</v>
      </c>
      <c r="M62" s="1599" t="s">
        <v>1298</v>
      </c>
      <c r="O62" s="1553" t="s">
        <v>833</v>
      </c>
      <c r="P62" s="1554" t="s">
        <v>1299</v>
      </c>
      <c r="Q62" s="1555">
        <f ca="1">Q56+Q57</f>
        <v>22272</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85.4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6.9</v>
      </c>
      <c r="D65" s="1076" t="s">
        <v>1178</v>
      </c>
      <c r="E65" s="1062" t="s">
        <v>1179</v>
      </c>
      <c r="F65" s="336">
        <f t="shared" ca="1" si="0"/>
        <v>1E-3</v>
      </c>
      <c r="I65" s="1597" t="s">
        <v>1303</v>
      </c>
      <c r="J65" s="1598">
        <v>40</v>
      </c>
      <c r="K65" s="1598">
        <v>30</v>
      </c>
      <c r="L65" s="1598">
        <v>50</v>
      </c>
      <c r="M65" s="1600">
        <v>0.02</v>
      </c>
      <c r="O65" s="1553" t="s">
        <v>827</v>
      </c>
      <c r="P65" s="1554" t="s">
        <v>1304</v>
      </c>
      <c r="Q65" s="1555">
        <f ca="1">C40+J29</f>
        <v>22272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-810</v>
      </c>
      <c r="D67" s="1075" t="s">
        <v>1188</v>
      </c>
      <c r="E67" s="1080"/>
      <c r="F67" s="1081"/>
      <c r="O67" s="1563" t="s">
        <v>829</v>
      </c>
      <c r="P67" s="1554" t="s">
        <v>1286</v>
      </c>
      <c r="Q67" s="1601">
        <f ca="1">L51</f>
        <v>15986</v>
      </c>
      <c r="R67" s="1555" t="s">
        <v>1306</v>
      </c>
    </row>
    <row r="68" spans="1:18" s="1519" customFormat="1" ht="16.5" thickBot="1">
      <c r="A68" s="1059" t="s">
        <v>819</v>
      </c>
      <c r="B68" s="1060" t="s">
        <v>1209</v>
      </c>
      <c r="C68" s="307">
        <f ca="1">ROUND(C67*(1-((1+F70)/(1+F68))^F69)/(F68-F70),0)</f>
        <v>-9487</v>
      </c>
      <c r="D68" s="1077" t="s">
        <v>1193</v>
      </c>
      <c r="E68" s="1062" t="s">
        <v>1194</v>
      </c>
      <c r="F68" s="318">
        <f ca="1">F40</f>
        <v>0.06</v>
      </c>
      <c r="O68" s="1563" t="s">
        <v>830</v>
      </c>
      <c r="P68" s="1602" t="s">
        <v>1307</v>
      </c>
      <c r="Q68" s="1555">
        <f ca="1">ROUND(Q69-Q70*Q71,0)</f>
        <v>966</v>
      </c>
      <c r="R68" s="1555" t="s">
        <v>838</v>
      </c>
    </row>
    <row r="69" spans="1:18" s="1519" customFormat="1" ht="13.5" thickBot="1">
      <c r="A69" s="1063"/>
      <c r="B69" s="1064"/>
      <c r="C69" s="312"/>
      <c r="D69" s="1082" t="s">
        <v>1197</v>
      </c>
      <c r="E69" s="1062" t="s">
        <v>1198</v>
      </c>
      <c r="F69" s="339">
        <f ca="1">F41</f>
        <v>20.82</v>
      </c>
      <c r="O69" s="1563" t="s">
        <v>835</v>
      </c>
      <c r="P69" s="1602" t="s">
        <v>1308</v>
      </c>
      <c r="Q69" s="1555">
        <f ca="1">C39</f>
        <v>1485</v>
      </c>
      <c r="R69" s="1555" t="s">
        <v>1253</v>
      </c>
    </row>
    <row r="70" spans="1:18" s="1519" customFormat="1" ht="13.5" thickBot="1">
      <c r="A70" s="1066"/>
      <c r="B70" s="1067"/>
      <c r="C70" s="316"/>
      <c r="D70" s="1078"/>
      <c r="E70" s="1062" t="s">
        <v>1201</v>
      </c>
      <c r="F70" s="1166"/>
      <c r="O70" s="1563" t="s">
        <v>836</v>
      </c>
      <c r="P70" s="1602" t="s">
        <v>1309</v>
      </c>
      <c r="Q70" s="1555">
        <f ca="1">C13</f>
        <v>6919</v>
      </c>
      <c r="R70" s="1555" t="s">
        <v>1253</v>
      </c>
    </row>
    <row r="71" spans="1:18" s="1519" customFormat="1" ht="13.5" thickBot="1">
      <c r="A71" s="1083" t="s">
        <v>820</v>
      </c>
      <c r="B71" s="1084" t="s">
        <v>1211</v>
      </c>
      <c r="C71" s="342">
        <f ca="1">ROUND(C68*10000/F71,0)</f>
        <v>-4928</v>
      </c>
      <c r="D71" s="1085" t="s">
        <v>1212</v>
      </c>
      <c r="E71" s="1086" t="s">
        <v>1213</v>
      </c>
      <c r="F71" s="345">
        <f ca="1">F43</f>
        <v>19251.75</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519</v>
      </c>
      <c r="D75" s="1519"/>
      <c r="E75" s="1519"/>
      <c r="F75" s="1519"/>
      <c r="K75" s="1537"/>
      <c r="L75" s="1519"/>
      <c r="O75" s="1553" t="s">
        <v>833</v>
      </c>
      <c r="P75" s="1554" t="s">
        <v>1273</v>
      </c>
      <c r="Q75" s="1555">
        <f ca="1">Q65+Q66</f>
        <v>22272</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0.65100000000000002</v>
      </c>
    </row>
    <row r="80" spans="1:18">
      <c r="B80" s="346" t="s">
        <v>1235</v>
      </c>
      <c r="C80" s="280">
        <f ca="1">ROUND(C75/C39,3)</f>
        <v>0.34899999999999998</v>
      </c>
    </row>
    <row r="81" spans="2:3">
      <c r="B81" s="276" t="s">
        <v>1236</v>
      </c>
      <c r="C81" s="244"/>
    </row>
    <row r="82" spans="2:3">
      <c r="B82" s="279" t="s">
        <v>1237</v>
      </c>
      <c r="C82" s="281">
        <f ca="1">1-C83</f>
        <v>0.68900000000000006</v>
      </c>
    </row>
    <row r="83" spans="2:3">
      <c r="B83" s="279" t="s">
        <v>1238</v>
      </c>
      <c r="C83" s="280">
        <f ca="1">ROUND(C13/C40,3)</f>
        <v>0.311</v>
      </c>
    </row>
  </sheetData>
  <sheetProtection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topLeftCell="A76" workbookViewId="0">
      <selection activeCell="A91" sqref="A91"/>
    </sheetView>
  </sheetViews>
  <sheetFormatPr defaultRowHeight="13.5"/>
  <cols>
    <col min="4" max="4" width="9.5" bestFit="1" customWidth="1"/>
    <col min="5" max="5" width="12.125" bestFit="1" customWidth="1"/>
    <col min="6" max="6" width="16.25" customWidth="1"/>
    <col min="7" max="7" width="11.25" customWidth="1"/>
    <col min="8" max="8" width="13" customWidth="1"/>
    <col min="10" max="11" width="9" customWidth="1"/>
    <col min="12" max="12" width="10.375" customWidth="1"/>
  </cols>
  <sheetData>
    <row r="1" spans="1:14">
      <c r="E1" s="3231" t="s">
        <v>3225</v>
      </c>
      <c r="F1" s="3231" t="s">
        <v>3226</v>
      </c>
      <c r="G1" s="3231" t="s">
        <v>3228</v>
      </c>
      <c r="H1" s="3231" t="s">
        <v>3227</v>
      </c>
    </row>
    <row r="2" spans="1:14">
      <c r="A2" s="3231" t="s">
        <v>3219</v>
      </c>
      <c r="E2" s="3234" t="s">
        <v>3179</v>
      </c>
      <c r="F2">
        <f>1493.22-0.32</f>
        <v>1492.9</v>
      </c>
      <c r="G2">
        <v>186.51</v>
      </c>
      <c r="H2">
        <f>F2-G2</f>
        <v>1306.3900000000001</v>
      </c>
      <c r="L2" s="3231" t="s">
        <v>3240</v>
      </c>
      <c r="M2" s="3231" t="s">
        <v>3241</v>
      </c>
      <c r="N2" s="3231" t="s">
        <v>3242</v>
      </c>
    </row>
    <row r="3" spans="1:14">
      <c r="E3" s="3234" t="s">
        <v>3179</v>
      </c>
      <c r="F3">
        <v>1180.07</v>
      </c>
      <c r="H3">
        <f t="shared" ref="H3:H8" si="0">F3-G3</f>
        <v>1180.07</v>
      </c>
      <c r="K3" s="3231" t="s">
        <v>3229</v>
      </c>
      <c r="L3">
        <f>F15+G26+G49+G78+F91</f>
        <v>2085.8500000000004</v>
      </c>
      <c r="M3">
        <v>5</v>
      </c>
      <c r="N3">
        <v>1</v>
      </c>
    </row>
    <row r="4" spans="1:14">
      <c r="E4" s="3234" t="s">
        <v>3183</v>
      </c>
      <c r="F4">
        <v>2019.72</v>
      </c>
      <c r="H4">
        <f t="shared" si="0"/>
        <v>2019.72</v>
      </c>
      <c r="K4" s="3231" t="s">
        <v>3230</v>
      </c>
      <c r="L4">
        <f>H2+H3+G34+G53+G84+F92</f>
        <v>3418.6</v>
      </c>
      <c r="M4">
        <f>$M$3*N4</f>
        <v>3.5</v>
      </c>
      <c r="N4">
        <v>0.7</v>
      </c>
    </row>
    <row r="5" spans="1:14">
      <c r="E5" s="3234" t="s">
        <v>3185</v>
      </c>
      <c r="F5">
        <v>3779.78</v>
      </c>
      <c r="H5">
        <f t="shared" si="0"/>
        <v>3779.78</v>
      </c>
      <c r="K5" s="3231" t="s">
        <v>3231</v>
      </c>
      <c r="L5">
        <f>H4+G40+G57+G88+F93</f>
        <v>2686.54</v>
      </c>
      <c r="M5">
        <f t="shared" ref="M5:M9" si="1">$M$3*N5</f>
        <v>3</v>
      </c>
      <c r="N5">
        <v>0.6</v>
      </c>
    </row>
    <row r="6" spans="1:14">
      <c r="E6" s="3234" t="s">
        <v>3187</v>
      </c>
      <c r="F6">
        <v>4021.72</v>
      </c>
      <c r="G6">
        <v>2016.3</v>
      </c>
      <c r="H6">
        <f t="shared" si="0"/>
        <v>2005.4199999999998</v>
      </c>
      <c r="K6" s="3231" t="s">
        <v>3232</v>
      </c>
      <c r="L6">
        <f>H5</f>
        <v>3779.78</v>
      </c>
      <c r="M6">
        <f t="shared" si="1"/>
        <v>2.5</v>
      </c>
      <c r="N6">
        <v>0.5</v>
      </c>
    </row>
    <row r="7" spans="1:14">
      <c r="E7" s="3234" t="s">
        <v>3189</v>
      </c>
      <c r="F7">
        <v>3903.14</v>
      </c>
      <c r="H7">
        <f t="shared" si="0"/>
        <v>3903.14</v>
      </c>
      <c r="K7" s="3231" t="s">
        <v>3233</v>
      </c>
      <c r="L7">
        <f>H6+F16</f>
        <v>2534.54</v>
      </c>
      <c r="M7">
        <f t="shared" si="1"/>
        <v>2.5</v>
      </c>
      <c r="N7">
        <v>0.5</v>
      </c>
    </row>
    <row r="8" spans="1:14">
      <c r="F8">
        <f>SUM(F2:F7)</f>
        <v>16397.330000000002</v>
      </c>
      <c r="G8">
        <f>SUM(G2:G7)</f>
        <v>2202.81</v>
      </c>
      <c r="H8">
        <f t="shared" si="0"/>
        <v>14194.520000000002</v>
      </c>
      <c r="K8" s="3231" t="s">
        <v>3234</v>
      </c>
      <c r="L8">
        <f>H7+F17</f>
        <v>4432.26</v>
      </c>
      <c r="M8">
        <f t="shared" si="1"/>
        <v>2.5</v>
      </c>
      <c r="N8">
        <v>0.5</v>
      </c>
    </row>
    <row r="9" spans="1:14">
      <c r="K9" s="3231" t="s">
        <v>3235</v>
      </c>
      <c r="L9">
        <f>G66</f>
        <v>314.17999999999995</v>
      </c>
      <c r="M9">
        <f t="shared" si="1"/>
        <v>3</v>
      </c>
      <c r="N9">
        <v>0.6</v>
      </c>
    </row>
    <row r="10" spans="1:14">
      <c r="L10">
        <f>SUM(L3:L9)</f>
        <v>19251.75</v>
      </c>
      <c r="M10">
        <f>ROUND((L3*M3+L4*M4+L5*M5+L6*M6+L7*M7+L8*M8+L9*M9)/L10,2)</f>
        <v>3.03</v>
      </c>
    </row>
    <row r="15" spans="1:14">
      <c r="A15" s="3231" t="s">
        <v>3220</v>
      </c>
      <c r="E15" s="3231" t="s">
        <v>3197</v>
      </c>
      <c r="F15" s="3235">
        <f>'[2]数据-基础表'!I14-[2]分层面积!F15-[2]分层面积!F16</f>
        <v>956.93999999999994</v>
      </c>
    </row>
    <row r="16" spans="1:14">
      <c r="E16" s="3231" t="s">
        <v>3198</v>
      </c>
      <c r="F16">
        <v>529.12</v>
      </c>
    </row>
    <row r="17" spans="1:7">
      <c r="E17" s="3231" t="s">
        <v>3200</v>
      </c>
      <c r="F17">
        <v>529.12</v>
      </c>
    </row>
    <row r="18" spans="1:7">
      <c r="F18">
        <f>SUM(F15:F17)</f>
        <v>2015.1799999999998</v>
      </c>
    </row>
    <row r="19" spans="1:7">
      <c r="A19" t="str">
        <f>[2]抵押物清单!H8</f>
        <v>渝（2018）南岸区不动产权第000035435</v>
      </c>
      <c r="E19" s="3231" t="s">
        <v>3202</v>
      </c>
      <c r="F19" s="3231" t="s">
        <v>3195</v>
      </c>
      <c r="G19">
        <v>57.8</v>
      </c>
    </row>
    <row r="20" spans="1:7">
      <c r="F20" s="3231" t="s">
        <v>3196</v>
      </c>
      <c r="G20">
        <v>57.91</v>
      </c>
    </row>
    <row r="21" spans="1:7">
      <c r="F21" s="3231" t="s">
        <v>3184</v>
      </c>
      <c r="G21">
        <v>48.07</v>
      </c>
    </row>
    <row r="22" spans="1:7">
      <c r="F22" s="3231" t="s">
        <v>3186</v>
      </c>
      <c r="G22">
        <v>47.68</v>
      </c>
    </row>
    <row r="23" spans="1:7">
      <c r="F23" s="3231" t="s">
        <v>3188</v>
      </c>
      <c r="G23">
        <v>52.45</v>
      </c>
    </row>
    <row r="24" spans="1:7">
      <c r="F24" s="3231" t="s">
        <v>3203</v>
      </c>
      <c r="G24">
        <v>52.41</v>
      </c>
    </row>
    <row r="25" spans="1:7">
      <c r="F25" s="3231" t="s">
        <v>3204</v>
      </c>
      <c r="G25">
        <v>46.12</v>
      </c>
    </row>
    <row r="26" spans="1:7">
      <c r="F26" s="3232" t="s">
        <v>3207</v>
      </c>
      <c r="G26" s="3232">
        <f>SUM(G19:G25)</f>
        <v>362.44000000000005</v>
      </c>
    </row>
    <row r="27" spans="1:7">
      <c r="E27" s="3231" t="s">
        <v>3209</v>
      </c>
      <c r="F27" s="3231" t="s">
        <v>3206</v>
      </c>
      <c r="G27">
        <v>43.32</v>
      </c>
    </row>
    <row r="28" spans="1:7">
      <c r="F28" s="3231" t="s">
        <v>3208</v>
      </c>
      <c r="G28">
        <v>65.61</v>
      </c>
    </row>
    <row r="29" spans="1:7">
      <c r="F29" s="3231" t="s">
        <v>3184</v>
      </c>
      <c r="G29">
        <v>18.7</v>
      </c>
    </row>
    <row r="30" spans="1:7">
      <c r="F30" s="3231" t="s">
        <v>3186</v>
      </c>
      <c r="G30">
        <v>67.36</v>
      </c>
    </row>
    <row r="31" spans="1:7">
      <c r="F31" s="3231" t="s">
        <v>3188</v>
      </c>
      <c r="G31">
        <v>50.6</v>
      </c>
    </row>
    <row r="32" spans="1:7">
      <c r="F32" s="3231" t="s">
        <v>3203</v>
      </c>
      <c r="G32">
        <v>50.04</v>
      </c>
    </row>
    <row r="33" spans="1:7">
      <c r="F33" s="3231" t="s">
        <v>3204</v>
      </c>
      <c r="G33">
        <v>39.729999999999997</v>
      </c>
    </row>
    <row r="34" spans="1:7">
      <c r="F34" s="3232" t="s">
        <v>3207</v>
      </c>
      <c r="G34" s="3232">
        <f>SUM(G27:G33)</f>
        <v>335.36</v>
      </c>
    </row>
    <row r="35" spans="1:7">
      <c r="E35" s="3231" t="s">
        <v>3213</v>
      </c>
      <c r="F35" s="3231" t="s">
        <v>3206</v>
      </c>
      <c r="G35">
        <v>47.83</v>
      </c>
    </row>
    <row r="36" spans="1:7">
      <c r="F36" s="3231" t="s">
        <v>3208</v>
      </c>
      <c r="G36">
        <v>35.659999999999997</v>
      </c>
    </row>
    <row r="37" spans="1:7">
      <c r="F37" s="3231" t="s">
        <v>3184</v>
      </c>
      <c r="G37">
        <v>52.63</v>
      </c>
    </row>
    <row r="38" spans="1:7">
      <c r="F38" s="3231" t="s">
        <v>3186</v>
      </c>
      <c r="G38">
        <v>35.700000000000003</v>
      </c>
    </row>
    <row r="39" spans="1:7">
      <c r="E39">
        <v>19</v>
      </c>
      <c r="F39" s="3231" t="s">
        <v>3188</v>
      </c>
      <c r="G39">
        <v>24.51</v>
      </c>
    </row>
    <row r="40" spans="1:7">
      <c r="F40" s="3232" t="s">
        <v>3207</v>
      </c>
      <c r="G40" s="3232">
        <f>SUM(G35:G39)</f>
        <v>196.32999999999998</v>
      </c>
    </row>
    <row r="41" spans="1:7">
      <c r="F41" s="3232" t="s">
        <v>3215</v>
      </c>
      <c r="G41" s="3232">
        <f>G26+G34+G40</f>
        <v>894.13000000000011</v>
      </c>
    </row>
    <row r="44" spans="1:7">
      <c r="A44" t="str">
        <f>[2]抵押物清单!H9</f>
        <v>渝（2018）南岸区不动产权第000035455</v>
      </c>
      <c r="E44" s="3231" t="s">
        <v>3180</v>
      </c>
      <c r="F44" s="3231" t="s">
        <v>3181</v>
      </c>
      <c r="G44">
        <v>20.46</v>
      </c>
    </row>
    <row r="45" spans="1:7">
      <c r="F45" s="3231" t="s">
        <v>3182</v>
      </c>
      <c r="G45">
        <v>100.49</v>
      </c>
    </row>
    <row r="46" spans="1:7">
      <c r="F46" s="3231" t="s">
        <v>3184</v>
      </c>
      <c r="G46">
        <v>48.17</v>
      </c>
    </row>
    <row r="47" spans="1:7">
      <c r="F47" s="3231" t="s">
        <v>3186</v>
      </c>
      <c r="G47">
        <v>60.2</v>
      </c>
    </row>
    <row r="48" spans="1:7">
      <c r="F48" s="3231" t="s">
        <v>3188</v>
      </c>
      <c r="G48">
        <v>59.64</v>
      </c>
    </row>
    <row r="49" spans="1:7">
      <c r="F49" s="3232" t="s">
        <v>3190</v>
      </c>
      <c r="G49" s="3232">
        <f>SUM(G44:G48)</f>
        <v>288.95999999999998</v>
      </c>
    </row>
    <row r="50" spans="1:7">
      <c r="E50" s="3231" t="s">
        <v>3191</v>
      </c>
      <c r="F50" s="3231" t="s">
        <v>3181</v>
      </c>
      <c r="G50">
        <v>76.97</v>
      </c>
    </row>
    <row r="51" spans="1:7">
      <c r="F51" s="3231" t="s">
        <v>3192</v>
      </c>
      <c r="G51">
        <v>61.98</v>
      </c>
    </row>
    <row r="52" spans="1:7">
      <c r="F52" s="3231" t="s">
        <v>3193</v>
      </c>
      <c r="G52">
        <v>66.709999999999994</v>
      </c>
    </row>
    <row r="53" spans="1:7">
      <c r="F53" s="3232" t="s">
        <v>3190</v>
      </c>
      <c r="G53" s="3232">
        <f>SUM(G50:G52)</f>
        <v>205.65999999999997</v>
      </c>
    </row>
    <row r="54" spans="1:7">
      <c r="E54" s="3231" t="s">
        <v>3194</v>
      </c>
      <c r="F54" s="3231" t="s">
        <v>3195</v>
      </c>
      <c r="G54">
        <v>77.88</v>
      </c>
    </row>
    <row r="55" spans="1:7">
      <c r="F55" s="3231" t="s">
        <v>3196</v>
      </c>
      <c r="G55">
        <v>63.32</v>
      </c>
    </row>
    <row r="56" spans="1:7">
      <c r="E56">
        <v>11</v>
      </c>
      <c r="F56" s="3231" t="s">
        <v>3193</v>
      </c>
      <c r="G56">
        <v>60.73</v>
      </c>
    </row>
    <row r="57" spans="1:7">
      <c r="F57" s="3232" t="s">
        <v>3190</v>
      </c>
      <c r="G57" s="3232">
        <f>SUM(G54:G56)</f>
        <v>201.92999999999998</v>
      </c>
    </row>
    <row r="58" spans="1:7">
      <c r="F58" s="3232" t="s">
        <v>3199</v>
      </c>
      <c r="G58" s="3232">
        <f>G49+G53+G57</f>
        <v>696.55</v>
      </c>
    </row>
    <row r="59" spans="1:7">
      <c r="A59" t="str">
        <f>[2]抵押物清单!H10</f>
        <v>渝（2018）南岸区不动产权第000035469</v>
      </c>
      <c r="E59" s="3231" t="s">
        <v>3201</v>
      </c>
      <c r="F59" s="3231" t="s">
        <v>3195</v>
      </c>
      <c r="G59">
        <v>52.08</v>
      </c>
    </row>
    <row r="60" spans="1:7">
      <c r="F60" s="3231" t="s">
        <v>3196</v>
      </c>
      <c r="G60">
        <v>44.9</v>
      </c>
    </row>
    <row r="61" spans="1:7">
      <c r="F61" s="3231" t="s">
        <v>3184</v>
      </c>
      <c r="G61">
        <v>86.49</v>
      </c>
    </row>
    <row r="62" spans="1:7">
      <c r="F62" s="3231" t="s">
        <v>3186</v>
      </c>
      <c r="G62">
        <v>41.27</v>
      </c>
    </row>
    <row r="63" spans="1:7">
      <c r="F63" s="3231" t="s">
        <v>3188</v>
      </c>
      <c r="G63">
        <v>21.53</v>
      </c>
    </row>
    <row r="64" spans="1:7">
      <c r="F64" s="3231" t="s">
        <v>3203</v>
      </c>
      <c r="G64">
        <v>39.659999999999997</v>
      </c>
    </row>
    <row r="65" spans="5:7">
      <c r="F65" s="3231" t="s">
        <v>3204</v>
      </c>
      <c r="G65">
        <v>28.25</v>
      </c>
    </row>
    <row r="66" spans="5:7">
      <c r="F66" s="3232" t="s">
        <v>3190</v>
      </c>
      <c r="G66" s="3232">
        <f>SUM(G59:G65)</f>
        <v>314.17999999999995</v>
      </c>
    </row>
    <row r="67" spans="5:7">
      <c r="E67" s="3231" t="s">
        <v>3205</v>
      </c>
      <c r="F67" s="3231" t="s">
        <v>3206</v>
      </c>
      <c r="G67">
        <v>20.16</v>
      </c>
    </row>
    <row r="68" spans="5:7">
      <c r="F68" s="3231" t="s">
        <v>3208</v>
      </c>
      <c r="G68">
        <v>48.04</v>
      </c>
    </row>
    <row r="69" spans="5:7">
      <c r="F69" s="3231" t="s">
        <v>3184</v>
      </c>
      <c r="G69">
        <v>44.77</v>
      </c>
    </row>
    <row r="70" spans="5:7">
      <c r="F70" s="3231" t="s">
        <v>3186</v>
      </c>
      <c r="G70">
        <v>27.81</v>
      </c>
    </row>
    <row r="71" spans="5:7">
      <c r="F71" s="3231" t="s">
        <v>3188</v>
      </c>
      <c r="G71">
        <v>20.64</v>
      </c>
    </row>
    <row r="72" spans="5:7">
      <c r="F72" s="3231" t="s">
        <v>3203</v>
      </c>
      <c r="G72">
        <v>26.37</v>
      </c>
    </row>
    <row r="73" spans="5:7">
      <c r="F73" s="3231" t="s">
        <v>3204</v>
      </c>
      <c r="G73">
        <v>20.03</v>
      </c>
    </row>
    <row r="74" spans="5:7">
      <c r="F74" s="3231" t="s">
        <v>3210</v>
      </c>
      <c r="G74">
        <v>22.58</v>
      </c>
    </row>
    <row r="75" spans="5:7">
      <c r="F75" s="3231" t="s">
        <v>3211</v>
      </c>
      <c r="G75">
        <v>22.63</v>
      </c>
    </row>
    <row r="76" spans="5:7">
      <c r="F76" s="3231" t="s">
        <v>3212</v>
      </c>
      <c r="G76">
        <v>22.59</v>
      </c>
    </row>
    <row r="77" spans="5:7">
      <c r="F77" s="3231" t="s">
        <v>3214</v>
      </c>
      <c r="G77">
        <v>24.83</v>
      </c>
    </row>
    <row r="78" spans="5:7">
      <c r="F78" s="3232" t="s">
        <v>3207</v>
      </c>
      <c r="G78" s="3232">
        <f>SUM(G67:G77)</f>
        <v>300.45</v>
      </c>
    </row>
    <row r="79" spans="5:7">
      <c r="E79" s="3231" t="s">
        <v>3209</v>
      </c>
      <c r="F79" s="3231" t="s">
        <v>3206</v>
      </c>
      <c r="G79">
        <v>26.35</v>
      </c>
    </row>
    <row r="80" spans="5:7">
      <c r="F80" s="3231" t="s">
        <v>3208</v>
      </c>
      <c r="G80">
        <v>61.55</v>
      </c>
    </row>
    <row r="81" spans="1:7">
      <c r="F81" s="3231" t="s">
        <v>3184</v>
      </c>
      <c r="G81">
        <v>57.4</v>
      </c>
    </row>
    <row r="82" spans="1:7">
      <c r="F82" s="3231" t="s">
        <v>3186</v>
      </c>
      <c r="G82">
        <v>41.84</v>
      </c>
    </row>
    <row r="83" spans="1:7">
      <c r="F83" s="3231" t="s">
        <v>3188</v>
      </c>
      <c r="G83">
        <v>26.92</v>
      </c>
    </row>
    <row r="84" spans="1:7">
      <c r="F84" s="3232" t="s">
        <v>3207</v>
      </c>
      <c r="G84" s="3232">
        <f>SUM(G79:G83)</f>
        <v>214.06</v>
      </c>
    </row>
    <row r="85" spans="1:7">
      <c r="E85" s="3231" t="s">
        <v>3213</v>
      </c>
      <c r="F85" s="3231" t="s">
        <v>3206</v>
      </c>
      <c r="G85">
        <v>15.56</v>
      </c>
    </row>
    <row r="86" spans="1:7">
      <c r="F86" s="3231" t="s">
        <v>3196</v>
      </c>
      <c r="G86">
        <v>26.25</v>
      </c>
    </row>
    <row r="87" spans="1:7">
      <c r="E87">
        <v>26</v>
      </c>
      <c r="F87" s="3231" t="s">
        <v>3193</v>
      </c>
      <c r="G87">
        <v>49.69</v>
      </c>
    </row>
    <row r="88" spans="1:7">
      <c r="F88" s="3232" t="s">
        <v>3190</v>
      </c>
      <c r="G88" s="3232">
        <f>SUM(G85:G87)</f>
        <v>91.5</v>
      </c>
    </row>
    <row r="89" spans="1:7">
      <c r="F89" s="3232" t="s">
        <v>3199</v>
      </c>
      <c r="G89" s="3232">
        <f>G66+G78+G84+G88</f>
        <v>920.18999999999983</v>
      </c>
    </row>
    <row r="91" spans="1:7">
      <c r="A91" s="3231" t="s">
        <v>3274</v>
      </c>
      <c r="E91" s="3231" t="s">
        <v>3221</v>
      </c>
      <c r="F91">
        <f>531.18/3</f>
        <v>177.05999999999997</v>
      </c>
    </row>
    <row r="92" spans="1:7">
      <c r="E92" s="3231" t="s">
        <v>3222</v>
      </c>
      <c r="F92">
        <f>F91</f>
        <v>177.05999999999997</v>
      </c>
    </row>
    <row r="93" spans="1:7">
      <c r="E93" s="3231" t="s">
        <v>3223</v>
      </c>
      <c r="F93">
        <f>F91</f>
        <v>177.05999999999997</v>
      </c>
    </row>
    <row r="94" spans="1:7">
      <c r="E94" s="3231" t="s">
        <v>3224</v>
      </c>
      <c r="F94">
        <f>SUM(F91:F93)</f>
        <v>531.17999999999995</v>
      </c>
    </row>
    <row r="99" spans="6:6">
      <c r="F99" s="3231"/>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9:F142"/>
  <sheetViews>
    <sheetView topLeftCell="A121" workbookViewId="0">
      <selection activeCell="I151" sqref="I151"/>
    </sheetView>
  </sheetViews>
  <sheetFormatPr defaultRowHeight="13.5"/>
  <sheetData>
    <row r="139" spans="2:6">
      <c r="B139" s="3231" t="s">
        <v>3250</v>
      </c>
      <c r="C139" s="3231" t="s">
        <v>3251</v>
      </c>
      <c r="D139" s="3231" t="s">
        <v>3252</v>
      </c>
      <c r="E139" s="3231" t="s">
        <v>3253</v>
      </c>
    </row>
    <row r="140" spans="2:6">
      <c r="B140" s="3231" t="s">
        <v>3254</v>
      </c>
      <c r="C140">
        <v>26400</v>
      </c>
      <c r="D140">
        <v>122</v>
      </c>
      <c r="E140">
        <v>2017</v>
      </c>
      <c r="F140">
        <f>ROUND(1-(2022-E140)/60,2)</f>
        <v>0.92</v>
      </c>
    </row>
    <row r="141" spans="2:6">
      <c r="B141" s="3231" t="s">
        <v>3255</v>
      </c>
      <c r="C141">
        <v>30200</v>
      </c>
      <c r="D141">
        <v>116</v>
      </c>
      <c r="E141">
        <v>2021</v>
      </c>
      <c r="F141">
        <f t="shared" ref="F141:F142" si="0">ROUND(1-(2022-E141)/60,2)</f>
        <v>0.98</v>
      </c>
    </row>
    <row r="142" spans="2:6">
      <c r="B142" s="3231" t="s">
        <v>3256</v>
      </c>
      <c r="C142">
        <v>35500</v>
      </c>
      <c r="D142">
        <v>61.37</v>
      </c>
      <c r="E142">
        <v>2021</v>
      </c>
      <c r="F142">
        <f t="shared" si="0"/>
        <v>0.98</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9"/>
  <sheetViews>
    <sheetView tabSelected="1" topLeftCell="F1" workbookViewId="0">
      <selection activeCell="G34" sqref="G34"/>
    </sheetView>
  </sheetViews>
  <sheetFormatPr defaultRowHeight="12"/>
  <cols>
    <col min="1" max="1" width="9" style="3246"/>
    <col min="2" max="2" width="34.875" style="3246" bestFit="1" customWidth="1"/>
    <col min="3" max="3" width="8.25" style="3246" customWidth="1"/>
    <col min="4" max="16384" width="9" style="3246"/>
  </cols>
  <sheetData>
    <row r="2" spans="2:11">
      <c r="C2" s="3594" t="s">
        <v>3271</v>
      </c>
      <c r="D2" s="3594"/>
      <c r="E2" s="3594"/>
      <c r="F2" s="3594"/>
      <c r="G2" s="3594"/>
      <c r="H2" s="3594"/>
      <c r="I2" s="3594"/>
      <c r="J2" s="3594"/>
    </row>
    <row r="3" spans="2:11">
      <c r="B3" s="3595"/>
      <c r="C3" s="3596" t="s">
        <v>3270</v>
      </c>
      <c r="D3" s="3595" t="s">
        <v>3266</v>
      </c>
      <c r="E3" s="3595" t="s">
        <v>3221</v>
      </c>
      <c r="F3" s="3595" t="s">
        <v>3222</v>
      </c>
      <c r="G3" s="3595" t="s">
        <v>3223</v>
      </c>
      <c r="H3" s="3595" t="s">
        <v>3267</v>
      </c>
      <c r="I3" s="3595" t="s">
        <v>3268</v>
      </c>
      <c r="J3" s="3595" t="s">
        <v>3269</v>
      </c>
    </row>
    <row r="4" spans="2:11">
      <c r="B4" s="3595" t="str">
        <f>面积清单!A2</f>
        <v>渝（2019）南岸区不动产权第000484904号</v>
      </c>
      <c r="C4" s="3596">
        <f>面积清单!H8</f>
        <v>14194.520000000002</v>
      </c>
      <c r="D4" s="3595"/>
      <c r="E4" s="3595"/>
      <c r="F4" s="3595">
        <f>面积清单!H2+面积清单!H3</f>
        <v>2486.46</v>
      </c>
      <c r="G4" s="3595">
        <f>面积清单!H4</f>
        <v>2019.72</v>
      </c>
      <c r="H4" s="3595">
        <f>面积清单!H5</f>
        <v>3779.78</v>
      </c>
      <c r="I4" s="3595">
        <f>面积清单!H6</f>
        <v>2005.4199999999998</v>
      </c>
      <c r="J4" s="3595">
        <f>面积清单!H7</f>
        <v>3903.14</v>
      </c>
    </row>
    <row r="5" spans="2:11">
      <c r="B5" s="3595" t="str">
        <f>面积清单!A15</f>
        <v>渝（2019）南岸区不动产权第000217687号</v>
      </c>
      <c r="C5" s="3596">
        <f>面积清单!F18</f>
        <v>2015.1799999999998</v>
      </c>
      <c r="D5" s="3595"/>
      <c r="E5" s="3595">
        <f>面积清单!F15</f>
        <v>956.93999999999994</v>
      </c>
      <c r="F5" s="3595"/>
      <c r="G5" s="3595"/>
      <c r="H5" s="3595"/>
      <c r="I5" s="3595">
        <f>面积清单!F16</f>
        <v>529.12</v>
      </c>
      <c r="J5" s="3595">
        <f>面积清单!F17</f>
        <v>529.12</v>
      </c>
    </row>
    <row r="6" spans="2:11">
      <c r="B6" s="3595" t="str">
        <f>面积清单!A19</f>
        <v>渝（2018）南岸区不动产权第000035435</v>
      </c>
      <c r="C6" s="3596">
        <f>面积清单!G41</f>
        <v>894.13000000000011</v>
      </c>
      <c r="D6" s="3595"/>
      <c r="E6" s="3595">
        <f>面积清单!G26</f>
        <v>362.44000000000005</v>
      </c>
      <c r="F6" s="3595">
        <f>面积清单!G34</f>
        <v>335.36</v>
      </c>
      <c r="G6" s="3595">
        <f>面积清单!G40</f>
        <v>196.32999999999998</v>
      </c>
      <c r="H6" s="3595"/>
      <c r="I6" s="3595"/>
      <c r="J6" s="3595"/>
    </row>
    <row r="7" spans="2:11">
      <c r="B7" s="3595" t="str">
        <f>面积清单!A44</f>
        <v>渝（2018）南岸区不动产权第000035455</v>
      </c>
      <c r="C7" s="3596">
        <f>面积清单!G58</f>
        <v>696.55</v>
      </c>
      <c r="D7" s="3595"/>
      <c r="E7" s="3595">
        <f>面积清单!G49</f>
        <v>288.95999999999998</v>
      </c>
      <c r="F7" s="3595">
        <f>面积清单!G53</f>
        <v>205.65999999999997</v>
      </c>
      <c r="G7" s="3595">
        <f>面积清单!G57</f>
        <v>201.92999999999998</v>
      </c>
      <c r="H7" s="3595"/>
      <c r="I7" s="3595"/>
      <c r="J7" s="3595"/>
    </row>
    <row r="8" spans="2:11">
      <c r="B8" s="3595" t="str">
        <f>面积清单!A59</f>
        <v>渝（2018）南岸区不动产权第000035469</v>
      </c>
      <c r="C8" s="3596">
        <f>面积清单!G89</f>
        <v>920.18999999999983</v>
      </c>
      <c r="D8" s="3595">
        <f>面积清单!G66</f>
        <v>314.17999999999995</v>
      </c>
      <c r="E8" s="3595">
        <f>面积清单!G78</f>
        <v>300.45</v>
      </c>
      <c r="F8" s="3595">
        <f>面积清单!G84</f>
        <v>214.06</v>
      </c>
      <c r="G8" s="3595">
        <f>面积清单!G88</f>
        <v>91.5</v>
      </c>
      <c r="H8" s="3595"/>
      <c r="I8" s="3595"/>
      <c r="J8" s="3595"/>
    </row>
    <row r="9" spans="2:11">
      <c r="B9" s="3595" t="str">
        <f>面积清单!A91</f>
        <v>渝（2018）南岸区不动产权第000035500号</v>
      </c>
      <c r="C9" s="3596">
        <f>面积清单!F94</f>
        <v>531.17999999999995</v>
      </c>
      <c r="D9" s="3595"/>
      <c r="E9" s="3595">
        <f>面积清单!F91</f>
        <v>177.05999999999997</v>
      </c>
      <c r="F9" s="3595">
        <f>面积清单!F92</f>
        <v>177.05999999999997</v>
      </c>
      <c r="G9" s="3595">
        <f>面积清单!F93</f>
        <v>177.05999999999997</v>
      </c>
      <c r="H9" s="3595"/>
      <c r="I9" s="3595"/>
      <c r="J9" s="3595"/>
    </row>
    <row r="10" spans="2:11">
      <c r="B10" s="3596" t="s">
        <v>3270</v>
      </c>
      <c r="C10" s="3596">
        <f>SUM(C4:C9)</f>
        <v>19251.75</v>
      </c>
      <c r="D10" s="3596">
        <f t="shared" ref="D10:J10" si="0">SUM(D4:D9)</f>
        <v>314.17999999999995</v>
      </c>
      <c r="E10" s="3596">
        <f t="shared" si="0"/>
        <v>2085.8500000000004</v>
      </c>
      <c r="F10" s="3596">
        <f t="shared" si="0"/>
        <v>3418.6</v>
      </c>
      <c r="G10" s="3596">
        <f t="shared" si="0"/>
        <v>2686.54</v>
      </c>
      <c r="H10" s="3596">
        <f t="shared" si="0"/>
        <v>3779.78</v>
      </c>
      <c r="I10" s="3596">
        <f t="shared" si="0"/>
        <v>2534.54</v>
      </c>
      <c r="J10" s="3596">
        <f t="shared" si="0"/>
        <v>4432.26</v>
      </c>
    </row>
    <row r="11" spans="2:11">
      <c r="B11" s="3596" t="s">
        <v>3272</v>
      </c>
      <c r="C11" s="3597">
        <f>SUM(D11:J11)</f>
        <v>1</v>
      </c>
      <c r="D11" s="3597">
        <f>ROUND(典型户型修正!S30/典型户型修正!$S$22,4)</f>
        <v>1.6199999999999999E-2</v>
      </c>
      <c r="E11" s="3597">
        <f>ROUND(典型户型修正!S24/典型户型修正!$S$22,4)</f>
        <v>0.17899999999999999</v>
      </c>
      <c r="F11" s="3597">
        <f>ROUND(典型户型修正!S25/典型户型修正!$S$22,4)</f>
        <v>0.2054</v>
      </c>
      <c r="G11" s="3597">
        <f>ROUND(典型户型修正!S26/典型户型修正!$S$22,4)</f>
        <v>0.13830000000000001</v>
      </c>
      <c r="H11" s="3597">
        <f>ROUND(典型户型修正!S27/典型户型修正!$S$22,4)</f>
        <v>0.16220000000000001</v>
      </c>
      <c r="I11" s="3597">
        <f>ROUND(典型户型修正!S28/典型户型修正!$S$22,4)</f>
        <v>0.1087</v>
      </c>
      <c r="J11" s="3597">
        <f>ROUND(典型户型修正!S29/典型户型修正!$S$22,4)</f>
        <v>0.19020000000000001</v>
      </c>
      <c r="K11" s="3246" t="s">
        <v>3275</v>
      </c>
    </row>
    <row r="12" spans="2:11">
      <c r="B12" s="3596" t="s">
        <v>3273</v>
      </c>
      <c r="C12" s="3598">
        <f ca="1">SUM(D12:J12)</f>
        <v>28866</v>
      </c>
      <c r="D12" s="3596">
        <f ca="1">ROUND(结果表!$G$19*分证价值!D11,0)</f>
        <v>468</v>
      </c>
      <c r="E12" s="3596">
        <f ca="1">ROUND(结果表!$G$19*分证价值!E11,0)</f>
        <v>5167</v>
      </c>
      <c r="F12" s="3596">
        <f ca="1">ROUND(结果表!$G$19*分证价值!F11,0)</f>
        <v>5929</v>
      </c>
      <c r="G12" s="3596">
        <f ca="1">ROUND(结果表!$G$19*分证价值!G11,0)</f>
        <v>3992</v>
      </c>
      <c r="H12" s="3596">
        <f ca="1">ROUND(结果表!$G$19*分证价值!H11,0)</f>
        <v>4682</v>
      </c>
      <c r="I12" s="3596">
        <f ca="1">ROUND(结果表!$G$19*分证价值!I11,0)</f>
        <v>3138</v>
      </c>
      <c r="J12" s="3596">
        <f ca="1">ROUND(结果表!$G$19*分证价值!J11,0)</f>
        <v>5490</v>
      </c>
      <c r="K12" s="3246">
        <f ca="1">ROUND(C12/C10*10000,0)</f>
        <v>14994</v>
      </c>
    </row>
    <row r="13" spans="2:11">
      <c r="B13" s="3595" t="str">
        <f>B4</f>
        <v>渝（2019）南岸区不动产权第000484904号</v>
      </c>
      <c r="C13" s="3598">
        <f ca="1">SUM(D13:J13)</f>
        <v>19313</v>
      </c>
      <c r="D13" s="3595">
        <f ca="1">ROUND(D4/$D$10*$D$12,0)</f>
        <v>0</v>
      </c>
      <c r="E13" s="3595">
        <f ca="1">ROUND(E4/$E$10*$E$12,0)</f>
        <v>0</v>
      </c>
      <c r="F13" s="3595">
        <f ca="1">ROUND(F4/$F$10*$F$12,0)</f>
        <v>4312</v>
      </c>
      <c r="G13" s="3595">
        <f ca="1">ROUND(G4/$G$10*$G$12,0)</f>
        <v>3001</v>
      </c>
      <c r="H13" s="3595">
        <f ca="1">ROUND(H4/$H$10*$H$12,0)</f>
        <v>4682</v>
      </c>
      <c r="I13" s="3595">
        <f ca="1">ROUND(I4/$I$10*$I$12,0)</f>
        <v>2483</v>
      </c>
      <c r="J13" s="3595">
        <f ca="1">ROUND(J4/$J$10*$J$12,0)</f>
        <v>4835</v>
      </c>
      <c r="K13" s="3246">
        <f ca="1">ROUND(C13/C4*10000,0)</f>
        <v>13606</v>
      </c>
    </row>
    <row r="14" spans="2:11">
      <c r="B14" s="3595" t="str">
        <f t="shared" ref="B14:B18" si="1">B5</f>
        <v>渝（2019）南岸区不动产权第000217687号</v>
      </c>
      <c r="C14" s="3598">
        <f t="shared" ref="C14:C18" ca="1" si="2">SUM(D14:J14)</f>
        <v>3681</v>
      </c>
      <c r="D14" s="3595">
        <f t="shared" ref="D14:D17" ca="1" si="3">ROUND(D5/$D$10*$D$12,0)</f>
        <v>0</v>
      </c>
      <c r="E14" s="3595">
        <f t="shared" ref="E14:E17" ca="1" si="4">ROUND(E5/$E$10*$E$12,0)</f>
        <v>2371</v>
      </c>
      <c r="F14" s="3595">
        <f t="shared" ref="F14:F17" ca="1" si="5">ROUND(F5/$F$10*$F$12,0)</f>
        <v>0</v>
      </c>
      <c r="G14" s="3595">
        <f t="shared" ref="G14:G17" ca="1" si="6">ROUND(G5/$G$10*$G$12,0)</f>
        <v>0</v>
      </c>
      <c r="H14" s="3595">
        <f t="shared" ref="H14:H17" ca="1" si="7">ROUND(H5/$H$10*$H$12,0)</f>
        <v>0</v>
      </c>
      <c r="I14" s="3595">
        <f t="shared" ref="I14:I17" ca="1" si="8">ROUND(I5/$I$10*$I$12,0)</f>
        <v>655</v>
      </c>
      <c r="J14" s="3595">
        <f t="shared" ref="J14:J17" ca="1" si="9">ROUND(J5/$J$10*$J$12,0)</f>
        <v>655</v>
      </c>
      <c r="K14" s="3246">
        <f t="shared" ref="K14:K18" ca="1" si="10">ROUND(C14/C5*10000,0)</f>
        <v>18266</v>
      </c>
    </row>
    <row r="15" spans="2:11">
      <c r="B15" s="3595" t="str">
        <f t="shared" si="1"/>
        <v>渝（2018）南岸区不动产权第000035435</v>
      </c>
      <c r="C15" s="3598">
        <f t="shared" ca="1" si="2"/>
        <v>1772</v>
      </c>
      <c r="D15" s="3595">
        <f t="shared" ca="1" si="3"/>
        <v>0</v>
      </c>
      <c r="E15" s="3595">
        <f t="shared" ca="1" si="4"/>
        <v>898</v>
      </c>
      <c r="F15" s="3595">
        <f t="shared" ca="1" si="5"/>
        <v>582</v>
      </c>
      <c r="G15" s="3595">
        <f t="shared" ca="1" si="6"/>
        <v>292</v>
      </c>
      <c r="H15" s="3595">
        <f t="shared" ca="1" si="7"/>
        <v>0</v>
      </c>
      <c r="I15" s="3595">
        <f t="shared" ca="1" si="8"/>
        <v>0</v>
      </c>
      <c r="J15" s="3595">
        <f t="shared" ca="1" si="9"/>
        <v>0</v>
      </c>
      <c r="K15" s="3246">
        <f t="shared" ca="1" si="10"/>
        <v>19818</v>
      </c>
    </row>
    <row r="16" spans="2:11">
      <c r="B16" s="3595" t="str">
        <f t="shared" si="1"/>
        <v>渝（2018）南岸区不动产权第000035455</v>
      </c>
      <c r="C16" s="3598">
        <f t="shared" ca="1" si="2"/>
        <v>1373</v>
      </c>
      <c r="D16" s="3595">
        <f t="shared" ca="1" si="3"/>
        <v>0</v>
      </c>
      <c r="E16" s="3595">
        <f t="shared" ca="1" si="4"/>
        <v>716</v>
      </c>
      <c r="F16" s="3595">
        <f t="shared" ca="1" si="5"/>
        <v>357</v>
      </c>
      <c r="G16" s="3595">
        <f t="shared" ca="1" si="6"/>
        <v>300</v>
      </c>
      <c r="H16" s="3595">
        <f t="shared" ca="1" si="7"/>
        <v>0</v>
      </c>
      <c r="I16" s="3595">
        <f t="shared" ca="1" si="8"/>
        <v>0</v>
      </c>
      <c r="J16" s="3595">
        <f t="shared" ca="1" si="9"/>
        <v>0</v>
      </c>
      <c r="K16" s="3246">
        <f t="shared" ca="1" si="10"/>
        <v>19711</v>
      </c>
    </row>
    <row r="17" spans="2:11">
      <c r="B17" s="3595" t="str">
        <f t="shared" si="1"/>
        <v>渝（2018）南岸区不动产权第000035469</v>
      </c>
      <c r="C17" s="3598">
        <f t="shared" ca="1" si="2"/>
        <v>1719</v>
      </c>
      <c r="D17" s="3595">
        <f t="shared" ca="1" si="3"/>
        <v>468</v>
      </c>
      <c r="E17" s="3595">
        <f t="shared" ca="1" si="4"/>
        <v>744</v>
      </c>
      <c r="F17" s="3595">
        <f t="shared" ca="1" si="5"/>
        <v>371</v>
      </c>
      <c r="G17" s="3595">
        <f t="shared" ca="1" si="6"/>
        <v>136</v>
      </c>
      <c r="H17" s="3595">
        <f t="shared" ca="1" si="7"/>
        <v>0</v>
      </c>
      <c r="I17" s="3595">
        <f t="shared" ca="1" si="8"/>
        <v>0</v>
      </c>
      <c r="J17" s="3595">
        <f t="shared" ca="1" si="9"/>
        <v>0</v>
      </c>
      <c r="K17" s="3246">
        <f t="shared" ca="1" si="10"/>
        <v>18681</v>
      </c>
    </row>
    <row r="18" spans="2:11">
      <c r="B18" s="3595" t="str">
        <f t="shared" si="1"/>
        <v>渝（2018）南岸区不动产权第000035500号</v>
      </c>
      <c r="C18" s="3598">
        <f t="shared" ca="1" si="2"/>
        <v>1008</v>
      </c>
      <c r="D18" s="3595">
        <f ca="1">D12-SUM(D13:D17)</f>
        <v>0</v>
      </c>
      <c r="E18" s="3595">
        <f ca="1">E12-SUM(E13:E17)</f>
        <v>438</v>
      </c>
      <c r="F18" s="3595">
        <f t="shared" ref="F18:J18" ca="1" si="11">F12-SUM(F13:F17)</f>
        <v>307</v>
      </c>
      <c r="G18" s="3595">
        <f t="shared" ca="1" si="11"/>
        <v>263</v>
      </c>
      <c r="H18" s="3595">
        <f t="shared" ca="1" si="11"/>
        <v>0</v>
      </c>
      <c r="I18" s="3595">
        <f t="shared" ca="1" si="11"/>
        <v>0</v>
      </c>
      <c r="J18" s="3595">
        <f t="shared" ca="1" si="11"/>
        <v>0</v>
      </c>
      <c r="K18" s="3246">
        <f t="shared" ca="1" si="10"/>
        <v>18977</v>
      </c>
    </row>
    <row r="19" spans="2:11">
      <c r="B19" s="3596" t="s">
        <v>3276</v>
      </c>
      <c r="C19" s="3596"/>
      <c r="D19" s="3596">
        <f ca="1">SUM(D13:D18)</f>
        <v>468</v>
      </c>
      <c r="E19" s="3596">
        <f t="shared" ref="E19:J19" ca="1" si="12">SUM(E13:E18)</f>
        <v>5167</v>
      </c>
      <c r="F19" s="3596">
        <f t="shared" ca="1" si="12"/>
        <v>5929</v>
      </c>
      <c r="G19" s="3596">
        <f t="shared" ca="1" si="12"/>
        <v>3992</v>
      </c>
      <c r="H19" s="3596">
        <f t="shared" ca="1" si="12"/>
        <v>4682</v>
      </c>
      <c r="I19" s="3596">
        <f t="shared" ca="1" si="12"/>
        <v>3138</v>
      </c>
      <c r="J19" s="3596">
        <f t="shared" ca="1" si="12"/>
        <v>5490</v>
      </c>
    </row>
  </sheetData>
  <mergeCells count="1">
    <mergeCell ref="C2:J2"/>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1365</v>
      </c>
      <c r="B2" s="3268" t="s">
        <v>1366</v>
      </c>
      <c r="C2" s="3268" t="s">
        <v>1367</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2"/>
      <c r="B3" s="3262"/>
      <c r="C3" s="3262"/>
      <c r="D3" s="944" t="s">
        <v>1362</v>
      </c>
      <c r="E3" s="944" t="s">
        <v>1368</v>
      </c>
      <c r="F3" s="944" t="s">
        <v>1362</v>
      </c>
      <c r="G3" s="944" t="s">
        <v>1363</v>
      </c>
      <c r="H3" s="944" t="s">
        <v>1362</v>
      </c>
      <c r="I3" s="944" t="s">
        <v>1363</v>
      </c>
    </row>
    <row r="4" spans="1:9" ht="15">
      <c r="A4" s="1641" t="str">
        <f>项目基本情况!S2</f>
        <v>房地产</v>
      </c>
      <c r="B4" s="944">
        <f>项目基本情况!C17</f>
        <v>19251.75</v>
      </c>
      <c r="C4" s="944">
        <f>项目基本情况!C18</f>
        <v>0</v>
      </c>
      <c r="D4" s="944" t="e">
        <f ca="1">结果表!D118</f>
        <v>#REF!</v>
      </c>
      <c r="E4" s="944" t="e">
        <f ca="1">结果表!E118</f>
        <v>#REF!</v>
      </c>
      <c r="F4" s="944" t="e">
        <f ca="1">结果表!F118</f>
        <v>#REF!</v>
      </c>
      <c r="G4" s="944" t="e">
        <f ca="1">结果表!G118</f>
        <v>#REF!</v>
      </c>
      <c r="H4" s="944">
        <f ca="1">结果表!H118</f>
        <v>28866</v>
      </c>
      <c r="I4" s="944">
        <f ca="1">结果表!I118</f>
        <v>14994</v>
      </c>
    </row>
    <row r="5" spans="1:9" ht="30" customHeight="1">
      <c r="A5" s="3262" t="s">
        <v>1364</v>
      </c>
      <c r="B5" s="3262"/>
      <c r="C5" s="3262"/>
      <c r="D5" s="3263" t="e">
        <f ca="1">结果表!D119</f>
        <v>#REF!</v>
      </c>
      <c r="E5" s="3263"/>
      <c r="F5" s="3263" t="e">
        <f ca="1">结果表!F119</f>
        <v>#REF!</v>
      </c>
      <c r="G5" s="3263"/>
      <c r="H5" s="3263" t="str">
        <f ca="1">结果表!H119</f>
        <v>贰亿捌仟捌佰陆拾陆万元整</v>
      </c>
      <c r="I5" s="3263"/>
    </row>
    <row r="6" spans="1:9" ht="15.75">
      <c r="A6" s="3261" t="str">
        <f>结果表!A120</f>
        <v>估价师知悉的法定优先受偿款</v>
      </c>
      <c r="B6" s="3261"/>
      <c r="C6" s="3261"/>
      <c r="D6" s="3261">
        <f>结果表!D120</f>
        <v>0</v>
      </c>
      <c r="E6" s="3261"/>
      <c r="F6" s="3261"/>
      <c r="G6" s="3261"/>
      <c r="H6" s="3261"/>
      <c r="I6" s="3261"/>
    </row>
    <row r="7" spans="1:9" ht="15">
      <c r="A7" s="3262" t="s">
        <v>1364</v>
      </c>
      <c r="B7" s="3262"/>
      <c r="C7" s="3262"/>
      <c r="D7" s="3264" t="str">
        <f>结果表!D121</f>
        <v>零元整</v>
      </c>
      <c r="E7" s="3265"/>
      <c r="F7" s="3265"/>
      <c r="G7" s="3265"/>
      <c r="H7" s="3265"/>
      <c r="I7" s="3266"/>
    </row>
    <row r="8" spans="1:9" ht="15.75">
      <c r="A8" s="3261" t="str">
        <f>结果表!A122</f>
        <v>房地产抵押价值</v>
      </c>
      <c r="B8" s="3261"/>
      <c r="C8" s="3261"/>
      <c r="D8" s="3261">
        <f ca="1">结果表!D122</f>
        <v>28866</v>
      </c>
      <c r="E8" s="3261"/>
      <c r="F8" s="3261"/>
      <c r="G8" s="3261"/>
      <c r="H8" s="3261"/>
      <c r="I8" s="3261"/>
    </row>
    <row r="9" spans="1:9" ht="15">
      <c r="A9" s="3262" t="s">
        <v>1364</v>
      </c>
      <c r="B9" s="3262"/>
      <c r="C9" s="3262"/>
      <c r="D9" s="3263" t="str">
        <f ca="1">结果表!D123</f>
        <v>贰亿捌仟捌佰陆拾陆万元整</v>
      </c>
      <c r="E9" s="3263"/>
      <c r="F9" s="3263"/>
      <c r="G9" s="3263"/>
      <c r="H9" s="3263"/>
      <c r="I9" s="3263"/>
    </row>
    <row r="10" spans="1:9" ht="15.75">
      <c r="A10" s="3261" t="str">
        <f>结果表!A124</f>
        <v/>
      </c>
      <c r="B10" s="3261"/>
      <c r="C10" s="3261"/>
      <c r="D10" s="3261" t="str">
        <f>结果表!D124</f>
        <v>——</v>
      </c>
      <c r="E10" s="3261"/>
      <c r="F10" s="3261"/>
      <c r="G10" s="3261"/>
      <c r="H10" s="3261"/>
      <c r="I10" s="3261"/>
    </row>
    <row r="11" spans="1:9" ht="15">
      <c r="A11" s="3262" t="s">
        <v>1364</v>
      </c>
      <c r="B11" s="3262"/>
      <c r="C11" s="3262"/>
      <c r="D11" s="3263" t="e">
        <f>结果表!D125</f>
        <v>#VALUE!</v>
      </c>
      <c r="E11" s="3263"/>
      <c r="F11" s="3263"/>
      <c r="G11" s="3263"/>
      <c r="H11" s="3263"/>
      <c r="I11" s="3263"/>
    </row>
    <row r="12" spans="1:9" ht="15.75">
      <c r="A12" s="3261" t="str">
        <f>结果表!A126</f>
        <v/>
      </c>
      <c r="B12" s="3261"/>
      <c r="C12" s="3261"/>
      <c r="D12" s="3261" t="str">
        <f>结果表!D126</f>
        <v>——</v>
      </c>
      <c r="E12" s="3261"/>
      <c r="F12" s="3261"/>
      <c r="G12" s="3261"/>
      <c r="H12" s="3261"/>
      <c r="I12" s="3261"/>
    </row>
    <row r="13" spans="1:9" ht="15.75" thickBot="1">
      <c r="A13" s="3258" t="s">
        <v>1364</v>
      </c>
      <c r="B13" s="3258"/>
      <c r="C13" s="3258"/>
      <c r="D13" s="3259" t="e">
        <f>结果表!D127</f>
        <v>#VALUE!</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5" t="s">
        <v>1386</v>
      </c>
      <c r="B1" s="3275"/>
      <c r="C1" s="3275"/>
      <c r="D1" s="3275"/>
    </row>
    <row r="2" spans="1:4" ht="18">
      <c r="A2" s="3276" t="s">
        <v>1370</v>
      </c>
      <c r="B2" s="3276"/>
      <c r="C2" s="3276"/>
      <c r="D2" s="327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6" t="s">
        <v>1376</v>
      </c>
      <c r="B6" s="3276"/>
      <c r="C6" s="3276"/>
      <c r="D6" s="327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7"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69" t="str">
        <f>IF(项目基本情况!B8="抵押","4.本次评估估价师所知悉的法定优先受偿款情况说明如下：","——")</f>
        <v>4.本次评估估价师所知悉的法定优先受偿款情况说明如下：</v>
      </c>
      <c r="B14" s="3274"/>
      <c r="C14" s="3274"/>
      <c r="D14" s="3274"/>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1" t="s">
        <v>1380</v>
      </c>
      <c r="B16" s="3271"/>
      <c r="C16" s="3271"/>
      <c r="D16" s="3271"/>
    </row>
    <row r="17" spans="1:4" ht="144" customHeight="1">
      <c r="A17" s="3271" t="s">
        <v>1381</v>
      </c>
      <c r="B17" s="3271"/>
      <c r="C17" s="3271"/>
      <c r="D17" s="3271"/>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1382</v>
      </c>
      <c r="B22" s="3273"/>
      <c r="C22" s="3273"/>
      <c r="D22" s="327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3" t="s">
        <v>1393</v>
      </c>
      <c r="B15" s="3278" t="s">
        <v>136</v>
      </c>
      <c r="C15" s="3279"/>
    </row>
    <row r="16" spans="1:7" ht="13.5">
      <c r="A16" s="3284"/>
      <c r="B16" s="3278" t="s">
        <v>69</v>
      </c>
      <c r="C16" s="3279"/>
    </row>
    <row r="17" spans="1:3" ht="13.5">
      <c r="A17" s="3284"/>
      <c r="B17" s="3281" t="s">
        <v>1394</v>
      </c>
      <c r="C17" s="1668" t="s">
        <v>1393</v>
      </c>
    </row>
    <row r="18" spans="1:3" ht="13.5">
      <c r="A18" s="3284"/>
      <c r="B18" s="3281"/>
      <c r="C18" s="1668" t="s">
        <v>1395</v>
      </c>
    </row>
    <row r="19" spans="1:3" ht="13.5">
      <c r="A19" s="3284"/>
      <c r="B19" s="3281"/>
      <c r="C19" s="1668" t="s">
        <v>1396</v>
      </c>
    </row>
    <row r="20" spans="1:3" ht="13.5">
      <c r="A20" s="3285"/>
      <c r="B20" s="3280" t="s">
        <v>1397</v>
      </c>
      <c r="C20" s="3279"/>
    </row>
    <row r="21" spans="1:3" ht="13.5">
      <c r="A21" s="1669" t="s">
        <v>1398</v>
      </c>
      <c r="B21" s="1670"/>
      <c r="C21" s="1671"/>
    </row>
    <row r="22" spans="1:3" ht="13.5">
      <c r="A22" s="3282" t="s">
        <v>1399</v>
      </c>
      <c r="B22" s="3280" t="s">
        <v>1400</v>
      </c>
      <c r="C22" s="3279"/>
    </row>
    <row r="23" spans="1:3" ht="13.5">
      <c r="A23" s="3282"/>
      <c r="B23" s="3280" t="s">
        <v>1401</v>
      </c>
      <c r="C23" s="3279"/>
    </row>
    <row r="24" spans="1:3" ht="13.5">
      <c r="A24" s="3282"/>
      <c r="B24" s="3280" t="s">
        <v>1402</v>
      </c>
      <c r="C24" s="3279"/>
    </row>
    <row r="25" spans="1:3" ht="13.5">
      <c r="A25" s="3282"/>
      <c r="B25" s="3281" t="s">
        <v>1403</v>
      </c>
      <c r="C25" s="1668" t="s">
        <v>1404</v>
      </c>
    </row>
    <row r="26" spans="1:3" ht="13.5">
      <c r="A26" s="3282"/>
      <c r="B26" s="3281"/>
      <c r="C26" s="1668" t="s">
        <v>1405</v>
      </c>
    </row>
    <row r="27" spans="1:3" ht="13.5">
      <c r="A27" s="3282"/>
      <c r="B27" s="3281"/>
      <c r="C27" s="1668" t="s">
        <v>1406</v>
      </c>
    </row>
    <row r="28" spans="1:3" ht="13.5">
      <c r="A28" s="3282"/>
      <c r="B28" s="3281"/>
      <c r="C28" s="1668" t="s">
        <v>1407</v>
      </c>
    </row>
    <row r="29" spans="1:3" ht="13.5">
      <c r="A29" s="3282"/>
      <c r="B29" s="3281"/>
      <c r="C29" s="1668" t="s">
        <v>1408</v>
      </c>
    </row>
    <row r="30" spans="1:3" ht="13.5">
      <c r="A30" s="3282"/>
      <c r="B30" s="3281"/>
      <c r="C30" s="1668" t="s">
        <v>1409</v>
      </c>
    </row>
    <row r="31" spans="1:3" ht="13.5">
      <c r="A31" s="3282"/>
      <c r="B31" s="3281"/>
      <c r="C31" s="1668" t="s">
        <v>1410</v>
      </c>
    </row>
    <row r="32" spans="1:3" ht="13.5">
      <c r="A32" s="3282"/>
      <c r="B32" s="3281"/>
      <c r="C32" s="1668" t="s">
        <v>1411</v>
      </c>
    </row>
    <row r="33" spans="1:3" ht="13.5">
      <c r="A33" s="3282"/>
      <c r="B33" s="328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44727</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6" t="s">
        <v>2660</v>
      </c>
      <c r="B17" s="3286"/>
      <c r="C17" s="3286"/>
      <c r="D17" s="3286"/>
      <c r="E17" s="3286"/>
      <c r="F17" s="3286"/>
      <c r="G17" s="3286"/>
      <c r="H17" s="3286"/>
    </row>
    <row r="18" spans="1:8" ht="24" customHeight="1">
      <c r="A18" s="3287" t="s">
        <v>2661</v>
      </c>
      <c r="B18" s="3287"/>
      <c r="C18" s="3287"/>
      <c r="D18" s="2517"/>
      <c r="E18" s="3288" t="s">
        <v>2662</v>
      </c>
      <c r="F18" s="3287"/>
      <c r="G18" s="328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面积清单</vt:lpstr>
      <vt:lpstr>商业案例</vt:lpstr>
      <vt:lpstr>分证价值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2022-06-15T01:44:59Z</dcterms:modified>
</cp:coreProperties>
</file>