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信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 name="租金案例" sheetId="81" r:id="rId47"/>
    <sheet name="土地案例" sheetId="82"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7" hidden="1">土地案例!$A$1:$V$51</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74" l="1"/>
  <c r="W37" i="82" l="1"/>
  <c r="W51" i="82"/>
  <c r="W50" i="82"/>
  <c r="W48" i="82"/>
  <c r="W47" i="82"/>
  <c r="W45" i="82"/>
  <c r="W44" i="82"/>
  <c r="W43" i="82"/>
  <c r="W42" i="82"/>
  <c r="W41" i="82"/>
  <c r="W40" i="82"/>
  <c r="W39" i="82"/>
  <c r="W38" i="82"/>
  <c r="W36" i="82"/>
  <c r="W34" i="82"/>
  <c r="W33" i="82"/>
  <c r="W32" i="82"/>
  <c r="W31" i="82"/>
  <c r="W30" i="82"/>
  <c r="W29" i="82"/>
  <c r="W28" i="82"/>
  <c r="W26" i="82"/>
  <c r="W25" i="82"/>
  <c r="W24" i="82"/>
  <c r="W22" i="82"/>
  <c r="W19" i="82"/>
  <c r="W17" i="82"/>
  <c r="W16" i="82"/>
  <c r="W13" i="82"/>
  <c r="W11" i="82"/>
  <c r="W3" i="82"/>
  <c r="AA11" i="82"/>
  <c r="V3" i="82"/>
  <c r="V19" i="82"/>
  <c r="V35" i="82"/>
  <c r="V4" i="82"/>
  <c r="V5" i="82"/>
  <c r="V6" i="82"/>
  <c r="V7" i="82"/>
  <c r="V8" i="82"/>
  <c r="V9" i="82"/>
  <c r="V10" i="82"/>
  <c r="V11" i="82"/>
  <c r="V12" i="82"/>
  <c r="V13" i="82"/>
  <c r="V14" i="82"/>
  <c r="V15" i="82"/>
  <c r="V16" i="82"/>
  <c r="V17" i="82"/>
  <c r="V18" i="82"/>
  <c r="V20" i="82"/>
  <c r="V21" i="82"/>
  <c r="V22" i="82"/>
  <c r="V23" i="82"/>
  <c r="V24" i="82"/>
  <c r="V25" i="82"/>
  <c r="V26" i="82"/>
  <c r="V27" i="82"/>
  <c r="V28" i="82"/>
  <c r="V29" i="82"/>
  <c r="V30" i="82"/>
  <c r="V31" i="82"/>
  <c r="V32" i="82"/>
  <c r="V33" i="82"/>
  <c r="V34" i="82"/>
  <c r="V36" i="82"/>
  <c r="V37" i="82"/>
  <c r="V38" i="82"/>
  <c r="V39" i="82"/>
  <c r="V40" i="82"/>
  <c r="V41" i="82"/>
  <c r="V42" i="82"/>
  <c r="V43" i="82"/>
  <c r="V44" i="82"/>
  <c r="V45" i="82"/>
  <c r="V46" i="82"/>
  <c r="V47" i="82"/>
  <c r="V48" i="82"/>
  <c r="V49" i="82"/>
  <c r="V50" i="82"/>
  <c r="V51" i="82"/>
  <c r="V2" i="82"/>
  <c r="C6" i="68" l="1"/>
  <c r="D33" i="43"/>
  <c r="J49" i="15"/>
  <c r="Y6" i="1"/>
  <c r="I4" i="80"/>
  <c r="N6" i="1"/>
  <c r="G19" i="6"/>
  <c r="F19" i="6"/>
  <c r="E11" i="80" l="1"/>
  <c r="E9" i="80"/>
  <c r="E8" i="80"/>
  <c r="E7" i="80"/>
  <c r="E6" i="80"/>
  <c r="C6" i="80"/>
  <c r="B6" i="80"/>
  <c r="B5" i="80"/>
  <c r="C2" i="80"/>
  <c r="I13" i="3"/>
  <c r="N5" i="80"/>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9" i="79"/>
  <c r="AK19" i="79" s="1"/>
  <c r="AH19" i="79"/>
  <c r="W16" i="79"/>
  <c r="AK16" i="79" s="1"/>
  <c r="AH16" i="79"/>
  <c r="W50" i="79"/>
  <c r="AK50" i="79" s="1"/>
  <c r="AH50" i="79"/>
  <c r="W51" i="79"/>
  <c r="AK51" i="79" s="1"/>
  <c r="AH51" i="79"/>
  <c r="W41" i="79"/>
  <c r="AK41" i="79" s="1"/>
  <c r="AH41" i="79"/>
  <c r="W44" i="79"/>
  <c r="AK44" i="79" s="1"/>
  <c r="AH44" i="79"/>
  <c r="W46" i="79"/>
  <c r="AK46" i="79" s="1"/>
  <c r="AH46" i="79"/>
  <c r="W14" i="79"/>
  <c r="AK14" i="79" s="1"/>
  <c r="AH14"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9" i="15"/>
  <c r="D35" i="9"/>
  <c r="B8" i="76"/>
  <c r="B12" i="76"/>
  <c r="L48" i="15"/>
  <c r="J15" i="15"/>
  <c r="F8" i="67"/>
  <c r="M8" i="67"/>
  <c r="D34" i="9"/>
  <c r="F7" i="15"/>
  <c r="F13" i="67"/>
  <c r="E9" i="76"/>
  <c r="M8" i="15"/>
  <c r="E2" i="69"/>
  <c r="C76" i="15"/>
  <c r="L47" i="15"/>
  <c r="M29" i="15"/>
  <c r="F6" i="73"/>
  <c r="M24" i="15"/>
  <c r="E10" i="76"/>
  <c r="M6" i="15"/>
  <c r="F8" i="15"/>
  <c r="L47" i="67"/>
  <c r="M24" i="67"/>
  <c r="L48" i="67"/>
  <c r="F43" i="67"/>
  <c r="M23" i="67"/>
  <c r="F7" i="73"/>
  <c r="M26" i="67"/>
  <c r="E11" i="76"/>
  <c r="M22" i="67"/>
  <c r="F40" i="67"/>
  <c r="F43" i="15"/>
  <c r="F36" i="67"/>
  <c r="F26" i="15"/>
  <c r="B13" i="76"/>
  <c r="F6" i="15"/>
  <c r="J15" i="67"/>
  <c r="F5" i="73"/>
  <c r="F16" i="15"/>
  <c r="F6" i="67"/>
  <c r="M29" i="67"/>
  <c r="F3" i="73"/>
  <c r="F13" i="15"/>
  <c r="F38" i="15"/>
  <c r="AO13" i="1"/>
  <c r="M6" i="67"/>
  <c r="B11" i="76"/>
  <c r="E8" i="76"/>
  <c r="C76" i="67"/>
  <c r="E7" i="76"/>
  <c r="F36" i="15"/>
  <c r="M9" i="15"/>
  <c r="E13" i="76"/>
  <c r="E2" i="68"/>
  <c r="F38" i="67"/>
  <c r="F4" i="73"/>
  <c r="M28" i="67"/>
  <c r="M26" i="15"/>
  <c r="F37" i="67"/>
  <c r="E12" i="76"/>
  <c r="B7" i="76"/>
  <c r="B9" i="76"/>
  <c r="M28" i="15"/>
  <c r="F40" i="15"/>
  <c r="F7" i="67"/>
  <c r="F20" i="31"/>
  <c r="F26" i="67"/>
  <c r="F42" i="15"/>
  <c r="F42" i="67"/>
  <c r="M9" i="67"/>
  <c r="F16" i="67"/>
  <c r="F37" i="15"/>
  <c r="F9" i="67"/>
  <c r="M22" i="15"/>
  <c r="D6" i="73"/>
  <c r="M23" i="15"/>
  <c r="B10" i="76"/>
  <c r="C21" i="68" l="1"/>
  <c r="AZ14"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5" i="73"/>
  <c r="D3" i="73"/>
  <c r="C16" i="15"/>
  <c r="C16" i="67"/>
  <c r="D7" i="73"/>
  <c r="N94" i="46" l="1"/>
  <c r="G16" i="1"/>
  <c r="F10" i="39" s="1"/>
  <c r="P6" i="1"/>
  <c r="C13" i="12" s="1"/>
  <c r="K16" i="1"/>
  <c r="J26" i="43"/>
  <c r="F26" i="43"/>
  <c r="G26" i="43"/>
  <c r="E26" i="43"/>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41" i="67"/>
  <c r="AE6" i="1"/>
  <c r="AC7" i="37" l="1"/>
  <c r="H6" i="3"/>
  <c r="D26" i="43"/>
  <c r="C25" i="43" s="1"/>
  <c r="AC6" i="3"/>
  <c r="E3" i="6"/>
  <c r="D14" i="12"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22" i="68" l="1"/>
  <c r="F41" i="68" s="1"/>
  <c r="F25" i="12"/>
  <c r="C26" i="12" s="1"/>
  <c r="D25" i="12" s="1"/>
  <c r="C17" i="4"/>
  <c r="B4" i="52" s="1"/>
  <c r="B43" i="72" s="1"/>
  <c r="M18" i="9"/>
  <c r="B118" i="9" s="1"/>
  <c r="B1" i="74" s="1"/>
  <c r="D3" i="21"/>
  <c r="D3" i="33"/>
  <c r="D3" i="34"/>
  <c r="E6" i="6"/>
  <c r="L18" i="9"/>
  <c r="E6" i="3"/>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26" i="68" l="1"/>
  <c r="D22" i="68" s="1"/>
  <c r="C44" i="68"/>
  <c r="D41" i="68" s="1"/>
  <c r="C44" i="11"/>
  <c r="D41" i="11"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7"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0" i="1"/>
  <c r="AO9"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5" i="74"/>
  <c r="N58" i="9"/>
  <c r="P57" i="9"/>
  <c r="B31" i="72"/>
  <c r="H5" i="52"/>
  <c r="L66" i="9"/>
  <c r="M66" i="9"/>
  <c r="B20" i="72"/>
  <c r="D54" i="9"/>
  <c r="N60" i="9"/>
  <c r="N59" i="9"/>
  <c r="N61" i="9"/>
  <c r="L67" i="9"/>
  <c r="M67" i="9"/>
  <c r="D52" i="9"/>
  <c r="D53" i="9"/>
  <c r="M54" i="9"/>
  <c r="D8" i="52"/>
  <c r="B51" i="72"/>
  <c r="M48" i="9"/>
  <c r="D5" i="53"/>
  <c r="D6" i="53"/>
  <c r="B22" i="72"/>
  <c r="C78" i="9"/>
  <c r="C73" i="9"/>
  <c r="M55" i="9"/>
  <c r="I4" i="52"/>
  <c r="C105" i="9"/>
  <c r="L68" i="9"/>
  <c r="M68" i="9"/>
  <c r="B53" i="72"/>
  <c r="C6" i="74"/>
  <c r="D15" i="53"/>
  <c r="C81" i="9"/>
  <c r="B30" i="72"/>
  <c r="H102" i="9"/>
  <c r="D7" i="53"/>
  <c r="B21" i="72"/>
  <c r="C93" i="9"/>
  <c r="C86" i="9"/>
  <c r="C104" i="9"/>
  <c r="H4" i="52"/>
  <c r="H119" i="9"/>
  <c r="L65" i="9"/>
  <c r="M65" i="9"/>
  <c r="H108" i="9"/>
  <c r="D5" i="52"/>
  <c r="B49" i="72"/>
  <c r="G4" i="52"/>
  <c r="B52" i="72"/>
  <c r="M69" i="9"/>
  <c r="N69" i="9"/>
  <c r="L64" i="9"/>
  <c r="M64" i="9"/>
  <c r="B47" i="72"/>
  <c r="F4" i="52"/>
  <c r="C96" i="9"/>
  <c r="E96" i="9"/>
  <c r="E97" i="9"/>
  <c r="D55" i="9"/>
  <c r="M53" i="9"/>
  <c r="N57" i="9"/>
  <c r="D122" i="9"/>
  <c r="D123" i="9"/>
  <c r="D9" i="52"/>
  <c r="M49" i="9"/>
  <c r="L63" i="9"/>
  <c r="M63" i="9"/>
  <c r="E4" i="52"/>
  <c r="B48" i="72"/>
  <c r="C68" i="9"/>
  <c r="C64" i="9"/>
  <c r="C63" i="9"/>
  <c r="C67" i="9"/>
  <c r="D59" i="9"/>
  <c r="C80" i="9"/>
  <c r="E80" i="9"/>
  <c r="E81" i="9"/>
  <c r="G118" i="9"/>
  <c r="F118" i="9"/>
  <c r="F119" i="9"/>
  <c r="F5" i="52"/>
  <c r="C97" i="9"/>
  <c r="D58" i="9"/>
  <c r="D56" i="9"/>
  <c r="D4" i="52"/>
  <c r="E118" i="9"/>
  <c r="D118" i="9"/>
  <c r="D119" i="9"/>
  <c r="C72" i="9"/>
  <c r="C79" i="9"/>
  <c r="H107" i="9"/>
  <c r="D13" i="53"/>
  <c r="D14" i="53"/>
  <c r="B32" i="72"/>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<sst xmlns="http://schemas.openxmlformats.org/spreadsheetml/2006/main" count="8604" uniqueCount="3754">
  <si>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</si>
  <si>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</si>
  <si>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</si>
  <si>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</si>
  <si>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</si>
  <si>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</si>
  <si>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</si>
  <si>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</si>
  <si>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</si>
  <si>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</si>
  <si>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</si>
  <si>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</si>
  <si>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</si>
  <si>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</si>
  <si>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</si>
  <si>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</si>
  <si>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</si>
  <si>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</si>
  <si>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</si>
  <si>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</si>
  <si>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</si>
  <si>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</si>
  <si>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</si>
  <si>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</si>
  <si>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</si>
  <si>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</si>
  <si>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</si>
  <si>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</si>
  <si>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</si>
  <si>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</si>
  <si>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</si>
  <si>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</si>
  <si>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</si>
  <si>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</si>
  <si>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</si>
  <si>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</si>
  <si>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</si>
  <si>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</si>
  <si>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</si>
  <si>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</si>
  <si>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</si>
  <si>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</si>
  <si>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</si>
  <si>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</si>
  <si>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</si>
  <si>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</si>
  <si>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</si>
  <si>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</si>
  <si>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</si>
  <si>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</si>
  <si>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</si>
  <si>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</si>
  <si>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</si>
  <si>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</si>
  <si>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</si>
  <si>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</si>
  <si>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</si>
  <si>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</si>
  <si>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</si>
  <si>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</si>
  <si>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</si>
  <si>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</si>
  <si>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</si>
  <si>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</si>
  <si>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</si>
  <si>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</si>
  <si>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</si>
  <si>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</si>
  <si>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</si>
  <si>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</si>
  <si>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</si>
  <si>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</si>
  <si>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</si>
  <si>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</si>
  <si>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</si>
  <si>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</si>
  <si>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</si>
  <si>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</si>
  <si>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</si>
  <si>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</si>
  <si>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</si>
  <si>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</si>
  <si>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</si>
  <si>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</si>
  <si>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</si>
  <si>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</si>
  <si>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</si>
  <si>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</si>
  <si>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</si>
  <si>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</si>
  <si>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</si>
  <si>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</si>
  <si>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</si>
  <si>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</si>
  <si>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</si>
  <si>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</si>
  <si>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</si>
  <si>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</si>
  <si>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</si>
  <si>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</si>
  <si>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</si>
  <si>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</si>
  <si>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</si>
  <si>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</si>
  <si>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</si>
  <si>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</si>
  <si>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</si>
  <si>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</si>
  <si>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</si>
  <si>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</si>
  <si>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</si>
  <si>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</si>
  <si>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</si>
  <si>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</si>
  <si>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</si>
  <si>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</si>
  <si>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</si>
  <si>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</si>
  <si>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</si>
  <si>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</si>
  <si>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</si>
  <si>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</si>
  <si>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</si>
  <si>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</si>
  <si>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</si>
  <si>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</si>
  <si>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</si>
  <si>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</si>
  <si>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</si>
  <si>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</si>
  <si>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</si>
  <si>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</si>
  <si>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</si>
  <si>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</si>
  <si>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</si>
  <si>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</si>
  <si>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</si>
  <si>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</si>
  <si>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</si>
  <si>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</si>
  <si>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</si>
  <si>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</si>
  <si>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</si>
  <si>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</si>
  <si>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</si>
  <si>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</si>
  <si>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</si>
  <si>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</si>
  <si>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</si>
  <si>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</si>
  <si>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</si>
  <si>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</si>
  <si>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</si>
  <si>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</si>
  <si>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</si>
  <si>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</si>
  <si>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</si>
  <si>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</si>
  <si>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</si>
  <si>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</si>
  <si>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</si>
  <si>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</si>
  <si>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</si>
  <si>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</si>
  <si>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</si>
  <si>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</si>
  <si>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</si>
  <si>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</si>
  <si>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</si>
  <si>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</si>
  <si>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</si>
  <si>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</si>
  <si>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</si>
  <si>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</si>
  <si>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</si>
  <si>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</si>
  <si>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</si>
  <si>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</si>
  <si>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</si>
  <si>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</si>
  <si>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</si>
  <si>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</si>
  <si>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</si>
  <si>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</si>
  <si>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</si>
  <si>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</si>
  <si>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</si>
  <si>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</si>
  <si>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</si>
  <si>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</si>
  <si>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</si>
  <si>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</si>
  <si>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</si>
  <si>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</si>
  <si>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</si>
  <si>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</si>
  <si>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</si>
  <si>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</si>
  <si>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</si>
  <si>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</si>
  <si>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</si>
  <si>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</si>
  <si>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</si>
  <si>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</si>
  <si>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</si>
  <si>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</si>
  <si>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</si>
  <si>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</si>
  <si>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</si>
  <si>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</si>
  <si>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</si>
  <si>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</si>
  <si>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</si>
  <si>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</si>
  <si>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</si>
  <si>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</si>
  <si>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</si>
  <si>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</si>
  <si>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</si>
  <si>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</si>
  <si>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</si>
  <si>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</si>
  <si>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</si>
  <si>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</si>
  <si>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</si>
  <si>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</si>
  <si>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</si>
  <si>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</si>
  <si>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</si>
  <si>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</si>
  <si>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</si>
  <si>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</si>
  <si>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</si>
  <si>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</si>
  <si>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</si>
  <si>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</si>
  <si>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</si>
  <si>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</si>
  <si>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</si>
  <si>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</si>
  <si>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</si>
  <si>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</si>
  <si>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</si>
  <si>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</si>
  <si>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</si>
  <si>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</si>
  <si>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</si>
  <si>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</si>
  <si>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</si>
  <si>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</si>
  <si>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</si>
  <si>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</si>
  <si>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</si>
  <si>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</si>
  <si>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</si>
  <si>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</si>
  <si>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</si>
  <si>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</si>
  <si>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</si>
  <si>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</si>
  <si>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</si>
  <si>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</si>
  <si>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</si>
  <si>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</si>
  <si>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</si>
  <si>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</si>
  <si>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</si>
  <si>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</si>
  <si>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</si>
  <si>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</si>
  <si>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</si>
  <si>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</si>
  <si>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</si>
  <si>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</si>
  <si>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</si>
  <si>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</si>
  <si>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</si>
  <si>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</si>
  <si>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</si>
  <si>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</si>
  <si>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</si>
  <si>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</si>
  <si>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</si>
  <si>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</si>
  <si>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</si>
  <si>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</si>
  <si>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</si>
  <si>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</si>
  <si>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</si>
  <si>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</si>
  <si>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</si>
  <si>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</si>
  <si>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</si>
  <si>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</si>
  <si>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</si>
  <si>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</si>
  <si>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</si>
  <si>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</si>
  <si>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</si>
  <si>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</si>
  <si>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</si>
  <si>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</si>
  <si>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</si>
  <si>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</si>
  <si>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</si>
  <si>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</si>
  <si>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</si>
  <si>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</si>
  <si>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</si>
  <si>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</si>
  <si>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</si>
  <si>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</si>
  <si>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</si>
  <si>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</si>
  <si>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</si>
  <si>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</si>
  <si>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</si>
  <si>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</si>
  <si>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</si>
  <si>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</si>
  <si>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</si>
  <si>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</si>
  <si>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</si>
  <si>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</si>
  <si>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</si>
  <si>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</si>
  <si>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</si>
  <si>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</si>
  <si>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</si>
  <si>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</si>
  <si>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</si>
  <si>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</si>
  <si>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</si>
  <si>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</si>
  <si>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</si>
  <si>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</si>
  <si>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</si>
  <si>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</si>
  <si>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</si>
  <si>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</si>
  <si>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</si>
  <si>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</si>
  <si>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</si>
  <si>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</si>
  <si>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</si>
  <si>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</si>
  <si>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</si>
  <si>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</si>
  <si>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</si>
  <si>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</si>
  <si>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</si>
  <si>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</si>
  <si>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</si>
  <si>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</si>
  <si>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</si>
  <si>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</si>
  <si>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</si>
  <si>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</si>
  <si>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</si>
  <si>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</si>
  <si>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</si>
  <si>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</si>
  <si>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</si>
  <si>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</si>
  <si>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</si>
  <si>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</si>
  <si>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</si>
  <si>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</si>
  <si>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</si>
  <si>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</si>
  <si>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</si>
  <si>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</si>
  <si>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</si>
  <si>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</si>
  <si>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</si>
  <si>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</si>
  <si>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</si>
  <si>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</si>
  <si>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</si>
  <si>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</si>
  <si>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</si>
  <si>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</si>
  <si>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</si>
  <si>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</si>
  <si>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</si>
  <si>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</si>
  <si>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</si>
  <si>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</si>
  <si>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</si>
  <si>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</si>
  <si>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</si>
  <si>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</si>
  <si>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</si>
  <si>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</si>
  <si>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</si>
  <si>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</si>
  <si>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</si>
  <si>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</si>
  <si>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</si>
  <si>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</si>
  <si>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</si>
  <si>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</si>
  <si>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</si>
  <si>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</si>
  <si>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</si>
  <si>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</si>
  <si>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</si>
  <si>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</si>
  <si>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</si>
  <si>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</si>
  <si>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</si>
  <si>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</si>
  <si>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</si>
  <si>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</si>
  <si>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</si>
  <si>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</si>
  <si>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</si>
  <si>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</si>
  <si>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</si>
  <si>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</si>
  <si>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</si>
  <si>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</si>
  <si>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</si>
  <si>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</si>
  <si>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</si>
  <si>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</si>
  <si>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</si>
  <si>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</si>
  <si>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</si>
  <si>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</si>
  <si>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</si>
  <si>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</si>
  <si>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</si>
  <si>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</si>
  <si>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</si>
  <si>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</si>
  <si>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</si>
  <si>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</si>
  <si>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</si>
  <si>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</si>
  <si>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</si>
  <si>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</si>
  <si>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</si>
  <si>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</si>
  <si>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</si>
  <si>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</si>
  <si>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</si>
  <si>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</si>
  <si>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</si>
  <si>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</si>
  <si>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</si>
  <si>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</si>
  <si>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</si>
  <si>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</si>
  <si>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</si>
  <si>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</si>
  <si>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</si>
  <si>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</si>
  <si>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</si>
  <si>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</si>
  <si>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</si>
  <si>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</si>
  <si>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</si>
  <si>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</si>
  <si>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</si>
  <si>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</si>
  <si>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</si>
  <si>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</si>
  <si>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</si>
  <si>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</si>
  <si>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</si>
  <si>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</si>
  <si>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</si>
  <si>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</si>
  <si>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</si>
  <si>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</si>
  <si>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</si>
  <si>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</si>
  <si>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</si>
  <si>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</si>
  <si>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</si>
  <si>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</si>
  <si>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</si>
  <si>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</si>
  <si>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</si>
  <si>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</si>
  <si>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</si>
  <si>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</si>
  <si>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</si>
  <si>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</si>
  <si>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</si>
  <si>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</si>
  <si>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</si>
  <si>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</si>
  <si>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</si>
  <si>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</si>
  <si>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</si>
  <si>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</si>
  <si>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</si>
  <si>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</si>
  <si>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</si>
  <si>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</si>
  <si>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</si>
  <si>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</si>
  <si>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</si>
  <si>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</si>
  <si>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</si>
  <si>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</si>
  <si>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</si>
  <si>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</si>
  <si>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</si>
  <si>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</si>
  <si>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</si>
  <si>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</si>
  <si>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</si>
  <si>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</si>
  <si>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</si>
  <si>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</si>
  <si>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</si>
  <si>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</si>
  <si>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</si>
  <si>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</si>
  <si>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</si>
  <si>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</si>
  <si>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</si>
  <si>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</si>
  <si>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</si>
  <si>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</si>
  <si>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</si>
  <si>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</si>
  <si>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</si>
  <si>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</si>
  <si>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</si>
  <si>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</si>
  <si>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</si>
  <si>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</si>
  <si>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</si>
  <si>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</si>
  <si>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</si>
  <si>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</si>
  <si>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</si>
  <si>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</si>
  <si>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</si>
  <si>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</si>
  <si>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</si>
  <si>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</si>
  <si>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</si>
  <si>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</si>
  <si>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</si>
  <si>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</si>
  <si>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</si>
  <si>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</si>
  <si>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</si>
  <si>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</si>
  <si>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</si>
  <si>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</si>
  <si>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</si>
  <si>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</si>
  <si>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</si>
  <si>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</si>
  <si>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</si>
  <si>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</si>
  <si>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</si>
  <si>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</si>
  <si>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</si>
  <si>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</si>
  <si>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</si>
  <si>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</si>
  <si>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</si>
  <si>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</si>
  <si>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</si>
  <si>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</si>
  <si>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</si>
  <si>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</si>
  <si>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</si>
  <si>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</si>
  <si>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</si>
  <si>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</si>
  <si>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</si>
  <si>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</si>
  <si>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</si>
  <si>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</si>
  <si>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</si>
  <si>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</si>
  <si>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</si>
  <si>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</si>
  <si>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</si>
  <si>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</si>
  <si>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</si>
  <si>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</si>
  <si>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</si>
  <si>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</si>
  <si>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</si>
  <si>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</si>
  <si>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</si>
  <si>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</si>
  <si>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</si>
  <si>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</si>
  <si>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</si>
  <si>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</si>
  <si>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</si>
  <si>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</si>
  <si>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</si>
  <si>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</si>
  <si>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</si>
  <si>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</si>
  <si>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</si>
  <si>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</si>
  <si>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</si>
  <si>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</si>
  <si>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</si>
  <si>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</si>
  <si>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</si>
  <si>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</si>
  <si>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</si>
  <si>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</si>
  <si>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</si>
  <si>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</si>
  <si>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</si>
  <si>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</si>
  <si>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</si>
  <si>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</si>
  <si>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</si>
  <si>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</si>
  <si>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</si>
  <si>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</si>
  <si>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</si>
  <si>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</si>
  <si>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</si>
  <si>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</si>
  <si>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</si>
  <si>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</si>
  <si>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</si>
  <si>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</si>
  <si>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</si>
  <si>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</si>
  <si>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</si>
  <si>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</si>
  <si>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</si>
  <si>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</si>
  <si>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</si>
  <si>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</si>
  <si>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</si>
  <si>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</si>
  <si>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</si>
  <si>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</si>
  <si>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</si>
  <si>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</si>
  <si>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</si>
  <si>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</si>
  <si>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</si>
  <si>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</si>
  <si>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</si>
  <si>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</si>
  <si>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</si>
  <si>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</si>
  <si>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</si>
  <si>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</si>
  <si>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</si>
  <si>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</si>
  <si>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</si>
  <si>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</si>
  <si>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</si>
  <si>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</si>
  <si>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</si>
  <si>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</si>
  <si>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</si>
  <si>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</si>
  <si>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</si>
  <si>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</si>
  <si>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</si>
  <si>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</si>
  <si>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</si>
  <si>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</si>
  <si>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</si>
  <si>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</si>
  <si>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</si>
  <si>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</si>
  <si>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</si>
  <si>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</si>
  <si>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</si>
  <si>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</si>
  <si>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</si>
  <si>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</si>
  <si>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</si>
  <si>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</si>
  <si>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</si>
  <si>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</si>
  <si>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</si>
  <si>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</si>
  <si>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</si>
  <si>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</si>
  <si>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</si>
  <si>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</si>
  <si>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</si>
  <si>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</si>
  <si>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</si>
  <si>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</si>
  <si>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</si>
  <si>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</si>
  <si>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</si>
  <si>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</si>
  <si>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</si>
  <si>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</si>
  <si>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</si>
  <si>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</si>
  <si>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</si>
  <si>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</si>
  <si>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</si>
  <si>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</si>
  <si>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</si>
  <si>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</si>
  <si>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</si>
  <si>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</si>
  <si>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</si>
  <si>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</si>
  <si>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</si>
  <si>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</si>
  <si>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</si>
  <si>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</si>
  <si>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</si>
  <si>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</si>
  <si>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</si>
  <si>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</si>
  <si>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</si>
  <si>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</si>
  <si>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</si>
  <si>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</si>
  <si>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</si>
  <si>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</si>
  <si>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</si>
  <si>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</si>
  <si>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</si>
  <si>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</si>
  <si>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</si>
  <si>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</si>
  <si>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</si>
  <si>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</si>
  <si>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</si>
  <si>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</si>
  <si>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</si>
  <si>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</si>
  <si>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</si>
  <si>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</si>
  <si>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</si>
  <si>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</si>
  <si>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</si>
  <si>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</si>
  <si>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</si>
  <si>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</si>
  <si>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</si>
  <si>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</si>
  <si>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</si>
  <si>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</si>
  <si>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</si>
  <si>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</si>
  <si>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</si>
  <si>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</si>
  <si>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</si>
  <si>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</si>
  <si>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</si>
  <si>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</si>
  <si>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</si>
  <si>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</si>
  <si>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</si>
  <si>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</si>
  <si>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</si>
  <si>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</si>
  <si>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</si>
  <si>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</si>
  <si>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</si>
  <si>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</si>
  <si>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</si>
  <si>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</si>
  <si>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</si>
  <si>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</si>
  <si>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</si>
  <si>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</si>
  <si>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</si>
  <si>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</si>
  <si>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</si>
  <si>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</si>
  <si>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</si>
  <si>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</si>
  <si>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</si>
  <si>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</si>
  <si>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</si>
  <si>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</si>
  <si>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</si>
  <si>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</si>
  <si>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</si>
  <si>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</si>
  <si>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</si>
  <si>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</si>
  <si>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</si>
  <si>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</si>
  <si>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</si>
  <si>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</si>
  <si>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</si>
  <si>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</si>
  <si>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</si>
  <si>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</si>
  <si>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</si>
  <si>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</si>
  <si>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</si>
  <si>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</si>
  <si>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</si>
  <si>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</si>
  <si>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</si>
  <si>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</si>
  <si>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</si>
  <si>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</si>
  <si>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</si>
  <si>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</si>
  <si>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</si>
  <si>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</si>
  <si>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</si>
  <si>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</si>
  <si>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</si>
  <si>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</si>
  <si>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</si>
  <si>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</si>
  <si>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</si>
  <si>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</si>
  <si>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</si>
  <si>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</si>
  <si>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</si>
  <si>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</si>
  <si>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</si>
  <si>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</si>
  <si>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</si>
  <si>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</si>
  <si>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</si>
  <si>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</si>
  <si>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</si>
  <si>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</si>
  <si>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</si>
  <si>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</si>
  <si>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</si>
  <si>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</si>
  <si>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</si>
  <si>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</si>
  <si>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</si>
  <si>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</si>
  <si>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</si>
  <si>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</si>
  <si>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</si>
  <si>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</si>
  <si>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</si>
  <si>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</si>
  <si>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</si>
  <si>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</si>
  <si>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</si>
  <si>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</si>
  <si>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</si>
  <si>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</si>
  <si>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</si>
  <si>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</si>
  <si>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</si>
  <si>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</si>
  <si>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</si>
  <si>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</si>
  <si>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</si>
  <si>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</si>
  <si>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</si>
  <si>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</si>
  <si>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</si>
  <si>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</si>
  <si>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</si>
  <si>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</si>
  <si>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</si>
  <si>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</si>
  <si>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</si>
  <si>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</si>
  <si>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</si>
  <si>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</si>
  <si>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</si>
  <si>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</si>
  <si>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</si>
  <si>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</si>
  <si>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</si>
  <si>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</si>
  <si>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</si>
  <si>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</si>
  <si>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</si>
  <si>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</si>
  <si>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</si>
  <si>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</si>
  <si>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</si>
  <si>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</si>
  <si>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</si>
  <si>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</si>
  <si>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</si>
  <si>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</si>
  <si>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</si>
  <si>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</si>
  <si>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</si>
  <si>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</si>
  <si>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</si>
  <si>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</si>
  <si>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</si>
  <si>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</si>
  <si>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</si>
  <si>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</si>
  <si>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</si>
  <si>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</si>
  <si>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</si>
  <si>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</si>
  <si>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</si>
  <si>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</si>
  <si>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</si>
  <si>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</si>
  <si>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</si>
  <si>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</si>
  <si>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</si>
  <si>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</si>
  <si>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</si>
  <si>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</si>
  <si>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</si>
  <si>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</si>
  <si>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</si>
  <si>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</si>
  <si>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</si>
  <si>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</si>
  <si>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</si>
  <si>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</si>
  <si>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</si>
  <si>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</si>
  <si>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</si>
  <si>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</si>
  <si>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</si>
  <si>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</si>
  <si>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</si>
  <si>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</si>
  <si>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</si>
  <si>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</si>
  <si>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</si>
  <si>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</si>
  <si>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</si>
  <si>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</si>
  <si>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</si>
  <si>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</si>
  <si>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</si>
  <si>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</si>
  <si>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</si>
  <si>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</si>
  <si>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</si>
  <si>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</si>
  <si>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</si>
  <si>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</si>
  <si>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</si>
  <si>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</si>
  <si>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</si>
  <si>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</si>
  <si>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</si>
  <si>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</si>
  <si>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</si>
  <si>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</si>
  <si>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</si>
  <si>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</si>
  <si>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</si>
  <si>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</si>
  <si>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</si>
  <si>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</si>
  <si>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</si>
  <si>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</si>
  <si>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</si>
  <si>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</si>
  <si>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</si>
  <si>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</si>
  <si>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</si>
  <si>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</si>
  <si>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</si>
  <si>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</si>
  <si>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</si>
  <si>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</si>
  <si>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</si>
  <si>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</si>
  <si>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</si>
  <si>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</si>
  <si>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</si>
  <si>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</si>
  <si>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</si>
  <si>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</si>
  <si>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</si>
  <si>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</si>
  <si>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</si>
  <si>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</si>
  <si>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</si>
  <si>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</si>
  <si>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</si>
  <si>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</si>
  <si>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</si>
  <si>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</si>
  <si>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</si>
  <si>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</si>
  <si>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</si>
  <si>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</si>
  <si>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</si>
  <si>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</si>
  <si>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</si>
  <si>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</si>
  <si>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</si>
  <si>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</si>
  <si>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</si>
  <si>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</si>
  <si>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</si>
  <si>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</si>
  <si>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</si>
  <si>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</si>
  <si>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</si>
  <si>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</si>
  <si>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</si>
  <si>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</si>
  <si>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</si>
  <si>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</si>
  <si>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</si>
  <si>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</si>
  <si>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</si>
  <si>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</si>
  <si>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</si>
  <si>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</si>
  <si>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</si>
  <si>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</si>
  <si>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</si>
  <si>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</si>
  <si>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</si>
  <si>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</si>
  <si>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</si>
  <si>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</si>
  <si>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</si>
  <si>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</si>
  <si>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</si>
  <si>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</si>
  <si>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</si>
  <si>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</si>
  <si>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</si>
  <si>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</si>
  <si>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</si>
  <si>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</si>
  <si>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</si>
  <si>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</si>
  <si>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</si>
  <si>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</si>
  <si>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</si>
  <si>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</si>
  <si>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</si>
  <si>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</si>
  <si>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</si>
  <si>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</si>
  <si>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</si>
  <si>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</si>
  <si>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</si>
  <si>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</si>
  <si>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</si>
  <si>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</si>
  <si>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</si>
  <si>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</si>
  <si>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</si>
  <si>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</si>
  <si>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</si>
  <si>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</si>
  <si>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</si>
  <si>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</si>
  <si>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</si>
  <si>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</si>
  <si>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</si>
  <si>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</si>
  <si>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</si>
  <si>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</si>
  <si>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</si>
  <si>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</si>
  <si>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</si>
  <si>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</si>
  <si>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</si>
  <si>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</si>
  <si>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</si>
  <si>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</si>
  <si>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</si>
  <si>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</si>
  <si>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</si>
  <si>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</si>
  <si>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</si>
  <si>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</si>
  <si>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</si>
  <si>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</si>
  <si>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</si>
  <si>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</si>
  <si>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</si>
  <si>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</si>
  <si>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</si>
  <si>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</si>
  <si>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</si>
  <si>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</si>
  <si>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</si>
  <si>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</si>
  <si>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</si>
  <si>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</si>
  <si>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</si>
  <si>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</si>
  <si>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</si>
  <si>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</si>
  <si>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</si>
  <si>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</si>
  <si>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</si>
  <si>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</si>
  <si>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</si>
  <si>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</si>
  <si>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</si>
  <si>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</si>
  <si>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</si>
  <si>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</si>
  <si>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</si>
  <si>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</si>
  <si>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</si>
  <si>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</si>
  <si>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</si>
  <si>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</si>
  <si>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</si>
  <si>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</si>
  <si>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</si>
  <si>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</si>
  <si>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</si>
  <si>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</si>
  <si>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</si>
  <si>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</si>
  <si>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</si>
  <si>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</si>
  <si>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</si>
  <si>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</si>
  <si>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</si>
  <si>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</si>
  <si>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</si>
  <si>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</si>
  <si>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</si>
  <si>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</si>
  <si>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</si>
  <si>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</si>
  <si>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</si>
  <si>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</si>
  <si>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</si>
  <si>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</si>
  <si>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</si>
  <si>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</si>
  <si>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</si>
  <si>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</si>
  <si>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</si>
  <si>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</si>
  <si>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</si>
  <si>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</si>
  <si>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</si>
  <si>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</si>
  <si>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</si>
  <si>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</si>
  <si>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</si>
  <si>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</si>
  <si>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</si>
  <si>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</si>
  <si>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</si>
  <si>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</si>
  <si>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</si>
  <si>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</si>
  <si>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</si>
  <si>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</si>
  <si>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</si>
  <si>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</si>
  <si>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</si>
  <si>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</si>
  <si>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</si>
  <si>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</si>
  <si>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</si>
  <si>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</si>
  <si>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</si>
  <si>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</si>
  <si>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</si>
  <si>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</si>
  <si>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</si>
  <si>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</si>
  <si>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</si>
  <si>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</si>
  <si>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</si>
  <si>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</si>
  <si>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</si>
  <si>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</si>
  <si>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</si>
  <si>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</si>
  <si>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</si>
  <si>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</si>
  <si>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</si>
  <si>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</si>
  <si>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</si>
  <si>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</si>
  <si>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</si>
  <si>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</si>
  <si>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</si>
  <si>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</si>
  <si>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</si>
  <si>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</si>
  <si>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</si>
  <si>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</si>
  <si>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</si>
  <si>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</si>
  <si>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</si>
  <si>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</si>
  <si>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</si>
  <si>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</si>
  <si>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</si>
  <si>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</si>
  <si>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</si>
  <si>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</si>
  <si>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</si>
  <si>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</si>
  <si>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</si>
  <si>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</si>
  <si>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</si>
  <si>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</si>
  <si>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</si>
  <si>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</si>
  <si>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</si>
  <si>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</si>
  <si>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</si>
  <si>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</si>
  <si>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</si>
  <si>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</si>
  <si>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</si>
  <si>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</si>
  <si>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</si>
  <si>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</si>
  <si>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</si>
  <si>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</si>
  <si>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</si>
  <si>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</si>
  <si>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</si>
  <si>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</si>
  <si>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</si>
  <si>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</si>
  <si>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</si>
  <si>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</si>
  <si>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</si>
  <si>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</si>
  <si>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</si>
  <si>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</si>
  <si>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</si>
  <si>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</si>
  <si>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</si>
  <si>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</si>
  <si>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</si>
  <si>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</si>
  <si>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</si>
  <si>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</si>
  <si>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</si>
  <si>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</si>
  <si>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</si>
  <si>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</si>
  <si>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</si>
  <si>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</si>
  <si>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</si>
  <si>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</si>
  <si>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</si>
  <si>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</si>
  <si>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</si>
  <si>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</si>
  <si>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</si>
  <si>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</si>
  <si>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</si>
  <si>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</si>
  <si>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</si>
  <si>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</si>
  <si>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</si>
  <si>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</si>
  <si>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</si>
  <si>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</si>
  <si>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</si>
  <si>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</si>
  <si>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</si>
  <si>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</si>
  <si>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</si>
  <si>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</si>
  <si>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</si>
  <si>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</si>
  <si>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</si>
  <si>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</si>
  <si>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</si>
  <si>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</si>
  <si>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</si>
  <si>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</si>
  <si>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</si>
  <si>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</si>
  <si>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</si>
  <si>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</si>
  <si>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</si>
  <si>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</si>
  <si>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</si>
  <si>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</si>
  <si>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</si>
  <si>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</si>
  <si>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</si>
  <si>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</si>
  <si>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</si>
  <si>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</si>
  <si>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</si>
  <si>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</si>
  <si>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</si>
  <si>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</si>
  <si>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</si>
  <si>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</si>
  <si>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</si>
  <si>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</si>
  <si>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</si>
  <si>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</si>
  <si>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</si>
  <si>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</si>
  <si>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</si>
  <si>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</si>
  <si>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</si>
  <si>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</si>
  <si>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</si>
  <si>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</si>
  <si>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</si>
  <si>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</si>
  <si>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</si>
  <si>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</si>
  <si>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</si>
  <si>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</si>
  <si>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</si>
  <si>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</si>
  <si>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</si>
  <si>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</si>
  <si>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</si>
  <si>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</si>
  <si>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</si>
  <si>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</si>
  <si>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</si>
  <si>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</si>
  <si>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</si>
  <si>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</si>
  <si>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</si>
  <si>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</si>
  <si>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</si>
  <si>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</si>
  <si>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</si>
  <si>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</si>
  <si>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</si>
  <si>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</si>
  <si>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</si>
  <si>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</si>
  <si>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</si>
  <si>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</si>
  <si>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</si>
  <si>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</si>
  <si>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</si>
  <si>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</si>
  <si>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</si>
  <si>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</si>
  <si>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</si>
  <si>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</si>
  <si>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</si>
  <si>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</si>
  <si>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</si>
  <si>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</si>
  <si>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</si>
  <si>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</si>
  <si>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</si>
  <si>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</si>
  <si>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</si>
  <si>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</si>
  <si>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</si>
  <si>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</si>
  <si>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</si>
  <si>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</si>
  <si>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</si>
  <si>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</si>
  <si>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</si>
  <si>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</si>
  <si>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</si>
  <si>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</si>
  <si>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</si>
  <si>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</si>
  <si>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</si>
  <si>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</si>
  <si>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</si>
  <si>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</si>
  <si>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</si>
  <si>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</si>
  <si>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</si>
  <si>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</si>
  <si>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</si>
  <si>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</si>
  <si>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</si>
  <si>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</si>
  <si>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</si>
  <si>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</si>
  <si>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</si>
  <si>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</si>
  <si>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</si>
  <si>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</si>
  <si>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</si>
  <si>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</si>
  <si>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</si>
  <si>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</si>
  <si>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</si>
  <si>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</si>
  <si>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</si>
  <si>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</si>
  <si>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</si>
  <si>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</si>
  <si>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</si>
  <si>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</si>
  <si>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</si>
  <si>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</si>
  <si>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</si>
  <si>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</si>
  <si>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</si>
  <si>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</si>
  <si>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</si>
  <si>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</si>
  <si>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</si>
  <si>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</si>
  <si>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</si>
  <si>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</si>
  <si>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</si>
  <si>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</si>
  <si>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</si>
  <si>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</si>
  <si>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</si>
  <si>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</si>
  <si>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</si>
  <si>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</si>
  <si>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</si>
  <si>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</si>
  <si>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</si>
  <si>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</si>
  <si>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</si>
  <si>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</si>
  <si>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</si>
  <si>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</si>
  <si>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</si>
  <si>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</si>
  <si>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</si>
  <si>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</si>
  <si>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</si>
  <si>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</si>
  <si>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</si>
  <si>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</si>
  <si>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</si>
  <si>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</si>
  <si>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</si>
  <si>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</si>
  <si>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</si>
  <si>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</si>
  <si>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</si>
  <si>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</si>
  <si>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</si>
  <si>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</si>
  <si>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</si>
  <si>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</si>
  <si>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</si>
  <si>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</si>
  <si>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</si>
  <si>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</si>
  <si>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</si>
  <si>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</si>
  <si>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</si>
  <si>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</si>
  <si>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</si>
  <si>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</si>
  <si>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</si>
  <si>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</si>
  <si>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</si>
  <si>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</si>
  <si>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</si>
  <si>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</si>
  <si>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</si>
  <si>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</si>
  <si>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</si>
  <si>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</si>
  <si>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</si>
  <si>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</si>
  <si>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</si>
  <si>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</si>
  <si>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</si>
  <si>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</si>
  <si>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</si>
  <si>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</si>
  <si>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</si>
  <si>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</si>
  <si>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</si>
  <si>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</si>
  <si>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</si>
  <si>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</si>
  <si>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</si>
  <si>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</si>
  <si>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</si>
  <si>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</si>
  <si>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</si>
  <si>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</si>
  <si>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</si>
  <si>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</si>
  <si>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</si>
  <si>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</si>
  <si>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</si>
  <si>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</si>
  <si>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</si>
  <si>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</si>
  <si>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</si>
  <si>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</si>
  <si>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</si>
  <si>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</si>
  <si>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</si>
  <si>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</si>
  <si>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</si>
  <si>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</si>
  <si>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</si>
  <si>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</si>
  <si>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</si>
  <si>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</si>
  <si>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</si>
  <si>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</si>
  <si>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</si>
  <si>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</si>
  <si>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</si>
  <si>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</si>
  <si>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</si>
  <si>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</si>
  <si>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</si>
  <si>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</si>
  <si>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</si>
  <si>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</si>
  <si>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</si>
  <si>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</si>
  <si>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</si>
  <si>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</si>
  <si>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</si>
  <si>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</si>
  <si>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</si>
  <si>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</si>
  <si>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</si>
  <si>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</si>
  <si>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</si>
  <si>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</si>
  <si>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</si>
  <si>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</si>
  <si>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</si>
  <si>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</si>
  <si>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</si>
  <si>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</si>
  <si>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</si>
  <si>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</si>
  <si>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</si>
  <si>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</si>
  <si>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</si>
  <si>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</si>
  <si>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</si>
  <si>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</si>
  <si>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</si>
  <si>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</si>
  <si>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</si>
  <si>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</si>
  <si>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</si>
  <si>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</si>
  <si>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</si>
  <si>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</si>
  <si>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</si>
  <si>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</si>
  <si>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</si>
  <si>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</si>
  <si>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</si>
  <si>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</si>
  <si>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</si>
  <si>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</si>
  <si>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</si>
  <si>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</si>
  <si>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</si>
  <si>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</si>
  <si>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</si>
  <si>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</si>
  <si>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</si>
  <si>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</si>
  <si>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</si>
  <si>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</si>
  <si>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</si>
  <si>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</si>
  <si>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</si>
  <si>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</si>
  <si>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</si>
  <si>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</si>
  <si>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</si>
  <si>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</si>
  <si>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</si>
  <si>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</si>
  <si>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</si>
  <si>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</si>
  <si>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</si>
  <si>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</si>
  <si>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</si>
  <si>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</si>
  <si>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</si>
  <si>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</si>
  <si>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</si>
  <si>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</si>
  <si>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</si>
  <si>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</si>
  <si>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</si>
  <si>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</si>
  <si>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</si>
  <si>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</si>
  <si>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</si>
  <si>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</si>
  <si>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</si>
  <si>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</si>
  <si>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</si>
  <si>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</si>
  <si>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</si>
  <si>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</si>
  <si>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</si>
  <si>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</si>
  <si>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</si>
  <si>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</si>
  <si>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</si>
  <si>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</si>
  <si>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</si>
  <si>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</si>
  <si>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</si>
  <si>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</si>
  <si>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</si>
  <si>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</si>
  <si>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</si>
  <si>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</si>
  <si>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</si>
  <si>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</si>
  <si>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</si>
  <si>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</si>
  <si>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</si>
  <si>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</si>
  <si>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</si>
  <si>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</si>
  <si>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</si>
  <si>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</si>
  <si>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</si>
  <si>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</si>
  <si>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</si>
  <si>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</si>
  <si>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</si>
  <si>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</si>
  <si>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</si>
  <si>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</si>
  <si>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</si>
  <si>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</si>
  <si>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</si>
  <si>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</si>
  <si>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</si>
  <si>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</si>
  <si>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</si>
  <si>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</si>
  <si>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</si>
  <si>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</si>
  <si>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</si>
  <si>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</si>
  <si>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</si>
  <si>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</si>
  <si>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</si>
  <si>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</si>
  <si>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</si>
  <si>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</si>
  <si>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</si>
  <si>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</si>
  <si>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</si>
  <si>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</si>
  <si>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</si>
  <si>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</si>
  <si>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</si>
  <si>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</si>
  <si>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</si>
  <si>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</si>
  <si>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</si>
  <si>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</si>
  <si>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</si>
  <si>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</si>
  <si>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</si>
  <si>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</si>
  <si>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</si>
  <si>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</si>
  <si>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</si>
  <si>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</si>
  <si>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</si>
  <si>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</si>
  <si>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</si>
  <si>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</si>
  <si>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</si>
  <si>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</si>
  <si>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</si>
  <si>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</si>
  <si>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</si>
  <si>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</si>
  <si>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</si>
  <si>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</si>
  <si>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</si>
  <si>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</si>
  <si>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</si>
  <si>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</si>
  <si>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</si>
  <si>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</si>
  <si>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</si>
  <si>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</si>
  <si>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</si>
  <si>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</si>
  <si>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</si>
  <si>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</si>
  <si>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</si>
  <si>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</si>
  <si>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</si>
  <si>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</si>
  <si>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</si>
  <si>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</si>
  <si>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</si>
  <si>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</si>
  <si>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</si>
  <si>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</si>
  <si>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</si>
  <si>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</si>
  <si>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</si>
  <si>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</si>
  <si>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</si>
  <si>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</si>
  <si>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</si>
  <si>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</si>
  <si>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</si>
  <si>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</si>
  <si>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</si>
  <si>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</si>
  <si>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</si>
  <si>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</si>
  <si>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</si>
  <si>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</si>
  <si>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</si>
  <si>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</si>
  <si>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</si>
  <si>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</si>
  <si>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</si>
  <si>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</si>
  <si>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</si>
  <si>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</si>
  <si>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</si>
  <si>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</si>
  <si>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</si>
  <si>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</si>
  <si>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</si>
  <si>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</si>
  <si>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</si>
  <si>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</si>
  <si>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</si>
  <si>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</si>
  <si>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</si>
  <si>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</si>
  <si>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</si>
  <si>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</si>
  <si>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</si>
  <si>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</si>
  <si>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</si>
  <si>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</si>
  <si>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</si>
  <si>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</si>
  <si>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</si>
  <si>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</si>
  <si>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</si>
  <si>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</si>
  <si>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</si>
  <si>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</si>
  <si>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</si>
  <si>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</si>
  <si>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</si>
  <si>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</si>
  <si>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</si>
  <si>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</si>
  <si>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</si>
  <si>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</si>
  <si>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</si>
  <si>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</si>
  <si>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</si>
  <si>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</si>
  <si>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</si>
  <si>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</si>
  <si>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</si>
  <si>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</si>
  <si>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</si>
  <si>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</si>
  <si>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</si>
  <si>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</si>
  <si>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</si>
  <si>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</si>
  <si>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</si>
  <si>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</si>
  <si>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</si>
  <si>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</si>
  <si>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</si>
  <si>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</si>
  <si>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</si>
  <si>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</si>
  <si>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</si>
  <si>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</si>
  <si>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</si>
  <si>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</si>
  <si>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</si>
  <si>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</si>
  <si>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</si>
  <si>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</si>
  <si>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</si>
  <si>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</si>
  <si>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</si>
  <si>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</si>
  <si>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</si>
  <si>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</si>
  <si>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</si>
  <si>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</si>
  <si>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</si>
  <si>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</si>
  <si>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</si>
  <si>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</si>
  <si>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</si>
  <si>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</si>
  <si>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</si>
  <si>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</si>
  <si>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</si>
  <si>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</si>
  <si>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</si>
  <si>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</si>
  <si>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</si>
  <si>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</si>
  <si>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</si>
  <si>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</si>
  <si>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</si>
  <si>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</si>
  <si>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</si>
  <si>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</si>
  <si>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</si>
  <si>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</si>
  <si>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</si>
  <si>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</si>
  <si>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</si>
  <si>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</si>
  <si>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</si>
  <si>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</si>
  <si>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</si>
  <si>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</si>
  <si>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</si>
  <si>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</si>
  <si>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</si>
  <si>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</si>
  <si>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</si>
  <si>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</si>
  <si>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</si>
  <si>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</si>
  <si>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</si>
  <si>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</si>
  <si>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</si>
  <si>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</si>
  <si>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</si>
  <si>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</si>
  <si>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</si>
  <si>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</si>
  <si>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</si>
  <si>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</si>
  <si>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</si>
  <si>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</si>
  <si>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</si>
  <si>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</si>
  <si>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</si>
  <si>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</si>
  <si>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</si>
  <si>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</si>
  <si>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</si>
  <si>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</si>
  <si>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</si>
  <si>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</si>
  <si>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</si>
  <si>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</si>
  <si>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</si>
  <si>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</si>
  <si>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</si>
  <si>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</si>
  <si>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</si>
  <si>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</si>
  <si>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</si>
  <si>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</si>
  <si>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</si>
  <si>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</si>
  <si>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</si>
  <si>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</si>
  <si>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</si>
  <si>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</si>
  <si>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</si>
  <si>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</si>
  <si>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</si>
  <si>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</si>
  <si>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</si>
  <si>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</si>
  <si>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</si>
  <si>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</si>
  <si>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</si>
  <si>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</si>
  <si>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</si>
  <si>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</si>
  <si>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</si>
  <si>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</si>
  <si>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</si>
  <si>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</si>
  <si>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</si>
  <si>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</si>
  <si>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</si>
  <si>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</si>
  <si>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</si>
  <si>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</si>
  <si>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</si>
  <si>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</si>
  <si>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</si>
  <si>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</si>
  <si>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</si>
  <si>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</si>
  <si>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</si>
  <si>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</si>
  <si>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</si>
  <si>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</si>
  <si>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</si>
  <si>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</si>
  <si>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</si>
  <si>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</si>
  <si>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</si>
  <si>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</si>
  <si>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</si>
  <si>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</si>
  <si>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</si>
  <si>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</si>
  <si>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</si>
  <si>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</si>
  <si>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</si>
  <si>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</si>
  <si>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</si>
  <si>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</si>
  <si>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</si>
  <si>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</si>
  <si>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</si>
  <si>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</si>
  <si>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</si>
  <si>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</si>
  <si>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</si>
  <si>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</si>
  <si>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</si>
  <si>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</si>
  <si>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</si>
  <si>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</si>
  <si>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</si>
  <si>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</si>
  <si>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</si>
  <si>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</si>
  <si>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</si>
  <si>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</si>
  <si>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</si>
  <si>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</si>
  <si>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</si>
  <si>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</si>
  <si>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</si>
  <si>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</si>
  <si>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</si>
  <si>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</si>
  <si>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</si>
  <si>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</si>
  <si>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</si>
  <si>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</si>
  <si>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</si>
  <si>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</si>
  <si>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</si>
  <si>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</si>
  <si>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</si>
  <si>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</si>
  <si>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</si>
  <si>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</si>
  <si>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</si>
  <si>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</si>
  <si>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</si>
  <si>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</si>
  <si>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</si>
  <si>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</si>
  <si>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</si>
  <si>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</si>
  <si>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</si>
  <si>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</si>
  <si>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</si>
  <si>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</si>
  <si>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</si>
  <si>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</si>
  <si>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</si>
  <si>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</si>
  <si>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</si>
  <si>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</si>
  <si>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</si>
  <si>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</si>
  <si>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</si>
  <si>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</si>
  <si>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</si>
  <si>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</si>
  <si>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</si>
  <si>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</si>
  <si>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</si>
  <si>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</si>
  <si>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</si>
  <si>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</si>
  <si>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</si>
  <si>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</si>
  <si>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</si>
  <si>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</si>
  <si>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</si>
  <si>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</si>
  <si>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</si>
  <si>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</si>
  <si>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</si>
  <si>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</si>
  <si>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</si>
  <si>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</si>
  <si>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</si>
  <si>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</si>
  <si>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</si>
  <si>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</si>
  <si>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</si>
  <si>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</si>
  <si>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</si>
  <si>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</si>
  <si>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</si>
  <si>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</si>
  <si>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</si>
  <si>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</si>
  <si>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</si>
  <si>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</si>
  <si>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</si>
  <si>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</si>
  <si>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</si>
  <si>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</si>
  <si>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</si>
  <si>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</si>
  <si>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</si>
  <si>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</si>
  <si>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</si>
  <si>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</si>
  <si>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</si>
  <si>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</si>
  <si>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</si>
  <si>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</si>
  <si>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</si>
  <si>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</si>
  <si>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</si>
  <si>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</si>
  <si>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</si>
  <si>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</si>
  <si>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</si>
  <si>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</si>
  <si>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</si>
  <si>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</si>
  <si>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</si>
  <si>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</si>
  <si>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</si>
  <si>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</si>
  <si>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</si>
  <si>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</si>
  <si>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</si>
  <si>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</si>
  <si>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</si>
  <si>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</si>
  <si>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</si>
  <si>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</si>
  <si>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</si>
  <si>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</si>
  <si>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</si>
  <si>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</si>
  <si>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</si>
  <si>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</si>
  <si>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</si>
  <si>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</si>
  <si>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</si>
  <si>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</si>
  <si>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</si>
  <si>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</si>
  <si>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</si>
  <si>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</si>
  <si>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</si>
  <si>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</si>
  <si>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</si>
  <si>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</si>
  <si>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</si>
  <si>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</si>
  <si>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</si>
  <si>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</si>
  <si>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</si>
  <si>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</si>
  <si>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</si>
  <si>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</si>
  <si>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</si>
  <si>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</si>
  <si>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</si>
  <si>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</si>
  <si>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</si>
  <si>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</si>
  <si>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</si>
  <si>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</si>
  <si>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</si>
  <si>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</si>
  <si>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</si>
  <si>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</si>
  <si>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</si>
  <si>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</si>
  <si>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</si>
  <si>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</si>
  <si>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</si>
  <si>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</si>
  <si>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</si>
  <si>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</si>
  <si>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</si>
  <si>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</si>
  <si>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</si>
  <si>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</si>
  <si>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</si>
  <si>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</si>
  <si>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</si>
  <si>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</si>
  <si>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</si>
  <si>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</si>
  <si>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</si>
  <si>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</si>
  <si>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</si>
  <si>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</si>
  <si>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</si>
  <si>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</si>
  <si>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</si>
  <si>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</si>
  <si>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</si>
  <si>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</si>
  <si>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</si>
  <si>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</si>
  <si>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</si>
  <si>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</si>
  <si>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</si>
  <si>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</si>
  <si>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</si>
  <si>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</si>
  <si>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</si>
  <si>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</si>
  <si>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</si>
  <si>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</si>
  <si>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</si>
  <si>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</si>
  <si>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</si>
  <si>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</si>
  <si>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</si>
  <si>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</si>
  <si>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</si>
  <si>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</si>
  <si>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</si>
  <si>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</si>
  <si>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</si>
  <si>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</si>
  <si>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</si>
  <si>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</si>
  <si>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</si>
  <si>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</si>
  <si>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</si>
  <si>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</si>
  <si>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</si>
  <si>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</si>
  <si>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</si>
  <si>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</si>
  <si>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</si>
  <si>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</si>
  <si>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</si>
  <si>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</si>
  <si>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</si>
  <si>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</si>
  <si>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</si>
  <si>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</si>
  <si>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</si>
  <si>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</si>
  <si>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</si>
  <si>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</si>
  <si>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</si>
  <si>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</si>
  <si>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</si>
  <si>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</si>
  <si>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</si>
  <si>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</si>
  <si>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</si>
  <si>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</si>
  <si>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</si>
  <si>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</si>
  <si>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</si>
  <si>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</si>
  <si>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</si>
  <si>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</si>
  <si>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</si>
  <si>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</si>
  <si>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</si>
  <si>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</si>
  <si>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</si>
  <si>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</si>
  <si>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</si>
  <si>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</si>
  <si>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</si>
  <si>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</si>
  <si>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</si>
  <si>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</si>
  <si>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</si>
  <si>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</si>
  <si>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</si>
  <si>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</si>
  <si>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</si>
  <si>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</si>
  <si>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</si>
  <si>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</si>
  <si>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</si>
  <si>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</si>
  <si>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</si>
  <si>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</si>
  <si>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</si>
  <si>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</si>
  <si>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</si>
  <si>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</si>
  <si>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</si>
  <si>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</si>
  <si>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</si>
  <si>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</si>
  <si>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</si>
  <si>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</si>
  <si>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</si>
  <si>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</si>
  <si>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</si>
  <si>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</si>
  <si>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</si>
  <si>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</si>
  <si>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</si>
  <si>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</si>
  <si>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</si>
  <si>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</si>
  <si>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</si>
  <si>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</si>
  <si>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</si>
  <si>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</si>
  <si>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</si>
  <si>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</si>
  <si>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</si>
  <si>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</si>
  <si>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</si>
  <si>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</si>
  <si>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</si>
  <si>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</si>
  <si>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</si>
  <si>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</si>
  <si>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</si>
  <si>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</si>
  <si>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</si>
  <si>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</si>
  <si>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</si>
  <si>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</si>
  <si>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</si>
  <si>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</si>
  <si>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</si>
  <si>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</si>
  <si>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</si>
  <si>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</si>
  <si>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</si>
  <si>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</si>
  <si>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</si>
  <si>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</si>
  <si>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</si>
  <si>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</si>
  <si>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</si>
  <si>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</si>
  <si>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</si>
  <si>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</si>
  <si>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</si>
  <si>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</si>
  <si>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</si>
  <si>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</si>
  <si>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</si>
  <si>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</si>
  <si>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</si>
  <si>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</si>
  <si>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</si>
  <si>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</si>
  <si>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</si>
  <si>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</si>
  <si>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</si>
  <si>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</si>
  <si>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</si>
  <si>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</si>
  <si>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</si>
  <si>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</si>
  <si>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</si>
  <si>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</si>
  <si>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</si>
  <si>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</si>
  <si>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</si>
  <si>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</si>
  <si>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</si>
  <si>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</si>
  <si>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</si>
  <si>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</si>
  <si>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</si>
  <si>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</si>
  <si>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</si>
  <si>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</si>
  <si>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</si>
  <si>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</si>
  <si>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</si>
  <si>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</si>
  <si>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</si>
  <si>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</si>
  <si>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</si>
  <si>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</si>
  <si>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</si>
  <si>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</si>
  <si>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</si>
  <si>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</si>
  <si>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</si>
  <si>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</si>
  <si>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</si>
  <si>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</si>
  <si>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</si>
  <si>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</si>
  <si>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</si>
  <si>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</si>
  <si>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</si>
  <si>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</si>
  <si>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</si>
  <si>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</si>
  <si>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</si>
  <si>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</si>
  <si>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</si>
  <si>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</si>
  <si>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</si>
  <si>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</si>
  <si>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</si>
  <si>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</si>
  <si>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</si>
  <si>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</si>
  <si>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</si>
  <si>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</si>
  <si>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</si>
  <si>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</si>
  <si>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</si>
  <si>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</si>
  <si>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</si>
  <si>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</si>
  <si>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</si>
  <si>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</si>
  <si>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</si>
  <si>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</si>
  <si>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</si>
  <si>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</si>
  <si>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</si>
  <si>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</si>
  <si>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</si>
  <si>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</si>
  <si>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</si>
  <si>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</si>
  <si>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</si>
  <si>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</si>
  <si>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</si>
  <si>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</si>
  <si>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</si>
  <si>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</si>
  <si>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</si>
  <si>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</si>
  <si>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</si>
  <si>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</si>
  <si>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</si>
  <si>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</si>
  <si>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</si>
  <si>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</si>
  <si>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</si>
  <si>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</si>
  <si>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</si>
  <si>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</si>
  <si>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</si>
  <si>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</si>
  <si>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</si>
  <si>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</si>
  <si>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</si>
  <si>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</si>
  <si>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</si>
  <si>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</si>
  <si>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</si>
  <si>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</si>
  <si>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</si>
  <si>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</si>
  <si>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</si>
  <si>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</si>
  <si>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</si>
  <si>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</si>
  <si>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</si>
  <si>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</si>
  <si>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</si>
  <si>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</si>
  <si>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</si>
  <si>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</si>
  <si>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</si>
  <si>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</si>
  <si>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</si>
  <si>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</si>
  <si>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</si>
  <si>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</si>
  <si>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</si>
  <si>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</si>
  <si>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</si>
  <si>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</si>
  <si>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</si>
  <si>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</si>
  <si>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</si>
  <si>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</si>
  <si>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</si>
  <si>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</si>
  <si>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</si>
  <si>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</si>
  <si>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</si>
  <si>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</si>
  <si>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</si>
  <si>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</si>
  <si>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</si>
  <si>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</si>
  <si>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</si>
  <si>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</si>
  <si>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</si>
  <si>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</si>
  <si>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</si>
  <si>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</si>
  <si>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</si>
  <si>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</si>
  <si>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</si>
  <si>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</si>
  <si>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</si>
  <si>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</si>
  <si>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</si>
  <si>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</si>
  <si>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</si>
  <si>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</si>
  <si>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</si>
  <si>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</si>
  <si>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</si>
  <si>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</si>
  <si>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</si>
  <si>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</si>
  <si>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</si>
  <si>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</si>
  <si>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</si>
  <si>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</si>
  <si>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</si>
  <si>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</si>
  <si>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</si>
  <si>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</si>
  <si>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</si>
  <si>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</si>
  <si>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</si>
  <si>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</si>
  <si>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</si>
  <si>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</si>
  <si>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</si>
  <si>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</si>
  <si>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</si>
  <si>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</si>
  <si>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</si>
  <si>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</si>
  <si>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</si>
  <si>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</si>
  <si>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</si>
  <si>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</si>
  <si>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</si>
  <si>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</si>
  <si>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</si>
  <si>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</si>
  <si>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</si>
  <si>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</si>
  <si>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</si>
  <si>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</si>
  <si>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</si>
  <si>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</si>
  <si>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</si>
  <si>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</si>
  <si>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</si>
  <si>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</si>
  <si>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</si>
  <si>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</si>
  <si>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</si>
  <si>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</si>
  <si>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</si>
  <si>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</si>
  <si>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</si>
  <si>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</si>
  <si>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</si>
  <si>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</si>
  <si>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</si>
  <si>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</si>
  <si>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</si>
  <si>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</si>
  <si>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</si>
  <si>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</si>
  <si>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</si>
  <si>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</si>
  <si>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</si>
  <si>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</si>
  <si>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</si>
  <si>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</si>
  <si>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</si>
  <si>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</si>
  <si>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</si>
  <si>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</si>
  <si>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</si>
  <si>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</si>
  <si>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</si>
  <si>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</si>
  <si>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</si>
  <si>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</si>
  <si>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</si>
  <si>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</si>
  <si>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</si>
  <si>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</si>
  <si>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</si>
  <si>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</si>
  <si>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</si>
  <si>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</si>
  <si>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</si>
  <si>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</si>
  <si>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</si>
  <si>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</si>
  <si>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</si>
  <si>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</si>
  <si>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</si>
  <si>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</si>
  <si>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</si>
  <si>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</si>
  <si>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</si>
  <si>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</si>
  <si>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</si>
  <si>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</si>
  <si>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</si>
  <si>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</si>
  <si>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</si>
  <si>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</si>
  <si>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</si>
  <si>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</si>
  <si>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</si>
  <si>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</si>
  <si>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</si>
  <si>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</si>
  <si>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</si>
  <si>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</si>
  <si>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</si>
  <si>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</si>
  <si>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</si>
  <si>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</si>
  <si>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</si>
  <si>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</si>
  <si>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</si>
  <si>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</si>
  <si>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</si>
  <si>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</si>
  <si>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</si>
  <si>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</si>
  <si>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</si>
  <si>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</si>
  <si>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</si>
  <si>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</si>
  <si>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</si>
  <si>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</si>
  <si>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</si>
  <si>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</si>
  <si>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</si>
  <si>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</si>
  <si>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</si>
  <si>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</si>
  <si>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</si>
  <si>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</si>
  <si>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</si>
  <si>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</si>
  <si>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</si>
  <si>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</si>
  <si>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</si>
  <si>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</si>
  <si>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</si>
  <si>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</si>
  <si>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</si>
  <si>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</si>
  <si>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</si>
  <si>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</si>
  <si>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</si>
  <si>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</si>
  <si>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</si>
  <si>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</si>
  <si>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</si>
  <si>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</si>
  <si>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</si>
  <si>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</si>
  <si>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</si>
  <si>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</si>
  <si>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</si>
  <si>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</si>
  <si>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</si>
  <si>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</si>
  <si>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</si>
  <si>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</si>
  <si>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</si>
  <si>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</si>
  <si>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</si>
  <si>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</si>
  <si>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</si>
  <si>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</si>
  <si>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</si>
  <si>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</si>
  <si>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</si>
  <si>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</si>
  <si>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</si>
  <si>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</si>
  <si>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</si>
  <si>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</si>
  <si>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</si>
  <si>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</si>
  <si>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</si>
  <si>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</si>
  <si>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</si>
  <si>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</si>
  <si>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</si>
  <si>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</si>
  <si>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</si>
  <si>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</si>
  <si>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</si>
  <si>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</si>
  <si>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</si>
  <si>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</si>
  <si>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</si>
  <si>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</si>
  <si>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</si>
  <si>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</si>
  <si>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</si>
  <si>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</si>
  <si>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</si>
  <si>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</si>
  <si>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</si>
  <si>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</si>
  <si>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</si>
  <si>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</si>
  <si>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</si>
  <si>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</si>
  <si>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</si>
  <si>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</si>
  <si>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</si>
  <si>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</si>
  <si>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</si>
  <si>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</si>
  <si>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</si>
  <si>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</si>
  <si>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</si>
  <si>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</si>
  <si>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</si>
  <si>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</si>
  <si>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</si>
  <si>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</si>
  <si>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</si>
  <si>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</si>
  <si>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</si>
  <si>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</si>
  <si>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</si>
  <si>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</si>
  <si>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</si>
  <si>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</si>
  <si>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</si>
  <si>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</si>
  <si>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</si>
  <si>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</si>
  <si>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</si>
  <si>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</si>
  <si>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</si>
  <si>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</si>
  <si>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</si>
  <si>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</si>
  <si>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</si>
  <si>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</si>
  <si>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</si>
  <si>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</si>
  <si>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</si>
  <si>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</si>
  <si>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</si>
  <si>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</si>
  <si>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</si>
  <si>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</si>
  <si>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</si>
  <si>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</si>
  <si>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</si>
  <si>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</si>
  <si>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</si>
  <si>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</si>
  <si>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</si>
  <si>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</si>
  <si>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</si>
  <si>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</si>
  <si>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</si>
  <si>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</si>
  <si>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</si>
  <si>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</si>
  <si>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</si>
  <si>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</si>
  <si>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</si>
  <si>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</si>
  <si>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</si>
  <si>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</si>
  <si>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</si>
  <si>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</si>
  <si>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</si>
  <si>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</si>
  <si>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</si>
  <si>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</si>
  <si>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</si>
  <si>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</si>
  <si>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</si>
  <si>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</si>
  <si>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</si>
  <si>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</si>
  <si>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</si>
  <si>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</si>
  <si>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</si>
  <si>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</si>
  <si>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</si>
  <si>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</si>
  <si>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</si>
  <si>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</si>
  <si>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</si>
  <si>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</si>
  <si>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</si>
  <si>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</si>
  <si>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</si>
  <si>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</si>
  <si>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</si>
  <si>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</si>
  <si>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</si>
  <si>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</si>
  <si>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</si>
  <si>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</si>
  <si>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</si>
  <si>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</si>
  <si>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</si>
  <si>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</si>
  <si>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</si>
  <si>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</si>
  <si>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</si>
  <si>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</si>
  <si>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</si>
  <si>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</si>
  <si>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</si>
  <si>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</si>
  <si>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</si>
  <si>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</si>
  <si>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</si>
  <si>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</si>
  <si>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</si>
  <si>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</si>
  <si>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</si>
  <si>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</si>
  <si>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</si>
  <si>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</si>
  <si>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</si>
  <si>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</si>
  <si>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</si>
  <si>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</si>
  <si>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</si>
  <si>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</si>
  <si>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</si>
  <si>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</si>
  <si>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</si>
  <si>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</si>
  <si>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</si>
  <si>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</si>
  <si>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</si>
  <si>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</si>
  <si>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</si>
  <si>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</si>
  <si>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</si>
  <si>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</si>
  <si>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</si>
  <si>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</si>
  <si>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</si>
  <si>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</si>
  <si>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</si>
  <si>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</si>
  <si>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</si>
  <si>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</si>
  <si>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</si>
  <si>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</si>
  <si>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</si>
  <si>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</si>
  <si>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</si>
  <si>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</si>
  <si>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</si>
  <si>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</si>
  <si>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</si>
  <si>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</si>
  <si>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</si>
  <si>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</si>
  <si>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</si>
  <si>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</si>
  <si>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</si>
  <si>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</si>
  <si>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</si>
  <si>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</si>
  <si>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</si>
  <si>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</si>
  <si>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</si>
  <si>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</si>
  <si>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</si>
  <si>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</si>
  <si>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</si>
  <si>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</si>
  <si>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</si>
  <si>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</si>
  <si>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</si>
  <si>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</si>
  <si>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</si>
  <si>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</si>
  <si>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</si>
  <si>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</si>
  <si>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</si>
  <si>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</si>
  <si>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</si>
  <si>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</si>
  <si>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</si>
  <si>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</si>
  <si>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</si>
  <si>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</si>
  <si>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</si>
  <si>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</si>
  <si>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</si>
  <si>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</si>
  <si>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</si>
  <si>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</si>
  <si>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</si>
  <si>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</si>
  <si>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</si>
  <si>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</si>
  <si>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</si>
  <si>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</si>
  <si>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</si>
  <si>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</si>
  <si>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</si>
  <si>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</si>
  <si>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</si>
  <si>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</si>
  <si>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</si>
  <si>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</si>
  <si>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</si>
  <si>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</si>
  <si>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</si>
  <si>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</si>
  <si>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</si>
  <si>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</si>
  <si>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</si>
  <si>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</si>
  <si>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</si>
  <si>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</si>
  <si>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</si>
  <si>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</si>
  <si>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</si>
  <si>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</si>
  <si>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</si>
  <si>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</si>
  <si>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</si>
  <si>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</si>
  <si>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</si>
  <si>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</si>
  <si>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</si>
  <si>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</si>
  <si>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</si>
  <si>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</si>
  <si>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</si>
  <si>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</si>
  <si>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</si>
  <si>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</si>
  <si>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</si>
  <si>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</si>
  <si>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</si>
  <si>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</si>
  <si>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</si>
  <si>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</si>
  <si>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</si>
  <si>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</si>
  <si>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</si>
  <si>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</si>
  <si>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</si>
  <si>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</si>
  <si>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</si>
  <si>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</si>
  <si>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</si>
  <si>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</si>
  <si>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</si>
  <si>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</si>
  <si>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</si>
  <si>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</si>
  <si>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</si>
  <si>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</si>
  <si>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</si>
  <si>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</si>
  <si>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</si>
  <si>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</si>
  <si>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</si>
  <si>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</si>
  <si>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</si>
  <si>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</si>
  <si>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</si>
  <si>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</si>
  <si>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</si>
  <si>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</si>
  <si>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</si>
  <si>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</si>
  <si>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</si>
  <si>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</si>
  <si>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</si>
  <si>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</si>
  <si>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</si>
  <si>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</si>
  <si>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</si>
  <si>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</si>
  <si>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</si>
  <si>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</si>
  <si>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</si>
  <si>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</si>
  <si>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</si>
  <si>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</si>
  <si>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</si>
  <si>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</si>
  <si>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</si>
  <si>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</si>
  <si>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</si>
  <si>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</si>
  <si>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</si>
  <si>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</si>
  <si>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</si>
  <si>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</si>
  <si>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</si>
  <si>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</si>
  <si>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</si>
  <si>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</si>
  <si>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</si>
  <si>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</si>
  <si>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</si>
  <si>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</si>
  <si>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</si>
  <si>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</si>
  <si>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</si>
  <si>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</si>
  <si>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</si>
  <si>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</si>
  <si>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</si>
  <si>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</si>
  <si>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</si>
  <si>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</si>
  <si>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</si>
  <si>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</si>
  <si>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</si>
  <si>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</si>
  <si>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</si>
  <si>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</si>
  <si>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</si>
  <si>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</si>
  <si>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</si>
  <si>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</si>
  <si>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</si>
  <si>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</si>
  <si>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</si>
  <si>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</si>
  <si>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</si>
  <si>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</si>
  <si>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</si>
  <si>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</si>
  <si>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</si>
  <si>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</si>
  <si>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</si>
  <si>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</si>
  <si>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</si>
  <si>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</si>
  <si>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</si>
  <si>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</si>
  <si>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</si>
  <si>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</si>
  <si>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</si>
  <si>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</si>
  <si>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</si>
  <si>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</si>
  <si>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</si>
  <si>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</si>
  <si>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</si>
  <si>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</si>
  <si>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</si>
  <si>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</si>
  <si>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</si>
  <si>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</si>
  <si>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</si>
  <si>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</si>
  <si>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</si>
  <si>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</si>
  <si>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</si>
  <si>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</si>
  <si>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</si>
  <si>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</si>
  <si>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</si>
  <si>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</si>
  <si>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</si>
  <si>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</si>
  <si>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</si>
  <si>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</si>
  <si>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</si>
  <si>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</si>
  <si>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</si>
  <si>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</si>
  <si>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</si>
  <si>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</si>
  <si>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</si>
  <si>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</si>
  <si>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</si>
  <si>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</si>
  <si>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</si>
  <si>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</si>
  <si>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</si>
  <si>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</si>
  <si>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</si>
  <si>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</si>
  <si>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</si>
  <si>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</si>
  <si>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</si>
  <si>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</si>
  <si>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</si>
  <si>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</si>
  <si>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</si>
  <si>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</si>
  <si>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</si>
  <si>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</si>
  <si>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</si>
  <si>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</si>
  <si>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</si>
  <si>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</si>
  <si>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</si>
  <si>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</si>
  <si>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</si>
  <si>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</si>
  <si>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</si>
  <si>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</si>
  <si>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</si>
  <si>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</si>
  <si>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</si>
  <si>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</si>
  <si>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</si>
  <si>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</si>
  <si>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</si>
  <si>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</si>
  <si>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</si>
  <si>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</si>
  <si>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</si>
  <si>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</si>
  <si>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</si>
  <si>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</si>
  <si>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</si>
  <si>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</si>
  <si>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</si>
  <si>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</si>
  <si>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</si>
  <si>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</si>
  <si>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</si>
  <si>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</si>
  <si>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</si>
  <si>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</si>
  <si>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</si>
  <si>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</si>
  <si>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</si>
  <si>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</si>
  <si>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</si>
  <si>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</si>
  <si>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</si>
  <si>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</si>
  <si>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</si>
  <si>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</si>
  <si>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</si>
  <si>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</si>
  <si>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</si>
  <si>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</si>
  <si>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</si>
  <si>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</si>
  <si>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</si>
  <si>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</si>
  <si>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</si>
  <si>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</si>
  <si>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</si>
  <si>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</si>
  <si>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</si>
  <si>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</si>
  <si>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</si>
  <si>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</si>
  <si>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</si>
  <si>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</si>
  <si>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</si>
  <si>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</si>
  <si>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</si>
  <si>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</si>
  <si>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</si>
  <si>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</si>
  <si>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</si>
  <si>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</si>
  <si>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</si>
  <si>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</si>
  <si>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</si>
  <si>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</si>
  <si>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</si>
  <si>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</si>
  <si>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</si>
  <si>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</si>
  <si>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</si>
  <si>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</si>
  <si>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</si>
  <si>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</si>
  <si>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</si>
  <si>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</si>
  <si>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</si>
  <si>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</si>
  <si>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</si>
  <si>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</si>
  <si>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</si>
  <si>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</si>
  <si>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</si>
  <si>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</si>
  <si>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</si>
  <si>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</si>
  <si>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</si>
  <si>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</si>
  <si>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</si>
  <si>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</si>
  <si>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</si>
  <si>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</si>
  <si>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</si>
  <si>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</si>
  <si>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</si>
  <si>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</si>
  <si>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</si>
  <si>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</si>
  <si>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</si>
  <si>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</si>
  <si>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</si>
  <si>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</si>
  <si>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</si>
  <si>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</si>
  <si>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</si>
  <si>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</si>
  <si>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</si>
  <si>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</si>
  <si>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</si>
  <si>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</si>
  <si>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</si>
  <si>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</si>
  <si>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</si>
  <si>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</si>
  <si>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</si>
  <si>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</si>
  <si>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</si>
  <si>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</si>
  <si>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</si>
  <si>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</si>
  <si>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</si>
  <si>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</si>
  <si>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</si>
  <si>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</si>
  <si>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</si>
  <si>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</si>
  <si>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</si>
  <si>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</si>
  <si>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</si>
  <si>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</si>
  <si>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</si>
  <si>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</si>
  <si>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</si>
  <si>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</si>
  <si>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</si>
  <si>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</si>
  <si>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</si>
  <si>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</si>
  <si>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</si>
  <si>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</si>
  <si>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</si>
  <si>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</si>
  <si>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</si>
  <si>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</si>
  <si>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</si>
  <si>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</si>
  <si>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</si>
  <si>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</si>
  <si>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</si>
  <si>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</si>
  <si>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</si>
  <si>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</si>
  <si>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</si>
  <si>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</si>
  <si>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</si>
  <si>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</si>
  <si>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</si>
  <si>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</si>
  <si>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</si>
  <si>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</si>
  <si>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</si>
  <si>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</si>
  <si>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</si>
  <si>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</si>
  <si>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</si>
  <si>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</si>
  <si>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</si>
  <si>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</si>
  <si>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</si>
  <si>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</si>
  <si>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</si>
  <si>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</si>
  <si>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</si>
  <si>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</si>
  <si>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</si>
  <si>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</si>
  <si>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</si>
  <si>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</si>
  <si>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</si>
  <si>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</si>
  <si>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</si>
  <si>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</si>
  <si>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</si>
  <si>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</si>
  <si>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</si>
  <si>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</si>
  <si>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</si>
  <si>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</si>
  <si>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</si>
  <si>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</si>
  <si>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</si>
  <si>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</si>
  <si>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</si>
  <si>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</si>
  <si>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</si>
  <si>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</si>
  <si>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</si>
  <si>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</si>
  <si>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</si>
  <si>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</si>
  <si>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</si>
  <si>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</si>
  <si>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</si>
  <si>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</si>
  <si>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</si>
  <si>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</si>
  <si>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</si>
  <si>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</si>
  <si>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</si>
  <si>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</si>
  <si>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</si>
  <si>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</si>
  <si>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</si>
  <si>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</si>
  <si>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</si>
  <si>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</si>
  <si>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</si>
  <si>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</si>
  <si>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</si>
  <si>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</si>
  <si>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</si>
  <si>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</si>
  <si>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</si>
  <si>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</si>
  <si>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</si>
  <si>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</si>
  <si>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</si>
  <si>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</si>
  <si>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</si>
  <si>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</si>
  <si>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</si>
  <si>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</si>
  <si>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</si>
  <si>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</si>
  <si>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</si>
  <si>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</si>
  <si>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</si>
  <si>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</si>
  <si>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</si>
  <si>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</si>
  <si>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</si>
  <si>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</si>
  <si>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</si>
  <si>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</si>
  <si>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</si>
  <si>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</si>
  <si>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</si>
  <si>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</si>
  <si>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</si>
  <si>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</si>
  <si>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</si>
  <si>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</si>
  <si>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</si>
  <si>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</si>
  <si>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</si>
  <si>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</si>
  <si>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</si>
  <si>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</si>
  <si>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</si>
  <si>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</si>
  <si>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</si>
  <si>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</si>
  <si>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</si>
  <si>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</si>
  <si>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</si>
  <si>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</si>
  <si>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</si>
  <si>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</si>
  <si>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</si>
  <si>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</si>
  <si>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</si>
  <si>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</si>
  <si>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</si>
  <si>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</si>
  <si>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</si>
  <si>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</si>
  <si>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</si>
  <si>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</si>
  <si>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</si>
  <si>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</si>
  <si>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</si>
  <si>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</si>
  <si>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</si>
  <si>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</si>
  <si>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</si>
  <si>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</si>
  <si>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</si>
  <si>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</si>
  <si>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</si>
  <si>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</si>
  <si>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</si>
  <si>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</si>
  <si>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</si>
  <si>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</si>
  <si>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</si>
  <si>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</si>
  <si>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</si>
  <si>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</si>
  <si>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</si>
  <si>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</si>
  <si>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</si>
  <si>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</si>
  <si>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</si>
  <si>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</si>
  <si>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</si>
  <si>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</si>
  <si>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</si>
  <si>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</si>
  <si>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</si>
  <si>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</si>
  <si>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</si>
  <si>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</si>
  <si>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</si>
  <si>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</si>
  <si>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</si>
  <si>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</si>
  <si>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</si>
  <si>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</si>
  <si>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</si>
  <si>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</si>
  <si>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</si>
  <si>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</si>
  <si>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</si>
  <si>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</si>
  <si>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</si>
  <si>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</si>
  <si>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</si>
  <si>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</si>
  <si>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</si>
  <si>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</si>
  <si>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</si>
  <si>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</si>
  <si>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</si>
  <si>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</si>
  <si>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</si>
  <si>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</si>
  <si>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</si>
  <si>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</si>
  <si>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</si>
  <si>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</si>
  <si>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</si>
  <si>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</si>
  <si>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</si>
  <si>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</si>
  <si>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</si>
  <si>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</si>
  <si>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</si>
  <si>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</si>
  <si>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</si>
  <si>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</si>
  <si>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</si>
  <si>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</si>
  <si>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</si>
  <si>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</si>
  <si>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</si>
  <si>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</si>
  <si>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</si>
  <si>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</si>
  <si>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</si>
  <si>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</si>
  <si>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</si>
  <si>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</si>
  <si>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</si>
  <si>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</si>
  <si>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</si>
  <si>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</si>
  <si>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</si>
  <si>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</si>
  <si>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3</t>
    </r>
    <r>
      <rPr>
        <sz val="10"/>
        <color indexed="8"/>
        <rFont val="宋体"/>
        <family val="3"/>
        <charset val="134"/>
      </rPr>
      <t>号楼</t>
    </r>
    <phoneticPr fontId="3" type="noConversion"/>
  </si>
  <si>
    <t>地上</t>
  </si>
  <si>
    <t>地下</t>
  </si>
  <si>
    <r>
      <t>2</t>
    </r>
    <r>
      <rPr>
        <sz val="10"/>
        <color indexed="8"/>
        <rFont val="宋体"/>
        <family val="3"/>
        <charset val="134"/>
      </rPr>
      <t>幢</t>
    </r>
    <phoneticPr fontId="3" type="noConversion"/>
  </si>
  <si>
    <t>抵押</t>
  </si>
  <si>
    <t>房地产抵押价值</t>
  </si>
  <si>
    <t>北京市</t>
  </si>
  <si>
    <t>企业</t>
  </si>
  <si>
    <t>宗地面积</t>
    <phoneticPr fontId="134" type="noConversion"/>
  </si>
  <si>
    <t>1幢</t>
    <phoneticPr fontId="134" type="noConversion"/>
  </si>
  <si>
    <t>2幢</t>
    <phoneticPr fontId="134" type="noConversion"/>
  </si>
  <si>
    <t>3号楼</t>
    <phoneticPr fontId="134" type="noConversion"/>
  </si>
  <si>
    <t>建筑面积</t>
    <phoneticPr fontId="134" type="noConversion"/>
  </si>
  <si>
    <t>楼号</t>
    <phoneticPr fontId="134" type="noConversion"/>
  </si>
  <si>
    <t>结构</t>
    <phoneticPr fontId="134" type="noConversion"/>
  </si>
  <si>
    <t>建成年代</t>
    <phoneticPr fontId="134" type="noConversion"/>
  </si>
  <si>
    <t>所在楼层</t>
    <phoneticPr fontId="134" type="noConversion"/>
  </si>
  <si>
    <t>混合</t>
    <phoneticPr fontId="134" type="noConversion"/>
  </si>
  <si>
    <t>钢混</t>
  </si>
  <si>
    <t>钢混</t>
    <phoneticPr fontId="134" type="noConversion"/>
  </si>
  <si>
    <r>
      <t>8（</t>
    </r>
    <r>
      <rPr>
        <sz val="11"/>
        <color theme="1"/>
        <rFont val="宋体"/>
        <family val="3"/>
        <charset val="134"/>
        <scheme val="minor"/>
      </rPr>
      <t>-01</t>
    </r>
    <r>
      <rPr>
        <sz val="11"/>
        <color theme="1"/>
        <rFont val="宋体"/>
        <family val="3"/>
        <charset val="134"/>
        <scheme val="minor"/>
      </rPr>
      <t>）</t>
    </r>
    <phoneticPr fontId="134" type="noConversion"/>
  </si>
  <si>
    <r>
      <t>4（-01</t>
    </r>
    <r>
      <rPr>
        <sz val="11"/>
        <color theme="1"/>
        <rFont val="宋体"/>
        <family val="3"/>
        <charset val="134"/>
        <scheme val="minor"/>
      </rPr>
      <t>）</t>
    </r>
    <phoneticPr fontId="134" type="noConversion"/>
  </si>
  <si>
    <t>地下面积</t>
    <phoneticPr fontId="134" type="noConversion"/>
  </si>
  <si>
    <t>空地</t>
    <phoneticPr fontId="134" type="noConversion"/>
  </si>
  <si>
    <t>出让合同宗地面积</t>
    <phoneticPr fontId="134" type="noConversion"/>
  </si>
  <si>
    <t>地上面积</t>
    <phoneticPr fontId="134" type="noConversion"/>
  </si>
  <si>
    <t>合同计算地上总面积</t>
    <phoneticPr fontId="134" type="noConversion"/>
  </si>
  <si>
    <t>否</t>
  </si>
  <si>
    <t>是</t>
  </si>
  <si>
    <t>工业</t>
    <phoneticPr fontId="7" type="noConversion"/>
  </si>
  <si>
    <t>成新度</t>
  </si>
  <si>
    <t>收益法</t>
  </si>
  <si>
    <t>押一</t>
  </si>
  <si>
    <t>非生产用房</t>
  </si>
  <si>
    <t>Ⅵ-BDA核心</t>
  </si>
  <si>
    <t>估价对象容积率</t>
  </si>
  <si>
    <t>不临65条商业街</t>
  </si>
  <si>
    <t>通路</t>
  </si>
  <si>
    <t>通电</t>
  </si>
  <si>
    <t>通讯</t>
  </si>
  <si>
    <t>通上水</t>
  </si>
  <si>
    <t>通下水</t>
  </si>
  <si>
    <t>燃气</t>
  </si>
  <si>
    <t>平整</t>
  </si>
  <si>
    <t>较好</t>
  </si>
  <si>
    <t>一般</t>
  </si>
  <si>
    <t>好</t>
  </si>
  <si>
    <t>未包含在土地购买价格中</t>
  </si>
  <si>
    <t>已包含在土地取得成本中</t>
  </si>
  <si>
    <t>成本法</t>
  </si>
  <si>
    <t>地块名称</t>
  </si>
  <si>
    <t>城市</t>
  </si>
  <si>
    <t>地块编号</t>
  </si>
  <si>
    <t>建设用地面积(㎡)</t>
  </si>
  <si>
    <t>规划建筑面积(㎡)</t>
  </si>
  <si>
    <t>用地性质</t>
  </si>
  <si>
    <t>详细规划</t>
  </si>
  <si>
    <t>出让年限(年)</t>
  </si>
  <si>
    <t>容积率</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</si>
  <si>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</si>
  <si>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</si>
  <si>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</si>
  <si>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</si>
  <si>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</si>
  <si>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</si>
  <si>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</si>
  <si>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</si>
  <si>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</si>
  <si>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</si>
  <si>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</si>
  <si>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</si>
  <si>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亦庄新城YZ00-0702街区N43M1-3地块工业项目</t>
  </si>
  <si>
    <t>京开国士挂[2025]03号</t>
  </si>
  <si>
    <t>M1类工业用地</t>
  </si>
  <si>
    <t>20年</t>
  </si>
  <si>
    <t>1.50</t>
  </si>
  <si>
    <t>挂牌</t>
  </si>
  <si>
    <t/>
  </si>
  <si>
    <t>2025-05-13</t>
  </si>
  <si>
    <t>未成交</t>
  </si>
  <si>
    <t>2025-05-13 15:00</t>
  </si>
  <si>
    <t>亦庄新城YZ00-0204街区X70M1-2地块</t>
  </si>
  <si>
    <t>京开国土挂[2025]01号</t>
  </si>
  <si>
    <t>2025-02-17</t>
  </si>
  <si>
    <t>已成交</t>
  </si>
  <si>
    <t>北京智同精密传动科技有限责任公司</t>
  </si>
  <si>
    <t>2025-02-10 15:00</t>
  </si>
  <si>
    <t>大兴生物医药产业基地DX00-0506-0007地块M1工业用地国有建设用地使用权出让公告</t>
  </si>
  <si>
    <t>京规自挂(兴)工业[2024]008号</t>
  </si>
  <si>
    <t>≤1.0</t>
  </si>
  <si>
    <t>2024-12-26</t>
  </si>
  <si>
    <t>北京九州通医药有限公司</t>
  </si>
  <si>
    <t>2024-12-25 15:00</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</si>
  <si>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</si>
  <si>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</si>
  <si>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</si>
  <si>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</si>
  <si>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</si>
  <si>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</si>
  <si>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</si>
  <si>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2024-12-23 15:00</t>
  </si>
  <si>
    <t>北京大兴国际机场临空经济区0107街区DX16-0107-0033、0056地块W1物流用地</t>
  </si>
  <si>
    <t>京临管挂工业〔2024〕002号</t>
  </si>
  <si>
    <t>W1物流用地</t>
  </si>
  <si>
    <t>1.30</t>
  </si>
  <si>
    <t>2024-12-18</t>
  </si>
  <si>
    <t>华润普仁鸿(北京)医药有限公司</t>
  </si>
  <si>
    <t>2024-12-16 15:00</t>
  </si>
  <si>
    <t>北京大兴国际机场临空经济区0107街区DX16-0107-0098地块W1物流用地</t>
  </si>
  <si>
    <t>京临管挂工业〔2024〕001号</t>
  </si>
  <si>
    <t>30年</t>
  </si>
  <si>
    <t>1.20</t>
  </si>
  <si>
    <t>2024-12-13</t>
  </si>
  <si>
    <t>北京航城兴运商业管理有限公司</t>
  </si>
  <si>
    <t>2024-12-04 15:00</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</si>
  <si>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</si>
  <si>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</si>
  <si>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</si>
  <si>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</si>
  <si>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</si>
  <si>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</si>
  <si>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</si>
  <si>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</si>
  <si>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</si>
  <si>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</si>
  <si>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</si>
  <si>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</si>
  <si>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1</t>
  </si>
  <si>
    <t>2024-09-12</t>
  </si>
  <si>
    <t>流拍</t>
  </si>
  <si>
    <t>2024-09-12 15:00</t>
  </si>
  <si>
    <t>亦庄新城YZ00-0606街区0549地块工业项目</t>
  </si>
  <si>
    <t>京开国土挂[2024]02号</t>
  </si>
  <si>
    <t>小于等于1.5</t>
  </si>
  <si>
    <t>2024-06-03</t>
  </si>
  <si>
    <t>北京电控集成电路制造有限责任公司</t>
  </si>
  <si>
    <t>2024-06-03 15:00</t>
  </si>
  <si>
    <t>大兴新城东南片区DX00-0605-015F1地块M1工业用地国有建设用地使用权出让公告</t>
  </si>
  <si>
    <t>京规自挂(兴)工业[2024]003号</t>
  </si>
  <si>
    <t>工业厂房</t>
  </si>
  <si>
    <t>2</t>
  </si>
  <si>
    <t>2024-05-29</t>
  </si>
  <si>
    <t>2024-05-30 15:00</t>
  </si>
  <si>
    <t>大兴新城东南片区DX00-0605-015F2地块M1工业用地国有建设用地使用权出让公告</t>
  </si>
  <si>
    <t>京规自挂(兴)工业[2024]004号</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</si>
  <si>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</si>
  <si>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</si>
  <si>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</si>
  <si>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</si>
  <si>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</si>
  <si>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</si>
  <si>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</si>
  <si>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</si>
  <si>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</si>
  <si>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</si>
  <si>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</si>
  <si>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</si>
  <si>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</si>
  <si>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</si>
  <si>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</si>
  <si>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2024-04-29 15:00</t>
  </si>
  <si>
    <t>亦庄新城YZ00-0803街区1502地块工业项目</t>
  </si>
  <si>
    <t>京开国土挂[2023]15号</t>
  </si>
  <si>
    <t>一类工业用地(M1)</t>
  </si>
  <si>
    <t>2024-01-31</t>
  </si>
  <si>
    <t>北京亦蓝运营管理有限公司</t>
  </si>
  <si>
    <t>2024-02-01 15:00</t>
  </si>
  <si>
    <t>北京大兴国际机场临空经济区0107街区DX16-0107-0064、0091地块W1物流用地国有建设用地使用权出让</t>
  </si>
  <si>
    <t>京临管挂工业〔2023〕003号</t>
  </si>
  <si>
    <t>2023-12-06</t>
  </si>
  <si>
    <t>2023-12-26 15:00</t>
  </si>
  <si>
    <t>亦庄新城YZ00-0106街区15M1地块工业项目</t>
  </si>
  <si>
    <t>京开国土挂[2023]14号</t>
  </si>
  <si>
    <t>一类工业用地 (M1)</t>
  </si>
  <si>
    <t>≤2.0</t>
  </si>
  <si>
    <t>2023-12-19</t>
  </si>
  <si>
    <t>艾美疫苗股份有限公司</t>
  </si>
  <si>
    <t>亦庄新城0702街区N44M2地块工业项目</t>
  </si>
  <si>
    <t>京开国土挂[2023]13号</t>
  </si>
  <si>
    <t>≤1</t>
  </si>
  <si>
    <t>2023-11-21</t>
  </si>
  <si>
    <t>2023-11-22 15:00</t>
  </si>
  <si>
    <t>亦庄新城YZ00-0206街区X44M1地块M1/M4混合用地项目</t>
  </si>
  <si>
    <t>京开国土挂[2023]12号</t>
  </si>
  <si>
    <t>M1/M4混合</t>
  </si>
  <si>
    <t>≤2.5</t>
  </si>
  <si>
    <t>2023-10-11</t>
  </si>
  <si>
    <t>北京国科天迅科技股份有限公司</t>
  </si>
  <si>
    <t>2023-10-10 15:00</t>
  </si>
  <si>
    <t>亦庄新城0606街区YZ00-0606-0036地块工业项目</t>
  </si>
  <si>
    <t>京开国土挂[2023]10号</t>
  </si>
  <si>
    <t>2023-09-26</t>
  </si>
  <si>
    <t>高频(北京)科技股份有限公司</t>
  </si>
  <si>
    <t>2023-09-26 15:00</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</si>
  <si>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</si>
  <si>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</si>
  <si>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</si>
  <si>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</si>
  <si>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</si>
  <si>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</si>
  <si>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2023-09-18 15:00</t>
  </si>
  <si>
    <t>亦庄新城0803街区YZ00-0803-1102地块工业项目</t>
  </si>
  <si>
    <t>京开国土挂[2023]09号</t>
  </si>
  <si>
    <t>2023-08-02</t>
  </si>
  <si>
    <t>北京百普赛斯生物科技股份有限公司</t>
  </si>
  <si>
    <t>2023-08-02 15:00</t>
  </si>
  <si>
    <t>亦庄新城0205街区X18-1M1地块工业项目</t>
  </si>
  <si>
    <t>京开国土挂[2023]08号</t>
  </si>
  <si>
    <t>2023-07-05</t>
  </si>
  <si>
    <t>北京英创汇智科技有限公司</t>
  </si>
  <si>
    <t>2023-07-04 15:00</t>
  </si>
  <si>
    <t>亦庄新城0701街区N8M3地块工业项目</t>
  </si>
  <si>
    <t>京开国土挂[2023]07号</t>
  </si>
  <si>
    <t>一类工业</t>
  </si>
  <si>
    <t>2023-05-06</t>
  </si>
  <si>
    <t>北京义翘神州科技股份有限公司</t>
  </si>
  <si>
    <t>2023-05-04 15:00</t>
  </si>
  <si>
    <t>北京大兴国际机场临空经济区0206-0052、0206-0053、0206-0070地块M1一类工业用地</t>
  </si>
  <si>
    <t>京临管挂工业〔2023〕001号</t>
  </si>
  <si>
    <t>M1一类工业用地</t>
  </si>
  <si>
    <t>2023-04-17</t>
  </si>
  <si>
    <t>北京航城兴康再生医学科技发展有限公司</t>
  </si>
  <si>
    <t>2023-04-13 15:00</t>
  </si>
  <si>
    <t>亦庄新城0606街区YZ00-0606-0058工业地项目</t>
  </si>
  <si>
    <t>京开国土挂[2023]06号</t>
  </si>
  <si>
    <t>≤2</t>
  </si>
  <si>
    <t>2023-04-05</t>
  </si>
  <si>
    <t>广沣金源(北京)科技有限公司</t>
  </si>
  <si>
    <t>2023-04-06 15:00</t>
  </si>
  <si>
    <t>亦庄新城0606街区YZ00-0606-0041地块工业项目</t>
  </si>
  <si>
    <t>京开国土挂[2023]04号</t>
  </si>
  <si>
    <t>≤1.5</t>
  </si>
  <si>
    <t>2023-03-30</t>
  </si>
  <si>
    <t>北京睿昇精机半导体科技有限公司</t>
  </si>
  <si>
    <t>2023-03-30 15:00</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</si>
  <si>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</si>
  <si>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</si>
  <si>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</si>
  <si>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</si>
  <si>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</si>
  <si>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</si>
  <si>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</si>
  <si>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</si>
  <si>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</si>
  <si>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</si>
  <si>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</si>
  <si>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2023-03-16 15:00</t>
  </si>
  <si>
    <t>亦庄新城0302街区B11M3地块工业项目</t>
  </si>
  <si>
    <t>京开国土挂[2023]01号</t>
  </si>
  <si>
    <t>工业M1</t>
  </si>
  <si>
    <t>≤0.8</t>
  </si>
  <si>
    <t>2023-02-23</t>
  </si>
  <si>
    <t>广钢气体(北京)有限公司</t>
  </si>
  <si>
    <t>2023-02-23 15:00</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</si>
  <si>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</si>
  <si>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</si>
  <si>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</si>
  <si>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</si>
  <si>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</si>
  <si>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</si>
  <si>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</si>
  <si>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</si>
  <si>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</si>
  <si>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</si>
  <si>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</si>
  <si>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</si>
  <si>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</si>
  <si>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</si>
  <si>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</si>
  <si>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</si>
  <si>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</si>
  <si>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</si>
  <si>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</si>
  <si>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</si>
  <si>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</si>
  <si>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</si>
  <si>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2023-01-04 15:00</t>
  </si>
  <si>
    <t>大兴新城东南片区0605-022C地块M2工业用地</t>
  </si>
  <si>
    <t>京规自挂(兴)工业[2022]003号</t>
  </si>
  <si>
    <t>2022-11-03</t>
  </si>
  <si>
    <t>北京天科合达半导体股份有限公司</t>
  </si>
  <si>
    <t>2022-11-03 15:00</t>
  </si>
  <si>
    <t>亦庄新城0606街区YZ00-0606-0027地块</t>
  </si>
  <si>
    <t>京开国土挂[2022]10号</t>
  </si>
  <si>
    <t>工业(M1)</t>
  </si>
  <si>
    <t>2022-10-26</t>
  </si>
  <si>
    <t>盛吉盛半导体科技(北京)有限公司</t>
  </si>
  <si>
    <t>2022-10-26 15:00</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</si>
  <si>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</si>
  <si>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</si>
  <si>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</si>
  <si>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</si>
  <si>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</si>
  <si>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</si>
  <si>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</si>
  <si>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</si>
  <si>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2022-09-05 15:00</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</si>
  <si>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</si>
  <si>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</si>
  <si>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</si>
  <si>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</si>
  <si>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</si>
  <si>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</si>
  <si>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</si>
  <si>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2022-08-15 15:00</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</si>
  <si>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</si>
  <si>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</si>
  <si>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</si>
  <si>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</si>
  <si>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</si>
  <si>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</si>
  <si>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</si>
  <si>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</si>
  <si>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2022-06-30 15:00</t>
  </si>
  <si>
    <t>亦庄新城0701街区N4M1地块工业项目</t>
  </si>
  <si>
    <t>京开国土挂【2022】5号</t>
  </si>
  <si>
    <t>一类 工业用地(M1)</t>
  </si>
  <si>
    <t>2022-06-01</t>
  </si>
  <si>
    <t>华丰燃料电池有限公司</t>
  </si>
  <si>
    <t>2022-06-01 15:00</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</si>
  <si>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</si>
  <si>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</si>
  <si>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</si>
  <si>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</si>
  <si>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</si>
  <si>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</si>
  <si>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</si>
  <si>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</si>
  <si>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2022-05-31 15:00</t>
  </si>
  <si>
    <t>亦庄新城0701街区N23M1、N24M1地块工业项目</t>
  </si>
  <si>
    <t>≤1.7</t>
  </si>
  <si>
    <t>2022-05-19</t>
  </si>
  <si>
    <t>康龙化成(北京)医药科技有限公司</t>
  </si>
  <si>
    <t>2022-05-19 15:00</t>
  </si>
  <si>
    <t>北京经济技术开发区亦庄新城0605街区B2-1-7-1地块工业项目</t>
  </si>
  <si>
    <t>京开国土挂[2022] 1号</t>
  </si>
  <si>
    <t>工业用地(M1)</t>
  </si>
  <si>
    <t>1.54</t>
  </si>
  <si>
    <t>2022-04-20</t>
  </si>
  <si>
    <t>北京新光凯乐汽车冷成型件股份有限公司</t>
  </si>
  <si>
    <t>地面单价</t>
    <phoneticPr fontId="134" type="noConversion"/>
  </si>
  <si>
    <r>
      <t>5</t>
    </r>
    <r>
      <rPr>
        <sz val="11"/>
        <color theme="1"/>
        <rFont val="宋体"/>
        <family val="3"/>
        <charset val="134"/>
        <scheme val="minor"/>
      </rPr>
      <t>0年楼面</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</si>
</sst>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2"/>
      <color theme="1"/>
      <name val="宋体"/>
      <family val="2"/>
      <scheme val="minor"/>
    </font>
    <font>
      <sz val="12"/>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0" applyFont="1">
      <alignment vertical="center"/>
    </xf>
    <xf numFmtId="0" fontId="95" fillId="0" borderId="1" xfId="0" applyFont="1" applyBorder="1">
      <alignment vertical="center"/>
    </xf>
    <xf numFmtId="0" fontId="0" fillId="0" borderId="1" xfId="0" applyBorder="1">
      <alignment vertical="center"/>
    </xf>
    <xf numFmtId="0" fontId="0" fillId="0" borderId="15" xfId="0" applyFont="1" applyFill="1" applyBorder="1">
      <alignment vertical="center"/>
    </xf>
    <xf numFmtId="179" fontId="44" fillId="22" borderId="23" xfId="0" applyNumberFormat="1" applyFont="1" applyFill="1" applyBorder="1" applyAlignment="1" applyProtection="1">
      <alignment horizontal="center" vertical="center"/>
      <protection locked="0"/>
    </xf>
    <xf numFmtId="0" fontId="272"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95"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3" fillId="0" borderId="0" xfId="19" applyNumberFormat="1"/>
    <xf numFmtId="0" fontId="274" fillId="0" borderId="0" xfId="19" applyNumberFormat="1" applyFont="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2</xdr:row>
      <xdr:rowOff>0</xdr:rowOff>
    </xdr:from>
    <xdr:to>
      <xdr:col>26</xdr:col>
      <xdr:colOff>342171</xdr:colOff>
      <xdr:row>31</xdr:row>
      <xdr:rowOff>8902</xdr:rowOff>
    </xdr:to>
    <xdr:pic>
      <xdr:nvPicPr>
        <xdr:cNvPr id="2" name="图片 1"/>
        <xdr:cNvPicPr>
          <a:picLocks noChangeAspect="1"/>
        </xdr:cNvPicPr>
      </xdr:nvPicPr>
      <xdr:blipFill>
        <a:blip xmlns:r="http://schemas.openxmlformats.org/officeDocument/2006/relationships" r:embed="rId1"/>
        <a:stretch>
          <a:fillRect/>
        </a:stretch>
      </xdr:blipFill>
      <xdr:spPr>
        <a:xfrm>
          <a:off x="11658600" y="342900"/>
          <a:ext cx="5828571" cy="49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9</xdr:row>
      <xdr:rowOff>9331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8" cy="1552381"/>
        </a:xfrm>
        <a:prstGeom prst="rect">
          <a:avLst/>
        </a:prstGeom>
      </xdr:spPr>
    </xdr:pic>
    <xdr:clientData/>
  </xdr:twoCellAnchor>
  <xdr:twoCellAnchor editAs="oneCell">
    <xdr:from>
      <xdr:col>0</xdr:col>
      <xdr:colOff>0</xdr:colOff>
      <xdr:row>9</xdr:row>
      <xdr:rowOff>0</xdr:rowOff>
    </xdr:from>
    <xdr:to>
      <xdr:col>11</xdr:col>
      <xdr:colOff>570486</xdr:colOff>
      <xdr:row>16</xdr:row>
      <xdr:rowOff>152231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8114286" cy="1352381"/>
        </a:xfrm>
        <a:prstGeom prst="rect">
          <a:avLst/>
        </a:prstGeom>
      </xdr:spPr>
    </xdr:pic>
    <xdr:clientData/>
  </xdr:twoCellAnchor>
  <xdr:twoCellAnchor editAs="oneCell">
    <xdr:from>
      <xdr:col>0</xdr:col>
      <xdr:colOff>0</xdr:colOff>
      <xdr:row>17</xdr:row>
      <xdr:rowOff>0</xdr:rowOff>
    </xdr:from>
    <xdr:to>
      <xdr:col>11</xdr:col>
      <xdr:colOff>189533</xdr:colOff>
      <xdr:row>24</xdr:row>
      <xdr:rowOff>171279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7733333" cy="1371429"/>
        </a:xfrm>
        <a:prstGeom prst="rect">
          <a:avLst/>
        </a:prstGeom>
      </xdr:spPr>
    </xdr:pic>
    <xdr:clientData/>
  </xdr:twoCellAnchor>
  <xdr:twoCellAnchor editAs="oneCell">
    <xdr:from>
      <xdr:col>0</xdr:col>
      <xdr:colOff>0</xdr:colOff>
      <xdr:row>25</xdr:row>
      <xdr:rowOff>0</xdr:rowOff>
    </xdr:from>
    <xdr:to>
      <xdr:col>12</xdr:col>
      <xdr:colOff>313257</xdr:colOff>
      <xdr:row>48</xdr:row>
      <xdr:rowOff>113793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286250"/>
          <a:ext cx="8542857" cy="4057143"/>
        </a:xfrm>
        <a:prstGeom prst="rect">
          <a:avLst/>
        </a:prstGeom>
      </xdr:spPr>
    </xdr:pic>
    <xdr:clientData/>
  </xdr:twoCellAnchor>
  <xdr:twoCellAnchor editAs="oneCell">
    <xdr:from>
      <xdr:col>0</xdr:col>
      <xdr:colOff>0</xdr:colOff>
      <xdr:row>49</xdr:row>
      <xdr:rowOff>0</xdr:rowOff>
    </xdr:from>
    <xdr:to>
      <xdr:col>11</xdr:col>
      <xdr:colOff>608581</xdr:colOff>
      <xdr:row>88</xdr:row>
      <xdr:rowOff>46783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8401050"/>
          <a:ext cx="8152381" cy="67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123825</xdr:colOff>
      <xdr:row>24</xdr:row>
      <xdr:rowOff>76200</xdr:rowOff>
    </xdr:from>
    <xdr:to>
      <xdr:col>35</xdr:col>
      <xdr:colOff>284873</xdr:colOff>
      <xdr:row>53</xdr:row>
      <xdr:rowOff>66113</xdr:rowOff>
    </xdr:to>
    <xdr:pic>
      <xdr:nvPicPr>
        <xdr:cNvPr id="2" name="图片 1"/>
        <xdr:cNvPicPr>
          <a:picLocks noChangeAspect="1"/>
        </xdr:cNvPicPr>
      </xdr:nvPicPr>
      <xdr:blipFill>
        <a:blip xmlns:r="http://schemas.openxmlformats.org/officeDocument/2006/relationships" r:embed="rId1"/>
        <a:stretch>
          <a:fillRect/>
        </a:stretch>
      </xdr:blipFill>
      <xdr:spPr>
        <a:xfrm>
          <a:off x="21650325" y="1704975"/>
          <a:ext cx="7019048"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27979;&#31639;&#34920;-&#36213;&#38639;20250421-1516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信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7132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估价对象为北京市房地产，为所有。根据《国有土地使用证》[]，估价对象（分摊）出让国有建设用地使用权面积为76950.1平方米，建筑面积为86219.39平方米。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估价对象为北京市房地产,属开发建设的，该项目尚在开发建设中。根据《国有土地使用证》[]，估价对象（分摊）出让国有建设用地使用权面积为76950.1平方米，规划建筑面积为86219.39平方米。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2025年4月14日（评估专业人员实地查勘之日）</v>
      </c>
    </row>
    <row r="13" spans="1:2" s="1203" customFormat="1">
      <c r="A13" s="1201" t="s">
        <v>529</v>
      </c>
      <c r="B13" s="1202" t="str">
        <f>'预评函-1'!A18</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86219.39</v>
      </c>
    </row>
    <row r="44" spans="1:2" s="1203" customFormat="1">
      <c r="A44" s="1201" t="s">
        <v>575</v>
      </c>
      <c r="B44" s="1202" t="str">
        <f>'预评函-3'!C2</f>
        <v>(分摊)土地面积</v>
      </c>
    </row>
    <row r="45" spans="1:2" s="1203" customFormat="1">
      <c r="A45" s="1201" t="s">
        <v>547</v>
      </c>
      <c r="B45" s="1202">
        <f>'预评函-3'!C4</f>
        <v>76950.100000000006</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N14" sqref="N1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4" t="s">
        <v>2580</v>
      </c>
      <c r="J2" s="3514"/>
      <c r="K2" s="3514"/>
      <c r="L2" s="3514"/>
      <c r="M2" s="3514"/>
      <c r="N2" s="3514"/>
      <c r="O2" s="3514"/>
      <c r="P2" s="3514"/>
      <c r="Q2" s="3514"/>
      <c r="R2" s="3514"/>
    </row>
    <row r="3" spans="1:18">
      <c r="A3" s="3020" t="s">
        <v>2501</v>
      </c>
      <c r="B3" s="3021">
        <f>项目基本情况!D3</f>
        <v>45761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1.68</v>
      </c>
      <c r="D5" s="3025">
        <f>IF(ISERROR(ROUND(POWER(1+E5,A5-C5)*(POWER(1+E5,C5)-1)/(POWER(1+E5,A5)-1),3)),0,ROUND(POWER(1+E5,A5-C5)*(POWER(1+E5,C5)-1)/(POWER(1+E5,A5)-1),4))</f>
        <v>8.0500000000000002E-2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11.69</v>
      </c>
      <c r="D6" s="3025">
        <f>IF(ISERROR(ROUND(POWER(1+E6,A6-C6)*(POWER(1+E6,C6)-1)/(POWER(1+E6,A6)-1),3)),0,ROUND(POWER(1+E6,A6-C6)*(POWER(1+E6,C6)-1)/(POWER(1+E6,A6)-1),4))</f>
        <v>0.42799999999999999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v>
      </c>
      <c r="D7" s="3025">
        <f>IF(ISERROR(ROUND(POWER(1+E7,A7-C7)*(POWER(1+E7,C7)-1)/(POWER(1+E7,A7)-1),3)),0,ROUND(POWER(1+E7,A7-C7)*(POWER(1+E7,C7)-1)/(POWER(1+E7,A7)-1),4))</f>
        <v>0.76039999999999996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50</v>
      </c>
      <c r="C11" s="3023" t="s">
        <v>2510</v>
      </c>
      <c r="D11" s="3029">
        <v>4.4999999999999998E-2</v>
      </c>
      <c r="E11" s="3023" t="s">
        <v>2511</v>
      </c>
      <c r="F11" s="3030">
        <f>ROUND(1-(1/(POWER(1+D11,B11))),4)</f>
        <v>0.88929999999999998</v>
      </c>
    </row>
    <row r="12" spans="1:18">
      <c r="A12" s="3020" t="s">
        <v>2512</v>
      </c>
      <c r="B12" s="3028">
        <v>18</v>
      </c>
      <c r="C12" s="3023" t="s">
        <v>2513</v>
      </c>
      <c r="D12" s="3029">
        <v>4.4999999999999998E-2</v>
      </c>
      <c r="E12" s="3023" t="s">
        <v>2514</v>
      </c>
      <c r="F12" s="3030">
        <f>ROUND(1-(1/(POWER(1+D12,B12))),4)</f>
        <v>0.54720000000000002</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3076.58</v>
      </c>
      <c r="C15" s="3023">
        <f>ROUND(F12/F11,4)</f>
        <v>0.61529999999999996</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7817.13</v>
      </c>
      <c r="C18" s="3032">
        <f>ROUND(F11/F12,4)</f>
        <v>1.6252</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31" sqref="G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45761</v>
      </c>
      <c r="C3" s="2374" t="s">
        <v>2171</v>
      </c>
      <c r="D3" s="2373">
        <v>45761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3416</v>
      </c>
      <c r="C8" s="2390"/>
      <c r="D8" s="3518" t="s">
        <v>2177</v>
      </c>
      <c r="E8" s="2391" t="s">
        <v>3417</v>
      </c>
      <c r="F8" s="2392"/>
      <c r="G8" s="2663"/>
      <c r="H8" s="2663"/>
      <c r="I8" s="2663"/>
      <c r="J8" s="2439"/>
      <c r="K8" s="2614"/>
      <c r="L8" s="2613"/>
      <c r="M8" s="2613"/>
      <c r="N8" s="2439"/>
      <c r="O8" s="2450"/>
      <c r="P8" s="2439"/>
      <c r="Q8" s="2439"/>
      <c r="R8" s="2439"/>
    </row>
    <row r="9" spans="1:30" ht="13.5" thickBot="1">
      <c r="A9" s="2393" t="s">
        <v>2178</v>
      </c>
      <c r="B9" s="2394" t="s">
        <v>3417</v>
      </c>
      <c r="C9" s="2395"/>
      <c r="D9" s="3519"/>
      <c r="E9" s="2394"/>
      <c r="F9" s="2396"/>
      <c r="G9" s="2665"/>
      <c r="H9" s="2665"/>
      <c r="I9" s="2665"/>
      <c r="J9" s="2439"/>
      <c r="K9" s="2616"/>
      <c r="L9" s="2613"/>
      <c r="M9" s="2613"/>
      <c r="N9" s="2439"/>
      <c r="O9" s="2450"/>
      <c r="P9" s="2439"/>
      <c r="Q9" s="2439"/>
      <c r="R9" s="2439"/>
    </row>
    <row r="10" spans="1:30" ht="13.5" thickTop="1">
      <c r="A10" s="2397" t="s">
        <v>2179</v>
      </c>
      <c r="B10" s="2398" t="s">
        <v>3418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55147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25.71</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86219.39</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76950.100000000006</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3446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106240.89</v>
      </c>
      <c r="B3" s="11">
        <f>IF(C3="否",G5-AT5,G5)</f>
        <v>119038.51000000001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119038.51000000001</v>
      </c>
      <c r="H5" s="13">
        <f t="shared" ref="H5:AT5" si="0">SUM(H13:H656)</f>
        <v>119038.51000000001</v>
      </c>
      <c r="I5" s="13">
        <f t="shared" si="0"/>
        <v>116857.51000000001</v>
      </c>
      <c r="J5" s="13">
        <f t="shared" si="0"/>
        <v>0</v>
      </c>
      <c r="K5" s="13">
        <f t="shared" si="0"/>
        <v>2181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86219.39</v>
      </c>
      <c r="BA5" s="15">
        <f t="shared" si="1"/>
        <v>86219.39</v>
      </c>
      <c r="BB5" s="15">
        <f t="shared" si="1"/>
        <v>84038.39</v>
      </c>
      <c r="BC5" s="15">
        <f t="shared" si="1"/>
        <v>2181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106240.89</v>
      </c>
      <c r="F6" s="13" t="s">
        <v>0</v>
      </c>
      <c r="G6" s="13" t="s">
        <v>1</v>
      </c>
      <c r="H6" s="17">
        <f>SUMIF(I$12:AB$12,"总值",I6:AB6)</f>
        <v>106240.89</v>
      </c>
      <c r="I6" s="13">
        <f t="shared" ref="I6:AB6" si="2">ROUND($A$3*I5/$B$3,2)</f>
        <v>104294.37</v>
      </c>
      <c r="J6" s="13">
        <f t="shared" si="2"/>
        <v>0</v>
      </c>
      <c r="K6" s="13">
        <f t="shared" si="2"/>
        <v>1946.52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76950.100000000006</v>
      </c>
      <c r="AZ6" s="13" t="s">
        <v>2</v>
      </c>
      <c r="BA6" s="13">
        <f>ROUND($AY$6*BA5/$AZ$5,2)</f>
        <v>76950.100000000006</v>
      </c>
      <c r="BB6" s="13">
        <f>ROUND($AY$6*BB5/$AZ$5,2)</f>
        <v>75003.58</v>
      </c>
      <c r="BC6" s="13">
        <f t="shared" ref="BC6:BH6" si="4">ROUND($AY$6*BC5/$AZ$5,2)</f>
        <v>1946.52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3413</v>
      </c>
      <c r="J9" s="809"/>
      <c r="K9" s="1603" t="s">
        <v>3414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3412</v>
      </c>
      <c r="D13" s="1625" t="s">
        <v>3440</v>
      </c>
      <c r="E13" s="13">
        <f>IF($C$3="是",ROUND($A$3*G13/$B$3,2),ROUND($A$3*(G13-AT13)/$B$3,2))</f>
        <v>76950.100000000006</v>
      </c>
      <c r="F13" s="29"/>
      <c r="G13" s="30">
        <f>H13+AC13+AT13</f>
        <v>86219.39</v>
      </c>
      <c r="H13" s="17">
        <f>SUMIF(I$12:AB$12,"总值",I13:AB13)</f>
        <v>86219.39</v>
      </c>
      <c r="I13" s="1626">
        <f>86219.39-K13</f>
        <v>84038.39</v>
      </c>
      <c r="J13" s="1626"/>
      <c r="K13" s="1626">
        <v>2181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3号楼</v>
      </c>
      <c r="AY13" s="1349">
        <f>ROUND($AY$6*AZ13/$AZ$5,2)</f>
        <v>76950.100000000006</v>
      </c>
      <c r="AZ13" s="13">
        <f>BA13+BL13</f>
        <v>86219.39</v>
      </c>
      <c r="BA13" s="13">
        <f>SUM(BB13:BK13)</f>
        <v>86219.39</v>
      </c>
      <c r="BB13" s="13">
        <f>IF($D13="是",I13-J13,0)</f>
        <v>84038.39</v>
      </c>
      <c r="BC13" s="13">
        <f>IF($D13="是",K13-L13,0)</f>
        <v>2181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3415</v>
      </c>
      <c r="D14" s="1625" t="s">
        <v>3439</v>
      </c>
      <c r="E14" s="13">
        <f>IF($C$3="是",ROUND($A$3*G14/$B$3,2),ROUND($A$3*(G14-AT14)/$B$3,2))</f>
        <v>29290.79</v>
      </c>
      <c r="F14" s="29"/>
      <c r="G14" s="30">
        <f>H14+AC14+AT14</f>
        <v>32819.120000000003</v>
      </c>
      <c r="H14" s="17">
        <f>SUMIF(I$12:AB$12,"总值",I14:AB14)</f>
        <v>32819.120000000003</v>
      </c>
      <c r="I14" s="1626">
        <v>32819.120000000003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2幢</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N11"/>
  <sheetViews>
    <sheetView workbookViewId="0">
      <selection activeCell="F23" sqref="F23"/>
    </sheetView>
  </sheetViews>
  <sheetFormatPr defaultRowHeight="13.5"/>
  <cols>
    <col min="3" max="3" width="17.125" customWidth="1"/>
    <col min="5" max="5" width="12.25" customWidth="1"/>
  </cols>
  <sheetData>
    <row r="1" spans="2:14">
      <c r="B1" s="3546" t="s">
        <v>3420</v>
      </c>
      <c r="C1" s="3546"/>
      <c r="D1" s="3468" t="s">
        <v>3425</v>
      </c>
      <c r="E1" s="3468" t="s">
        <v>3424</v>
      </c>
      <c r="F1" s="3468" t="s">
        <v>3426</v>
      </c>
      <c r="G1" s="3468" t="s">
        <v>3427</v>
      </c>
      <c r="H1" s="3468" t="s">
        <v>3428</v>
      </c>
    </row>
    <row r="2" spans="2:14">
      <c r="B2" s="3545">
        <v>130469.7</v>
      </c>
      <c r="C2" s="3469">
        <f>162356.3-C3-C5</f>
        <v>24227.909999999989</v>
      </c>
      <c r="D2" s="3468" t="s">
        <v>3421</v>
      </c>
      <c r="E2" s="3469">
        <v>19012.77</v>
      </c>
      <c r="F2" s="3468" t="s">
        <v>3429</v>
      </c>
      <c r="G2" s="3469">
        <v>2003</v>
      </c>
      <c r="H2" s="3468" t="s">
        <v>3432</v>
      </c>
      <c r="J2" s="3467" t="s">
        <v>3434</v>
      </c>
      <c r="K2">
        <v>2181</v>
      </c>
      <c r="N2">
        <v>74297</v>
      </c>
    </row>
    <row r="3" spans="2:14">
      <c r="B3" s="3545"/>
      <c r="C3" s="3545">
        <v>106240.89</v>
      </c>
      <c r="D3" s="3468" t="s">
        <v>3422</v>
      </c>
      <c r="E3" s="3469">
        <v>32819.120000000003</v>
      </c>
      <c r="F3" s="3468" t="s">
        <v>3429</v>
      </c>
      <c r="G3" s="3469">
        <v>2003</v>
      </c>
      <c r="H3" s="3469">
        <v>4</v>
      </c>
      <c r="N3">
        <v>10543</v>
      </c>
    </row>
    <row r="4" spans="2:14">
      <c r="B4" s="3545"/>
      <c r="C4" s="3545"/>
      <c r="D4" s="3468" t="s">
        <v>3423</v>
      </c>
      <c r="E4" s="3469">
        <v>86219.39</v>
      </c>
      <c r="F4" s="3468" t="s">
        <v>3431</v>
      </c>
      <c r="G4" s="3469">
        <v>2016</v>
      </c>
      <c r="H4" s="3468" t="s">
        <v>3433</v>
      </c>
      <c r="I4">
        <f>ROUND(1-(2025-G4)/60,2)</f>
        <v>0.85</v>
      </c>
      <c r="N4">
        <v>2266.3200000000002</v>
      </c>
    </row>
    <row r="5" spans="2:14">
      <c r="B5" s="3469">
        <f>C5</f>
        <v>31887.5</v>
      </c>
      <c r="C5" s="3469">
        <v>31887.5</v>
      </c>
      <c r="D5" s="3546" t="s">
        <v>3435</v>
      </c>
      <c r="E5" s="3545"/>
      <c r="F5" s="3545"/>
      <c r="G5" s="3545"/>
      <c r="H5" s="3545"/>
      <c r="N5">
        <f>N2+N3+N4</f>
        <v>87106.32</v>
      </c>
    </row>
    <row r="6" spans="2:14">
      <c r="B6" s="3469">
        <f>B2+B5</f>
        <v>162357.20000000001</v>
      </c>
      <c r="C6" s="3469">
        <f>C2+C3+C5</f>
        <v>162356.29999999999</v>
      </c>
      <c r="D6" s="3469"/>
      <c r="E6" s="3469">
        <f>E2+E3+E4</f>
        <v>138051.28</v>
      </c>
      <c r="F6" s="3469"/>
      <c r="G6" s="3469"/>
      <c r="H6" s="3469"/>
    </row>
    <row r="7" spans="2:14">
      <c r="C7" s="3467" t="s">
        <v>3436</v>
      </c>
      <c r="D7" s="3470" t="s">
        <v>3437</v>
      </c>
      <c r="E7">
        <f>E6-K2</f>
        <v>135870.28</v>
      </c>
    </row>
    <row r="8" spans="2:14">
      <c r="D8" s="3470" t="s">
        <v>3438</v>
      </c>
      <c r="E8">
        <f>C6*1.2</f>
        <v>194827.55999999997</v>
      </c>
    </row>
    <row r="9" spans="2:14">
      <c r="E9">
        <f>E8-E7</f>
        <v>58957.27999999997</v>
      </c>
    </row>
    <row r="11" spans="2:14">
      <c r="E11">
        <f>C5*1.2</f>
        <v>38265</v>
      </c>
    </row>
  </sheetData>
  <mergeCells count="4">
    <mergeCell ref="C3:C4"/>
    <mergeCell ref="B1:C1"/>
    <mergeCell ref="B2:B4"/>
    <mergeCell ref="D5:H5"/>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1" sqref="K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9"/>
      <c r="G2" s="2650"/>
      <c r="H2" s="2651"/>
      <c r="I2" s="2325" t="s">
        <v>1132</v>
      </c>
      <c r="J2" s="2659"/>
      <c r="K2" s="2659"/>
      <c r="L2" s="2659"/>
      <c r="M2" s="2659"/>
      <c r="N2" s="2661"/>
      <c r="O2" s="2659"/>
      <c r="P2" s="2659"/>
    </row>
    <row r="3" spans="1:16" ht="15.75" thickBot="1">
      <c r="A3" s="3557" t="s">
        <v>1105</v>
      </c>
      <c r="B3" s="3557"/>
      <c r="C3" s="3557"/>
      <c r="D3" s="43">
        <f>'数据-基础表'!AY6</f>
        <v>76950.100000000006</v>
      </c>
      <c r="E3" s="43">
        <f>'数据-基础表'!AZ5</f>
        <v>86219.39</v>
      </c>
      <c r="F3" s="2659"/>
      <c r="G3" s="1145"/>
      <c r="H3" s="1026" t="s">
        <v>1106</v>
      </c>
      <c r="I3" s="855">
        <f>ROUND('数据-基础表'!B3/'数据-基础表'!A3,2)</f>
        <v>1.1200000000000001</v>
      </c>
      <c r="J3" s="2659"/>
      <c r="K3" s="2659"/>
      <c r="L3" s="2659"/>
      <c r="M3" s="2659"/>
      <c r="N3" s="2661"/>
      <c r="O3" s="2659"/>
      <c r="P3" s="2659"/>
    </row>
    <row r="4" spans="1:16" ht="15">
      <c r="A4" s="3558"/>
      <c r="B4" s="3559"/>
      <c r="C4" s="3560"/>
      <c r="D4" s="1641" t="s">
        <v>1107</v>
      </c>
      <c r="E4" s="1642" t="s">
        <v>1108</v>
      </c>
      <c r="F4" s="2659"/>
      <c r="G4" s="2652" t="s">
        <v>1133</v>
      </c>
      <c r="H4" s="1026" t="s">
        <v>1113</v>
      </c>
      <c r="I4" s="855">
        <f>ROUND(SUMIF('数据-基础表'!I9:AS9,"地上",'数据-基础表'!I5:AS5)/'数据-基础表'!A3,2)</f>
        <v>1.1000000000000001</v>
      </c>
      <c r="J4" s="2659"/>
      <c r="K4" s="2659"/>
      <c r="L4" s="2659"/>
      <c r="M4" s="2659"/>
      <c r="N4" s="2661"/>
      <c r="O4" s="2659"/>
      <c r="P4" s="2659"/>
    </row>
    <row r="5" spans="1:16">
      <c r="A5" s="44" t="s">
        <v>1109</v>
      </c>
      <c r="B5" s="3561" t="s">
        <v>1110</v>
      </c>
      <c r="C5" s="3561"/>
      <c r="D5" s="45">
        <f>ROUND($D$3*E5/$E$3,2)</f>
        <v>0</v>
      </c>
      <c r="E5" s="46">
        <f>SUMIF('数据-基础表'!$11:$11,"住宅",'数据-基础表'!$5:$5)</f>
        <v>0</v>
      </c>
      <c r="F5" s="2659"/>
      <c r="G5" s="1145"/>
      <c r="H5" s="1026" t="s">
        <v>1106</v>
      </c>
      <c r="I5" s="855">
        <f>ROUND(E31/D31,2)</f>
        <v>1.1200000000000001</v>
      </c>
      <c r="J5" s="2659"/>
      <c r="K5" s="2659"/>
      <c r="L5" s="2659"/>
      <c r="M5" s="2659"/>
      <c r="N5" s="2659"/>
      <c r="O5" s="2659"/>
      <c r="P5" s="2659"/>
    </row>
    <row r="6" spans="1:16" ht="15" thickBot="1">
      <c r="A6" s="1644"/>
      <c r="B6" s="3561" t="s">
        <v>1111</v>
      </c>
      <c r="C6" s="3561"/>
      <c r="D6" s="45">
        <f>ROUND($D$3*E6/$E$3,2)</f>
        <v>76950.100000000006</v>
      </c>
      <c r="E6" s="46">
        <f>E3-E5</f>
        <v>86219.39</v>
      </c>
      <c r="F6" s="2659"/>
      <c r="G6" s="2653" t="s">
        <v>1112</v>
      </c>
      <c r="H6" s="1146" t="s">
        <v>1113</v>
      </c>
      <c r="I6" s="2654">
        <f>ROUND(F31/D31,2)</f>
        <v>1.0900000000000001</v>
      </c>
      <c r="J6" s="2659"/>
      <c r="K6" s="2659"/>
      <c r="L6" s="2659"/>
      <c r="M6" s="2659"/>
      <c r="N6" s="2659"/>
      <c r="O6" s="2659"/>
      <c r="P6" s="2659"/>
    </row>
    <row r="7" spans="1:16" ht="15.75" thickBot="1">
      <c r="A7" s="3553"/>
      <c r="B7" s="3554"/>
      <c r="C7" s="355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75003.58</v>
      </c>
      <c r="E8" s="48">
        <f>SUMIF('数据-基础表'!BB10:BK10,"地上",'数据-基础表'!BB5:BK5)</f>
        <v>84038.39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75003.58</v>
      </c>
      <c r="E16" s="50">
        <f>SUM(E8:E15)</f>
        <v>84038.39</v>
      </c>
      <c r="F16" s="2659"/>
      <c r="G16" s="2660"/>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3441</v>
      </c>
      <c r="D19" s="45">
        <f>ROUND($D$3*E19/$E$3,2)</f>
        <v>76950.100000000006</v>
      </c>
      <c r="E19" s="53">
        <f t="shared" ref="E19:E26" si="1">SUM(F19:G19)</f>
        <v>86219.39</v>
      </c>
      <c r="F19" s="2795">
        <f>'数据-基础表'!I13</f>
        <v>84038.39</v>
      </c>
      <c r="G19" s="2796">
        <f>'数据-基础表'!K13</f>
        <v>2181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76950.100000000006</v>
      </c>
      <c r="S19" s="1027">
        <f t="shared" si="5"/>
        <v>86219.39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76950.100000000006</v>
      </c>
      <c r="E27" s="1141">
        <f>IF(SUM(E19:E26)='数据-基础表'!BA5,SUM(E19:E26),IF(F27="地上面积有误","面积有误","地下面积有误"))</f>
        <v>86219.39</v>
      </c>
      <c r="F27" s="1140">
        <f>IF(SUM(F19:F26)=E8,SUM(F19:F26),"地上面积有误")</f>
        <v>84038.39</v>
      </c>
      <c r="G27" s="1142">
        <f>SUM(G19:G26)</f>
        <v>2181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76950.100000000006</v>
      </c>
      <c r="S27" s="1026">
        <f>IF(SUM(S19:S26)=$E$3,SUM(S19:S26),SUM(S19:S26)&amp;"误差"&amp;ROUND(SUM(S19:S26)-E3,2))</f>
        <v>86219.39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76950.100000000006</v>
      </c>
      <c r="E31" s="676">
        <f>E27+E30</f>
        <v>86219.39</v>
      </c>
      <c r="F31" s="677">
        <f>F27+F30</f>
        <v>84038.39</v>
      </c>
      <c r="G31" s="678">
        <f>G27+G30</f>
        <v>2181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W10" sqref="W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55147</v>
      </c>
      <c r="F6" s="64">
        <f>SUMIF(项目基本情况!C$12:I$12,C6,项目基本情况!C$15:I$15)</f>
        <v>25.71</v>
      </c>
      <c r="G6" s="65">
        <f>IF(ISERROR(ROUND(POWER(1+H6,D6-F6)*(POWER(1+H6,F6)-1)/(POWER(1+H6,D6)-1),3)),0,ROUND(POWER(1+H6,D6-F6)*(POWER(1+H6,F6)-1)/(POWER(1+H6,D6)-1),3))</f>
        <v>0.78300000000000003</v>
      </c>
      <c r="H6" s="732">
        <v>0.05</v>
      </c>
      <c r="I6" s="732">
        <v>5.5E-2</v>
      </c>
      <c r="J6" s="66">
        <v>7.0000000000000007E-2</v>
      </c>
      <c r="K6" s="1030">
        <f>SUMIF('数据-汇总表'!C$19:C$33,A6,'数据-汇总表'!E$19:E$33)</f>
        <v>86219.39</v>
      </c>
      <c r="L6" s="733">
        <v>3500</v>
      </c>
      <c r="M6" s="67">
        <f t="shared" ref="M6:M14" si="0">ROUND(K6*L6/10000,0)</f>
        <v>30177</v>
      </c>
      <c r="N6" s="731">
        <f>面积信息!I4</f>
        <v>0.85</v>
      </c>
      <c r="O6" s="67" t="str">
        <f>IF($N$5="成新度","——",ROUND(M6*N6,0))</f>
        <v>——</v>
      </c>
      <c r="P6" s="68" t="str">
        <f>IF($N$5="成新度","——",M6-O6)</f>
        <v>——</v>
      </c>
      <c r="Q6" s="734">
        <v>0.08</v>
      </c>
      <c r="R6" s="69">
        <f ca="1">SUMIF('数据-汇总表'!C$19:C$33,A6,'数据-汇总表'!R$19:R$27)</f>
        <v>76950.100000000006</v>
      </c>
      <c r="S6" s="51">
        <f>IF('数据-汇总表'!$I$17="按面积比例",SUMIF('数据-汇总表'!C$19:C$33,A6,'数据-汇总表'!K$19:K$33),SUMIF('数据-汇总表'!C$19:C$33,A6,'数据-汇总表'!N$19:N$33))</f>
        <v>0</v>
      </c>
      <c r="T6" s="1172">
        <f>ROUND($L$14*S6/10000,0)</f>
        <v>0</v>
      </c>
      <c r="U6" s="3471">
        <v>1.8</v>
      </c>
      <c r="V6" s="70">
        <v>0.02</v>
      </c>
      <c r="W6" s="70">
        <v>0.1</v>
      </c>
      <c r="X6" s="1040"/>
      <c r="Y6" s="71">
        <f>N6</f>
        <v>0.85</v>
      </c>
      <c r="Z6" s="72"/>
      <c r="AA6" s="66"/>
      <c r="AB6" s="66"/>
      <c r="AC6" s="1040"/>
      <c r="AD6" s="73"/>
      <c r="AE6" s="1041">
        <f ca="1">IF(AN6="",0,SUMIF(INDIRECT("'"&amp;AN6&amp;"'"&amp;"!E:E"),$AE$5,INDIRECT("'"&amp;AN6&amp;"'"&amp;"!F:F")))</f>
        <v>25.71</v>
      </c>
      <c r="AF6" s="1348"/>
      <c r="AG6" s="138">
        <f>IF(AF6="",0,AE6-AF6)</f>
        <v>0</v>
      </c>
      <c r="AH6" s="74"/>
      <c r="AI6" s="76">
        <v>365</v>
      </c>
      <c r="AJ6" s="77"/>
      <c r="AK6" s="78">
        <v>3.0000000000000001E-3</v>
      </c>
      <c r="AL6" s="79">
        <v>1E-3</v>
      </c>
      <c r="AM6" s="80">
        <v>5.0000000000000001E-3</v>
      </c>
      <c r="AN6" s="1715" t="s">
        <v>3443</v>
      </c>
      <c r="AO6" s="52">
        <f ca="1">SUMIF(INDIRECT("'"&amp;AN6&amp;"'"&amp;"!A:A"),"总价",INDIRECT("'"&amp;AN6&amp;"'"&amp;"!B:B"))</f>
        <v>69685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0.78300000000000003</v>
      </c>
      <c r="H16" s="90">
        <f>ROUND(SUMPRODUCT(H6:H13,K6:K13)/SUMPRODUCT((H6:H13&gt;0)*(K6:K13)),3)</f>
        <v>0.05</v>
      </c>
      <c r="I16" s="91"/>
      <c r="J16" s="91"/>
      <c r="K16" s="92">
        <f>SUM(K6:K15)</f>
        <v>86219.39</v>
      </c>
      <c r="L16" s="93">
        <f>ROUND(M16*10000/SUM(K6:K14),0)</f>
        <v>3500</v>
      </c>
      <c r="M16" s="93">
        <f>SUM(M6:M14)</f>
        <v>30177</v>
      </c>
      <c r="N16" s="94">
        <f>ROUND(SUMPRODUCT(M6:M14,N6:N14)/M16,3)</f>
        <v>0.85</v>
      </c>
      <c r="O16" s="93">
        <f>SUM(O6:O14)</f>
        <v>0</v>
      </c>
      <c r="P16" s="93">
        <f>SUM(P6:P14)</f>
        <v>0</v>
      </c>
      <c r="Q16" s="95">
        <f>ROUND(SUMPRODUCT(Q6:Q13,K6:K13)/SUMPRODUCT((Q6:Q13&gt;0)*(K6:K13)),2)</f>
        <v>0.08</v>
      </c>
      <c r="R16" s="1034">
        <f ca="1">SUM(R6:R13)</f>
        <v>76950.100000000006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1724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2" t="s">
        <v>2286</v>
      </c>
      <c r="B1" s="3563"/>
      <c r="C1" s="3563"/>
      <c r="D1" s="3563"/>
      <c r="E1" s="3563"/>
      <c r="F1" s="3563"/>
      <c r="G1" s="356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6" sqref="G3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45761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72072</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f ca="1">结果表!G19</f>
        <v>64940</v>
      </c>
      <c r="E14" s="2518" t="e">
        <f ca="1">ROUND(D14*10000/B14,0)</f>
        <v>#DIV/0!</v>
      </c>
      <c r="F14" s="2518" t="e">
        <f ca="1">ROUND(D14*10000/C14,0)</f>
        <v>#DIV/0!</v>
      </c>
      <c r="G14" s="2518"/>
      <c r="H14" s="2518"/>
      <c r="I14" s="2518"/>
      <c r="J14" s="2687"/>
      <c r="K14" s="2688"/>
    </row>
    <row r="15" spans="1:11" ht="16.5">
      <c r="A15" s="2517" t="s">
        <v>649</v>
      </c>
      <c r="B15" s="2519"/>
      <c r="C15" s="2519"/>
      <c r="D15" s="2519">
        <f ca="1">[2]结果表!$G$19</f>
        <v>7132</v>
      </c>
      <c r="E15" s="2518" t="e">
        <f t="shared" ref="E15:E23" ca="1" si="0">ROUND(D15*10000/B15,0)</f>
        <v>#DIV/0!</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4" t="s">
        <v>1265</v>
      </c>
      <c r="B4" s="1755" t="s">
        <v>1266</v>
      </c>
      <c r="C4" s="1756" t="s">
        <v>3461</v>
      </c>
      <c r="D4" s="1756" t="s">
        <v>3443</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7"/>
      <c r="G5" s="1757"/>
      <c r="H5" s="1757"/>
      <c r="I5" s="1373"/>
    </row>
    <row r="6" spans="1:12" ht="12.75">
      <c r="A6" s="3579"/>
      <c r="B6" s="3634"/>
      <c r="C6" s="3639"/>
      <c r="D6" s="3625"/>
      <c r="E6" s="131" t="s">
        <v>1270</v>
      </c>
      <c r="F6" s="1757"/>
      <c r="G6" s="1757"/>
      <c r="H6" s="1757"/>
      <c r="I6" s="1373"/>
    </row>
    <row r="7" spans="1:12" ht="12.75">
      <c r="A7" s="3579"/>
      <c r="B7" s="3634"/>
      <c r="C7" s="3638"/>
      <c r="D7" s="3625"/>
      <c r="E7" s="131" t="s">
        <v>1271</v>
      </c>
      <c r="F7" s="1757"/>
      <c r="G7" s="1757"/>
      <c r="H7" s="1757"/>
      <c r="I7" s="1373"/>
    </row>
    <row r="8" spans="1:12" ht="12.75">
      <c r="A8" s="3579" t="s">
        <v>1272</v>
      </c>
      <c r="B8" s="3634">
        <v>15</v>
      </c>
      <c r="C8" s="3637"/>
      <c r="D8" s="3625"/>
      <c r="E8" s="131" t="s">
        <v>1273</v>
      </c>
      <c r="F8" s="1757"/>
      <c r="G8" s="1757"/>
      <c r="H8" s="1757"/>
      <c r="I8" s="1373"/>
    </row>
    <row r="9" spans="1:12" ht="12.75">
      <c r="A9" s="3579"/>
      <c r="B9" s="3634"/>
      <c r="C9" s="3638"/>
      <c r="D9" s="3625"/>
      <c r="E9" s="131" t="s">
        <v>1274</v>
      </c>
      <c r="F9" s="1757"/>
      <c r="G9" s="1757"/>
      <c r="H9" s="1757"/>
      <c r="I9" s="1373"/>
    </row>
    <row r="10" spans="1:12" ht="12.75">
      <c r="A10" s="3579" t="s">
        <v>1275</v>
      </c>
      <c r="B10" s="3634">
        <v>15</v>
      </c>
      <c r="C10" s="3637"/>
      <c r="D10" s="3625"/>
      <c r="E10" s="131" t="s">
        <v>1276</v>
      </c>
      <c r="F10" s="1757"/>
      <c r="G10" s="1757"/>
      <c r="H10" s="1757"/>
      <c r="I10" s="1373"/>
    </row>
    <row r="11" spans="1:12" ht="12.75">
      <c r="A11" s="3579"/>
      <c r="B11" s="3634"/>
      <c r="C11" s="3638"/>
      <c r="D11" s="3625"/>
      <c r="E11" s="131" t="s">
        <v>1277</v>
      </c>
      <c r="F11" s="1757"/>
      <c r="G11" s="1757"/>
      <c r="H11" s="1757"/>
      <c r="I11" s="1373"/>
    </row>
    <row r="12" spans="1:12" ht="12.75">
      <c r="A12" s="3579" t="s">
        <v>1278</v>
      </c>
      <c r="B12" s="3634">
        <v>15</v>
      </c>
      <c r="C12" s="3637"/>
      <c r="D12" s="3625"/>
      <c r="E12" s="131" t="s">
        <v>1279</v>
      </c>
      <c r="F12" s="1757"/>
      <c r="G12" s="1757"/>
      <c r="H12" s="1757"/>
      <c r="I12" s="1373"/>
    </row>
    <row r="13" spans="1:12" ht="12.75">
      <c r="A13" s="3579"/>
      <c r="B13" s="3634"/>
      <c r="C13" s="3638"/>
      <c r="D13" s="3625"/>
      <c r="E13" s="131" t="s">
        <v>1280</v>
      </c>
      <c r="F13" s="1757"/>
      <c r="G13" s="1757"/>
      <c r="H13" s="1757"/>
      <c r="I13" s="1373"/>
    </row>
    <row r="14" spans="1:12" ht="12.75">
      <c r="A14" s="3579" t="s">
        <v>1281</v>
      </c>
      <c r="B14" s="3634">
        <v>30</v>
      </c>
      <c r="C14" s="3637">
        <v>5</v>
      </c>
      <c r="D14" s="3625">
        <v>5</v>
      </c>
      <c r="E14" s="131" t="s">
        <v>1282</v>
      </c>
      <c r="F14" s="1757"/>
      <c r="G14" s="1757"/>
      <c r="H14" s="1757"/>
      <c r="I14" s="1373"/>
    </row>
    <row r="15" spans="1:12" ht="12.75">
      <c r="A15" s="3579"/>
      <c r="B15" s="3634"/>
      <c r="C15" s="3639"/>
      <c r="D15" s="3625"/>
      <c r="E15" s="131" t="s">
        <v>1283</v>
      </c>
      <c r="F15" s="1757"/>
      <c r="G15" s="1757"/>
      <c r="H15" s="1757"/>
      <c r="I15" s="1373"/>
    </row>
    <row r="16" spans="1:12" ht="12.75">
      <c r="A16" s="3579"/>
      <c r="B16" s="3634"/>
      <c r="C16" s="3638"/>
      <c r="D16" s="362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6" t="s">
        <v>2131</v>
      </c>
      <c r="F18" s="3657"/>
      <c r="G18" s="3657"/>
      <c r="H18" s="3657"/>
      <c r="I18" s="3657"/>
      <c r="K18" s="302" t="s">
        <v>1289</v>
      </c>
      <c r="L18" s="302">
        <f>IF(C1="",'数据-汇总表'!E3,SUMIF(项目类型,C1,'数据-汇总表'!E17:E26)+SUMIF(项目类型,C1,'数据-汇总表'!I17:I26))</f>
        <v>86219.39</v>
      </c>
      <c r="M18" s="302">
        <f>IF(C1="",'数据-汇总表'!E3,SUMIF(项目类型,C1,'数据-汇总表'!E17:E26))</f>
        <v>86219.39</v>
      </c>
    </row>
    <row r="19" spans="1:36" ht="15">
      <c r="A19" s="1761" t="s">
        <v>1290</v>
      </c>
      <c r="B19" s="1762" t="s">
        <v>1291</v>
      </c>
      <c r="C19" s="134">
        <f ca="1">SUMIF(INDIRECT("'"&amp;C4&amp;"'"&amp;"!A:A"),结果表!B19,INDIRECT("'"&amp;C4&amp;"'"&amp;"!B:B"))</f>
        <v>60195</v>
      </c>
      <c r="D19" s="135">
        <f ca="1">SUMIF(INDIRECT("'"&amp;D4&amp;"'"&amp;"!A:A"),结果表!B19,INDIRECT("'"&amp;D4&amp;"'"&amp;"!B:B"))</f>
        <v>69685</v>
      </c>
      <c r="E19" s="1761" t="s">
        <v>1292</v>
      </c>
      <c r="F19" s="1762" t="s">
        <v>1291</v>
      </c>
      <c r="G19" s="136">
        <f ca="1">ROUND(C19*$C$18+D19*$D$18,0)</f>
        <v>64940</v>
      </c>
      <c r="H19" s="1763" t="s">
        <v>1293</v>
      </c>
      <c r="I19" s="129"/>
      <c r="K19" s="302" t="s">
        <v>1294</v>
      </c>
      <c r="L19" s="302">
        <f>IF(C1="",'数据-汇总表'!D3,SUMIF(项目类型,C1,'数据-汇总表'!D17:D26)+SUMIF(项目类型,C1,'数据-汇总表'!H17:H27))</f>
        <v>76950.100000000006</v>
      </c>
      <c r="M19" s="302">
        <f>IF(C1="",'数据-汇总表'!D3,SUMIF(项目类型,C1,'数据-汇总表'!D17:D26))</f>
        <v>76950.100000000006</v>
      </c>
    </row>
    <row r="20" spans="1:36" ht="15">
      <c r="A20" s="1764"/>
      <c r="B20" s="1026" t="s">
        <v>1295</v>
      </c>
      <c r="C20" s="137">
        <f ca="1">SUMIF(INDIRECT("'"&amp;C4&amp;"'"&amp;"!A:A"),结果表!B20,INDIRECT("'"&amp;C4&amp;"'"&amp;"!B:B"))</f>
        <v>6982</v>
      </c>
      <c r="D20" s="138">
        <f ca="1">SUMIF(INDIRECT("'"&amp;D4&amp;"'"&amp;"!A:A"),结果表!B20,INDIRECT("'"&amp;D4&amp;"'"&amp;"!B:B"))</f>
        <v>8082</v>
      </c>
      <c r="E20" s="1764"/>
      <c r="F20" s="1026" t="s">
        <v>1295</v>
      </c>
      <c r="G20" s="139">
        <f ca="1">ROUND(C20*$C$18+D20*$D$18,0)</f>
        <v>7532</v>
      </c>
      <c r="H20" s="808" t="s">
        <v>1296</v>
      </c>
      <c r="I20" s="129"/>
    </row>
    <row r="21" spans="1:36" ht="15" customHeight="1" thickBot="1">
      <c r="A21" s="828"/>
      <c r="B21" s="1765" t="s">
        <v>1297</v>
      </c>
      <c r="C21" s="719">
        <f ca="1">ROUND(C19*10000/L19,0)</f>
        <v>7823</v>
      </c>
      <c r="D21" s="720">
        <f ca="1">ROUND(D19*10000/L19,0)</f>
        <v>9056</v>
      </c>
      <c r="E21" s="828"/>
      <c r="F21" s="1765" t="s">
        <v>1297</v>
      </c>
      <c r="G21" s="140">
        <f ca="1">ROUND(G19*10000/L19,0)</f>
        <v>8439</v>
      </c>
      <c r="H21" s="1766" t="s">
        <v>1296</v>
      </c>
      <c r="I21" s="129"/>
    </row>
    <row r="22" spans="1:36" ht="15" thickBot="1">
      <c r="A22" s="1688" t="s">
        <v>1298</v>
      </c>
      <c r="B22" s="1767"/>
      <c r="C22" s="1768"/>
      <c r="D22" s="721">
        <f ca="1">IF(C19&lt;D19,D19/C19-1,C19/D19-1)</f>
        <v>0.15765429022344057</v>
      </c>
      <c r="E22" s="129"/>
      <c r="F22" s="129"/>
      <c r="G22" s="129"/>
      <c r="H22" s="129"/>
      <c r="I22" s="129"/>
    </row>
    <row r="23" spans="1:36" ht="13.5" thickBot="1">
      <c r="A23" s="1747"/>
      <c r="B23" s="1747"/>
      <c r="C23" s="1747"/>
      <c r="D23" s="1747"/>
      <c r="E23" s="129"/>
      <c r="F23" s="129"/>
      <c r="G23" s="129"/>
      <c r="H23" s="129"/>
      <c r="I23" s="129"/>
    </row>
    <row r="24" spans="1:36" ht="14.25">
      <c r="A24" s="3649" t="s">
        <v>1299</v>
      </c>
      <c r="B24" s="1762" t="s">
        <v>1291</v>
      </c>
      <c r="C24" s="136">
        <f>IF(B30=0,0,D30)</f>
        <v>0</v>
      </c>
      <c r="D24" s="1769"/>
      <c r="E24" s="129"/>
      <c r="F24" s="129"/>
      <c r="G24" s="129"/>
      <c r="H24" s="129"/>
      <c r="I24" s="129"/>
    </row>
    <row r="25" spans="1:36" ht="14.25">
      <c r="A25" s="36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7532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6" t="s">
        <v>1312</v>
      </c>
      <c r="B36" s="1787" t="s">
        <v>1313</v>
      </c>
      <c r="C36" s="145"/>
      <c r="D36" s="1788"/>
      <c r="E36" s="1789"/>
      <c r="F36" s="1790"/>
      <c r="G36" s="129"/>
      <c r="H36" s="129"/>
      <c r="I36" s="129"/>
    </row>
    <row r="37" spans="1:15" ht="15.75" thickBot="1">
      <c r="A37" s="3627"/>
      <c r="B37" s="1674" t="s">
        <v>1314</v>
      </c>
      <c r="C37" s="147"/>
      <c r="D37" s="1139"/>
      <c r="E37" s="1139"/>
      <c r="F37" s="1790"/>
      <c r="G37" s="129"/>
      <c r="H37" s="129"/>
      <c r="I37" s="129"/>
    </row>
    <row r="38" spans="1:15" ht="15.75" thickBot="1">
      <c r="A38" s="362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6" t="s">
        <v>1326</v>
      </c>
      <c r="B45" s="3647"/>
      <c r="C45" s="3648"/>
      <c r="D45" s="155" t="e">
        <f ca="1">ROUND(H101*F45,0)</f>
        <v>#REF!</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6"/>
      <c r="I46" s="159"/>
      <c r="J46" s="2523">
        <v>1</v>
      </c>
      <c r="K46" s="3567" t="s">
        <v>1331</v>
      </c>
      <c r="L46" s="3567"/>
      <c r="M46" s="3568"/>
      <c r="N46" s="3568"/>
      <c r="O46" s="3568"/>
    </row>
    <row r="47" spans="1:15" ht="12" customHeight="1">
      <c r="A47" s="160" t="s">
        <v>1332</v>
      </c>
      <c r="B47" s="161"/>
      <c r="C47" s="162"/>
      <c r="D47" s="1087" t="s">
        <v>1333</v>
      </c>
      <c r="E47" s="302" t="s">
        <v>1334</v>
      </c>
      <c r="F47" s="163" t="s">
        <v>1335</v>
      </c>
      <c r="G47" s="2546" t="s">
        <v>1336</v>
      </c>
      <c r="H47" s="2547"/>
      <c r="I47" s="159"/>
      <c r="J47" s="2523">
        <v>2</v>
      </c>
      <c r="K47" s="3567" t="s">
        <v>1337</v>
      </c>
      <c r="L47" s="3567"/>
      <c r="M47" s="3569">
        <f>'数据-取费表'!B2</f>
        <v>45761</v>
      </c>
      <c r="N47" s="3569"/>
      <c r="O47" s="3569"/>
    </row>
    <row r="48" spans="1:15" ht="25.5">
      <c r="A48" s="3629" t="s">
        <v>1338</v>
      </c>
      <c r="B48" s="3630"/>
      <c r="C48" s="363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7" t="s">
        <v>1340</v>
      </c>
      <c r="L48" s="3567"/>
      <c r="M48" s="3570" t="e">
        <f ca="1">H101</f>
        <v>#REF!</v>
      </c>
      <c r="N48" s="3570"/>
      <c r="O48" s="3570"/>
    </row>
    <row r="49" spans="1:35" ht="25.5" customHeight="1">
      <c r="A49" s="2333" t="s">
        <v>1341</v>
      </c>
      <c r="B49" s="3615" t="s">
        <v>1342</v>
      </c>
      <c r="C49" s="3615"/>
      <c r="D49" s="1590">
        <v>0</v>
      </c>
      <c r="E49" s="324" t="s">
        <v>1343</v>
      </c>
      <c r="F49" s="2424" t="s">
        <v>28</v>
      </c>
      <c r="G49" s="3598"/>
      <c r="H49" s="2310" t="s">
        <v>2134</v>
      </c>
      <c r="I49" s="2311"/>
      <c r="J49" s="2523">
        <v>4</v>
      </c>
      <c r="K49" s="3567" t="str">
        <f>IF(项目基本情况!E8="房地产抵押价值","房地产抵押价值","抵押担保权已注销时的房地产抵押价值")</f>
        <v>房地产抵押价值</v>
      </c>
      <c r="L49" s="3567"/>
      <c r="M49" s="3570" t="str">
        <f ca="1">IF(项目基本情况!E8="房地产抵押价值",H107,H109)</f>
        <v>——</v>
      </c>
      <c r="N49" s="3570"/>
      <c r="O49" s="3570"/>
    </row>
    <row r="50" spans="1:35" ht="25.5" customHeight="1">
      <c r="A50" s="2551"/>
      <c r="B50" s="3615" t="s">
        <v>1344</v>
      </c>
      <c r="C50" s="3615"/>
      <c r="D50" s="2552"/>
      <c r="E50" s="332"/>
      <c r="F50" s="2424"/>
      <c r="G50" s="3599"/>
      <c r="H50" s="2312" t="s">
        <v>2135</v>
      </c>
      <c r="I50" s="2311"/>
      <c r="J50" s="3566" t="s">
        <v>1345</v>
      </c>
      <c r="K50" s="3566"/>
      <c r="L50" s="3566"/>
      <c r="M50" s="3566"/>
      <c r="N50" s="3566"/>
      <c r="O50" s="3566"/>
    </row>
    <row r="51" spans="1:35" ht="20.45" customHeight="1">
      <c r="A51" s="2553"/>
      <c r="B51" s="3615" t="s">
        <v>1346</v>
      </c>
      <c r="C51" s="3615"/>
      <c r="D51" s="1087"/>
      <c r="E51" s="327"/>
      <c r="F51" s="2424"/>
      <c r="G51" s="3600"/>
      <c r="H51" s="2312" t="s">
        <v>2136</v>
      </c>
      <c r="I51" s="2311"/>
      <c r="J51" s="2524" t="s">
        <v>1347</v>
      </c>
      <c r="K51" s="3567" t="s">
        <v>1348</v>
      </c>
      <c r="L51" s="3567"/>
      <c r="M51" s="2524" t="s">
        <v>1349</v>
      </c>
      <c r="N51" s="2524" t="s">
        <v>1350</v>
      </c>
      <c r="O51" s="2524" t="s">
        <v>1351</v>
      </c>
    </row>
    <row r="52" spans="1:35" ht="24" customHeight="1">
      <c r="A52" s="2335" t="s">
        <v>1352</v>
      </c>
      <c r="B52" s="3615" t="s">
        <v>1353</v>
      </c>
      <c r="C52" s="3615"/>
      <c r="D52" s="1087" t="e">
        <f ca="1">ROUND(D45*'数据-取费表'!B41/(1+'数据-取费表'!C42),0)</f>
        <v>#REF!</v>
      </c>
      <c r="E52" s="2334" t="s">
        <v>1354</v>
      </c>
      <c r="F52" s="2554">
        <f>'数据-取费表'!B41</f>
        <v>5.6000000000000001E-2</v>
      </c>
      <c r="G52" s="2555"/>
      <c r="H52" s="2544"/>
      <c r="I52" s="1807"/>
      <c r="J52" s="2523">
        <v>1</v>
      </c>
      <c r="K52" s="3592" t="s">
        <v>1355</v>
      </c>
      <c r="L52" s="3592"/>
      <c r="M52" s="2525" t="b">
        <f>D48</f>
        <v>0</v>
      </c>
      <c r="N52" s="2523" t="str">
        <f>E48</f>
        <v>销售额×税（费）率</v>
      </c>
      <c r="O52" s="2526">
        <f>F48</f>
        <v>5.6000000000000001E-2</v>
      </c>
    </row>
    <row r="53" spans="1:35" ht="12" customHeight="1">
      <c r="A53" s="2335" t="s">
        <v>1356</v>
      </c>
      <c r="B53" s="3616" t="s">
        <v>2291</v>
      </c>
      <c r="C53" s="3617"/>
      <c r="D53" s="1087" t="e">
        <f ca="1">ROUND(D45*'数据-取费表'!B41/(1+'数据-取费表'!C42),0)</f>
        <v>#REF!</v>
      </c>
      <c r="E53" s="2334" t="s">
        <v>1354</v>
      </c>
      <c r="F53" s="2554">
        <f>'数据-取费表'!B41</f>
        <v>5.6000000000000001E-2</v>
      </c>
      <c r="G53" s="2555"/>
      <c r="H53" s="2544"/>
      <c r="I53" s="1807"/>
      <c r="J53" s="2523">
        <v>2</v>
      </c>
      <c r="K53" s="3592" t="s">
        <v>1357</v>
      </c>
      <c r="L53" s="3592"/>
      <c r="M53" s="2525" t="e">
        <f t="shared" ref="M53:O54" ca="1" si="0">D55</f>
        <v>#REF!</v>
      </c>
      <c r="N53" s="2523" t="str">
        <f t="shared" si="0"/>
        <v>销售额×税（费）率</v>
      </c>
      <c r="O53" s="2526" t="str">
        <f t="shared" si="0"/>
        <v>免征</v>
      </c>
    </row>
    <row r="54" spans="1:35" ht="12" customHeight="1">
      <c r="A54" s="2335" t="s">
        <v>1358</v>
      </c>
      <c r="B54" s="3616" t="s">
        <v>2292</v>
      </c>
      <c r="C54" s="3617"/>
      <c r="D54" s="1087" t="e">
        <f ca="1">C68</f>
        <v>#REF!</v>
      </c>
      <c r="E54" s="327" t="s">
        <v>1359</v>
      </c>
      <c r="F54" s="2554">
        <f>'数据-取费表'!B41</f>
        <v>5.6000000000000001E-2</v>
      </c>
      <c r="G54" s="2555"/>
      <c r="H54" s="2556"/>
      <c r="I54" s="1807"/>
      <c r="J54" s="2523">
        <v>3</v>
      </c>
      <c r="K54" s="3592" t="s">
        <v>1360</v>
      </c>
      <c r="L54" s="3592"/>
      <c r="M54" s="2525" t="e">
        <f t="shared" ca="1" si="0"/>
        <v>#REF!</v>
      </c>
      <c r="N54" s="2523" t="str">
        <f t="shared" si="0"/>
        <v>增值额×税（费）率</v>
      </c>
      <c r="O54" s="2527" t="str">
        <f t="shared" si="0"/>
        <v>免征</v>
      </c>
    </row>
    <row r="55" spans="1:35" ht="24" customHeight="1">
      <c r="A55" s="3652" t="s">
        <v>1361</v>
      </c>
      <c r="B55" s="3630"/>
      <c r="C55" s="3630"/>
      <c r="D55" s="2324" t="e">
        <f ca="1">IF(H55="个人住宅",0,ROUND(D45*I55,0))</f>
        <v>#REF!</v>
      </c>
      <c r="E55" s="2334" t="s">
        <v>1362</v>
      </c>
      <c r="F55" s="2554" t="str">
        <f>IF(H55="正常",I55,"免征")</f>
        <v>免征</v>
      </c>
      <c r="G55" s="2555"/>
      <c r="H55" s="2550"/>
      <c r="I55" s="165">
        <f>'数据-取费表'!B49</f>
        <v>5.0000000000000001E-4</v>
      </c>
      <c r="J55" s="2523">
        <f>IF(H59="非个人房产","",4)</f>
        <v>4</v>
      </c>
      <c r="K55" s="3592" t="str">
        <f>IF(H59="非个人房产","——","个人所得税")</f>
        <v>个人所得税</v>
      </c>
      <c r="L55" s="3592"/>
      <c r="M55" s="2528" t="e">
        <f ca="1">D59</f>
        <v>#REF!</v>
      </c>
      <c r="N55" s="2040" t="str">
        <f>E59</f>
        <v>差额计税</v>
      </c>
      <c r="O55" s="2529">
        <f>F59</f>
        <v>0.01</v>
      </c>
    </row>
    <row r="56" spans="1:35" ht="24.75">
      <c r="A56" s="3652" t="s">
        <v>1363</v>
      </c>
      <c r="B56" s="3630"/>
      <c r="C56" s="3630"/>
      <c r="D56" s="2324" t="e">
        <f ca="1">IF(H56="个人住宅",D57,D58)</f>
        <v>#REF!</v>
      </c>
      <c r="E56" s="2334" t="s">
        <v>1364</v>
      </c>
      <c r="F56" s="2554" t="str">
        <f>IF(H56="正常",F58,"免征")</f>
        <v>免征</v>
      </c>
      <c r="G56" s="2557" t="s">
        <v>1365</v>
      </c>
      <c r="H56" s="2558"/>
      <c r="I56" s="1808"/>
      <c r="J56" s="2523" t="str">
        <f>IF(项目基本情况!K6="上海银行",IF(J55="",4,J55+1),"")</f>
        <v/>
      </c>
      <c r="K56" s="3573" t="str">
        <f>IF(项目基本情况!K6="上海银行","其他处置费用","")</f>
        <v/>
      </c>
      <c r="L56" s="3574"/>
      <c r="M56" s="2525" t="str">
        <f>IF(项目基本情况!K6="上海银行",M69,"")</f>
        <v/>
      </c>
      <c r="N56" s="3573" t="str">
        <f>IF(项目基本情况!K6="上海银行","包含处置中涉及的律师、诉讼、拍卖、评估等费用","")</f>
        <v/>
      </c>
      <c r="O56" s="3576"/>
    </row>
    <row r="57" spans="1:35" ht="12.75">
      <c r="A57" s="2335" t="s">
        <v>1341</v>
      </c>
      <c r="B57" s="3616" t="s">
        <v>1366</v>
      </c>
      <c r="C57" s="3617"/>
      <c r="D57" s="1590">
        <v>0</v>
      </c>
      <c r="E57" s="324" t="s">
        <v>1343</v>
      </c>
      <c r="F57" s="302"/>
      <c r="G57" s="2555"/>
      <c r="H57" s="2559"/>
      <c r="I57" s="1808"/>
      <c r="J57" s="3592">
        <f>IF(AND(J55="",J56=""),4,IF(项目基本情况!K6="上海银行",结果表!J56+1,结果表!J55+1))</f>
        <v>5</v>
      </c>
      <c r="K57" s="3592" t="s">
        <v>1367</v>
      </c>
      <c r="L57" s="2530" t="s">
        <v>1368</v>
      </c>
      <c r="M57" s="2531"/>
      <c r="N57" s="2532">
        <f ca="1">SUMIF(M52:M56,"&lt;9e307")</f>
        <v>0</v>
      </c>
      <c r="O57" s="2533"/>
      <c r="P57" s="2690" t="e">
        <f ca="1">N57/M49</f>
        <v>#VALUE!</v>
      </c>
    </row>
    <row r="58" spans="1:35" ht="24.75">
      <c r="A58" s="2335" t="s">
        <v>1352</v>
      </c>
      <c r="B58" s="3616" t="s">
        <v>1369</v>
      </c>
      <c r="C58" s="3615"/>
      <c r="D58" s="2324" t="e">
        <f ca="1">IF(H58="转让取得",C81,C97)</f>
        <v>#REF!</v>
      </c>
      <c r="E58" s="2334" t="s">
        <v>1364</v>
      </c>
      <c r="F58" s="302" t="s">
        <v>28</v>
      </c>
      <c r="G58" s="2555"/>
      <c r="H58" s="2558"/>
      <c r="I58" s="1808"/>
      <c r="J58" s="3592"/>
      <c r="K58" s="3592"/>
      <c r="L58" s="2530" t="s">
        <v>1370</v>
      </c>
      <c r="M58" s="2534"/>
      <c r="N58" s="2535" t="str">
        <f ca="1">NUMBERSTRING(INT(N57*10000),2)&amp;"元整"</f>
        <v>零元整</v>
      </c>
      <c r="O58" s="2536"/>
    </row>
    <row r="59" spans="1:35" ht="24.75" thickBot="1">
      <c r="A59" s="3596" t="s">
        <v>1371</v>
      </c>
      <c r="B59" s="3597"/>
      <c r="C59" s="359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4">
        <f>J57+1</f>
        <v>6</v>
      </c>
      <c r="K59" s="3592" t="s">
        <v>1372</v>
      </c>
      <c r="L59" s="2523" t="s">
        <v>1368</v>
      </c>
      <c r="M59" s="2537"/>
      <c r="N59" s="2538" t="e">
        <f ca="1">M49-N57</f>
        <v>#VALUE!</v>
      </c>
      <c r="O59" s="2539"/>
    </row>
    <row r="60" spans="1:35" ht="12" customHeight="1">
      <c r="A60" s="1809"/>
      <c r="B60" s="1747"/>
      <c r="C60" s="1747"/>
      <c r="D60" s="1747"/>
      <c r="E60" s="1578"/>
      <c r="F60" s="1808"/>
      <c r="G60" s="1808"/>
      <c r="H60" s="1810"/>
      <c r="I60" s="129"/>
      <c r="J60" s="3595"/>
      <c r="K60" s="3592"/>
      <c r="L60" s="2530" t="s">
        <v>1370</v>
      </c>
      <c r="M60" s="2534"/>
      <c r="N60" s="2535" t="e">
        <f ca="1">NUMBERSTRING(INT(N59*10000),2)&amp;"元整"</f>
        <v>#VALUE!</v>
      </c>
      <c r="O60" s="2536"/>
    </row>
    <row r="61" spans="1:35" ht="13.5" thickBot="1">
      <c r="A61" s="3651" t="s">
        <v>1373</v>
      </c>
      <c r="B61" s="3651"/>
      <c r="C61" s="3651"/>
      <c r="D61" s="3651"/>
      <c r="E61" s="3651"/>
      <c r="F61" s="1808"/>
      <c r="G61" s="1808"/>
      <c r="H61" s="1810"/>
      <c r="I61" s="129"/>
      <c r="J61" s="2523">
        <f>J59+1</f>
        <v>7</v>
      </c>
      <c r="K61" s="3592" t="s">
        <v>1374</v>
      </c>
      <c r="L61" s="3592"/>
      <c r="M61" s="2540"/>
      <c r="N61" s="2541" t="e">
        <f ca="1">ROUND(N59*10000/'数据-汇总表'!E3,0)</f>
        <v>#VALUE!</v>
      </c>
      <c r="O61" s="2542"/>
    </row>
    <row r="62" spans="1:35" ht="12.75">
      <c r="A62" s="3611" t="s">
        <v>1375</v>
      </c>
      <c r="B62" s="3612"/>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75"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5"/>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75"/>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75"/>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5"/>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5"/>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75"/>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1375</v>
      </c>
      <c r="B71" s="361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6" t="s">
        <v>1402</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8" t="s">
        <v>1406</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1375</v>
      </c>
      <c r="B84" s="361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7" t="s">
        <v>2129</v>
      </c>
      <c r="H90" s="357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8" t="s">
        <v>1419</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8" t="s">
        <v>1422</v>
      </c>
      <c r="F92" s="3609"/>
      <c r="G92" s="3609"/>
      <c r="H92" s="361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8" t="s">
        <v>1406</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3" t="s">
        <v>1426</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93"/>
      <c r="E100" s="3559" t="s">
        <v>1429</v>
      </c>
      <c r="F100" s="3559"/>
      <c r="G100" s="3559"/>
      <c r="H100" s="3593"/>
      <c r="I100" s="129"/>
    </row>
    <row r="101" spans="1:35" ht="18.75" customHeight="1">
      <c r="A101" s="3601" t="s">
        <v>1430</v>
      </c>
      <c r="B101" s="3602"/>
      <c r="C101" s="2585" t="str">
        <f>C4</f>
        <v>成本法</v>
      </c>
      <c r="D101" s="2586" t="str">
        <f>D4</f>
        <v>收益法</v>
      </c>
      <c r="E101" s="3571" t="s">
        <v>1431</v>
      </c>
      <c r="F101" s="3572"/>
      <c r="G101" s="1827" t="s">
        <v>1432</v>
      </c>
      <c r="H101" s="2595" t="e">
        <f ca="1">H118</f>
        <v>#REF!</v>
      </c>
      <c r="I101" s="129"/>
    </row>
    <row r="102" spans="1:35" ht="18.75" customHeight="1">
      <c r="A102" s="3603" t="s">
        <v>1433</v>
      </c>
      <c r="B102" s="2584" t="s">
        <v>1432</v>
      </c>
      <c r="C102" s="2585">
        <f ca="1">IF(D32="楼面单价",ROUND(C19,0),C19)</f>
        <v>60195</v>
      </c>
      <c r="D102" s="2586">
        <f ca="1">IF(D32="楼面单价",ROUND(D19,0),D19)</f>
        <v>69685</v>
      </c>
      <c r="E102" s="3571"/>
      <c r="F102" s="3572"/>
      <c r="G102" s="1827" t="s">
        <v>1434</v>
      </c>
      <c r="H102" s="2555" t="e">
        <f ca="1">I118</f>
        <v>#REF!</v>
      </c>
      <c r="I102" s="129"/>
    </row>
    <row r="103" spans="1:35" ht="42.75" customHeight="1">
      <c r="A103" s="3603"/>
      <c r="B103" s="2584" t="s">
        <v>1434</v>
      </c>
      <c r="C103" s="2587">
        <f ca="1">C20</f>
        <v>6982</v>
      </c>
      <c r="D103" s="2588">
        <f ca="1">D20</f>
        <v>8082</v>
      </c>
      <c r="E103" s="3564" t="s">
        <v>1435</v>
      </c>
      <c r="F103" s="3565"/>
      <c r="G103" s="1828" t="s">
        <v>1436</v>
      </c>
      <c r="H103" s="2595">
        <f>IF(D36="正常操作",H104+H105+H106,H105+H106)</f>
        <v>0</v>
      </c>
      <c r="I103" s="129"/>
    </row>
    <row r="104" spans="1:35" ht="18.75" customHeight="1">
      <c r="A104" s="360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4" t="str">
        <f>IF(项目基本情况!E8="已注销","——","3.房地产抵押价值")</f>
        <v>3.房地产抵押价值</v>
      </c>
      <c r="F107" s="3572"/>
      <c r="G107" s="1827" t="s">
        <v>1432</v>
      </c>
      <c r="H107" s="2595" t="e">
        <f ca="1">IF(E107="——","——",H101-H103)</f>
        <v>#REF!</v>
      </c>
      <c r="I107" s="129"/>
    </row>
    <row r="108" spans="1:35" ht="18.75" customHeight="1">
      <c r="A108" s="129"/>
      <c r="B108" s="129"/>
      <c r="C108" s="129"/>
      <c r="D108" s="129"/>
      <c r="E108" s="3604"/>
      <c r="F108" s="3572"/>
      <c r="G108" s="1827" t="s">
        <v>1434</v>
      </c>
      <c r="H108" s="2555">
        <f ca="1">IF(H107=H101,H102,ROUND(H107*10000/'数据-汇总表'!E3,0))</f>
        <v>0</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1432</v>
      </c>
      <c r="H109" s="2598" t="str">
        <f>IF(E109="——","——",H101-H105-H106)</f>
        <v>——</v>
      </c>
      <c r="I109" s="129"/>
    </row>
    <row r="110" spans="1:35" ht="18.75" customHeight="1">
      <c r="A110" s="129"/>
      <c r="B110" s="129"/>
      <c r="C110" s="129"/>
      <c r="D110" s="129"/>
      <c r="E110" s="3604"/>
      <c r="F110" s="3572"/>
      <c r="G110" s="1827" t="s">
        <v>1434</v>
      </c>
      <c r="H110" s="2555"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06"/>
      <c r="F112" s="3607"/>
      <c r="G112" s="1830" t="s">
        <v>1434</v>
      </c>
      <c r="H112" s="2599" t="str">
        <f>IF(E111="——","——",N61)</f>
        <v>——</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86219.39</v>
      </c>
      <c r="C118" s="2329">
        <f>M19</f>
        <v>76950.100000000006</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9" t="s">
        <v>1452</v>
      </c>
      <c r="B119" s="3579"/>
      <c r="C119" s="3579"/>
      <c r="D119" s="3585" t="e">
        <f ca="1">NUMBERSTRING(INT(D118*10000),2)&amp;"元整"</f>
        <v>#REF!</v>
      </c>
      <c r="E119" s="3586"/>
      <c r="F119" s="3585" t="e">
        <f ca="1">NUMBERSTRING(INT(F118*10000),2)&amp;"元整"</f>
        <v>#REF!</v>
      </c>
      <c r="G119" s="3586"/>
      <c r="H119" s="3585" t="e">
        <f ca="1">NUMBERSTRING(INT(H118*10000),2)&amp;"元整"</f>
        <v>#REF!</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t="e">
        <f ca="1">H107</f>
        <v>#REF!</v>
      </c>
      <c r="E122" s="3581"/>
      <c r="F122" s="3581"/>
      <c r="G122" s="3581"/>
      <c r="H122" s="3581"/>
      <c r="I122" s="3582"/>
      <c r="AA122" s="725"/>
    </row>
    <row r="123" spans="1:27" ht="18.75" customHeight="1">
      <c r="A123" s="3579" t="s">
        <v>1452</v>
      </c>
      <c r="B123" s="3579"/>
      <c r="C123" s="3579"/>
      <c r="D123" s="3585" t="e">
        <f ca="1">NUMBERSTRING(INT(D122*10000),2)&amp;"元整"</f>
        <v>#REF!</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1452</v>
      </c>
      <c r="B127" s="3579"/>
      <c r="C127" s="3579"/>
      <c r="D127" s="3585" t="e">
        <f>NUMBERSTRING(INT(D126*10000),2)&amp;"元整"</f>
        <v>#VALUE!</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北京市房地产抵押价值预评估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S51" sqref="S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60195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6982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19642</v>
      </c>
      <c r="D5" s="211" t="s">
        <v>1469</v>
      </c>
      <c r="E5" s="212" t="s">
        <v>1470</v>
      </c>
      <c r="F5" s="212" t="s">
        <v>1471</v>
      </c>
      <c r="G5" s="213"/>
    </row>
    <row r="6" spans="1:9" s="214" customFormat="1" ht="13.5" customHeight="1">
      <c r="A6" s="778" t="s">
        <v>1472</v>
      </c>
      <c r="B6" s="215" t="s">
        <v>1473</v>
      </c>
      <c r="C6" s="216">
        <f>基准地价修正!E33</f>
        <v>17388</v>
      </c>
      <c r="D6" s="217"/>
      <c r="E6" s="218"/>
      <c r="F6" s="218"/>
      <c r="G6" s="219"/>
    </row>
    <row r="7" spans="1:9" s="214" customFormat="1" ht="13.5" customHeight="1">
      <c r="A7" s="778" t="s">
        <v>1474</v>
      </c>
      <c r="B7" s="215" t="s">
        <v>1475</v>
      </c>
      <c r="C7" s="220">
        <f>ROUND(C6*F7,0)</f>
        <v>530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1724</v>
      </c>
      <c r="D8" s="222"/>
      <c r="E8" s="220"/>
      <c r="F8" s="221"/>
      <c r="G8" s="1856" t="s">
        <v>3459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1724</v>
      </c>
      <c r="D10" s="845">
        <f ca="1">IF(B1="",'数据-汇总表'!E6,IF(INDIRECT("'数据-取费表'!c"&amp;$G$1)="住宅",INDIRECT("'数据-取费表'!s"&amp;$G$1),INDIRECT("'数据-取费表'!k"&amp;$G$1)+INDIRECT("'数据-取费表'!s"&amp;$G$1)))</f>
        <v>86219.39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86219.39</v>
      </c>
      <c r="E19" s="211">
        <f>'数据-取费表'!B31</f>
        <v>200</v>
      </c>
      <c r="F19" s="231"/>
      <c r="G19" s="1856" t="s">
        <v>3460</v>
      </c>
    </row>
    <row r="20" spans="1:7" s="214" customFormat="1" ht="13.5" customHeight="1">
      <c r="A20" s="255" t="s">
        <v>1493</v>
      </c>
      <c r="B20" s="210" t="s">
        <v>1494</v>
      </c>
      <c r="C20" s="232">
        <f ca="1">ROUND((C5+C19)*F20,0)</f>
        <v>393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1249</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1237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1603</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1603</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24756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34014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30177</v>
      </c>
      <c r="D34" s="217"/>
      <c r="E34" s="220"/>
      <c r="F34" s="257">
        <f ca="1">IF('数据-取费表'!B24=0,1,IF(B1="",'数据-取费表'!N16,INDIRECT("'数据-取费表'!n"&amp;$G$1)))</f>
        <v>1</v>
      </c>
      <c r="G34" s="219" t="s">
        <v>1526</v>
      </c>
    </row>
    <row r="35" spans="1:7" ht="13.5" customHeight="1">
      <c r="A35" s="780" t="s">
        <v>351</v>
      </c>
      <c r="B35" s="215" t="s">
        <v>1527</v>
      </c>
      <c r="C35" s="220">
        <f ca="1">ROUND(C34*F35,0)</f>
        <v>1509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1724</v>
      </c>
      <c r="D37" s="217">
        <f ca="1">D19</f>
        <v>86219.39</v>
      </c>
      <c r="E37" s="249">
        <f>'数据-取费表'!B35</f>
        <v>200</v>
      </c>
      <c r="F37" s="259"/>
      <c r="G37" s="261" t="s">
        <v>1532</v>
      </c>
    </row>
    <row r="38" spans="1:7" ht="13.5" customHeight="1">
      <c r="A38" s="780" t="s">
        <v>354</v>
      </c>
      <c r="B38" s="215" t="s">
        <v>1533</v>
      </c>
      <c r="C38" s="220">
        <f ca="1">ROUND(C34*F38,0)</f>
        <v>604</v>
      </c>
      <c r="D38" s="220"/>
      <c r="E38" s="220"/>
      <c r="F38" s="259">
        <f>'数据-取费表'!B36</f>
        <v>0.02</v>
      </c>
      <c r="G38" s="219" t="s">
        <v>1528</v>
      </c>
    </row>
    <row r="39" spans="1:7" s="214" customFormat="1" ht="13.5" customHeight="1">
      <c r="A39" s="255" t="s">
        <v>1534</v>
      </c>
      <c r="B39" s="210" t="s">
        <v>1535</v>
      </c>
      <c r="C39" s="232">
        <f ca="1">ROUND(C33*F20,0)</f>
        <v>680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1075</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1054</v>
      </c>
      <c r="D42" s="238"/>
      <c r="E42" s="238"/>
      <c r="F42" s="239"/>
      <c r="G42" s="3658" t="s">
        <v>1544</v>
      </c>
    </row>
    <row r="43" spans="1:7" ht="13.5" customHeight="1">
      <c r="A43" s="780" t="s">
        <v>347</v>
      </c>
      <c r="B43" s="215" t="s">
        <v>1545</v>
      </c>
      <c r="C43" s="238">
        <f ca="1">ROUND(IF('数据-取费表'!B22&lt;=1,C39*F22*'数据-取费表'!B21/2,C39*(POWER((1+F22),'数据-取费表'!B21/2)-1)),0)</f>
        <v>21</v>
      </c>
      <c r="D43" s="238"/>
      <c r="E43" s="238"/>
      <c r="F43" s="239"/>
      <c r="G43" s="3659"/>
    </row>
    <row r="44" spans="1:7" ht="13.5" customHeight="1">
      <c r="A44" s="780" t="s">
        <v>348</v>
      </c>
      <c r="B44" s="215" t="s">
        <v>1546</v>
      </c>
      <c r="C44" s="238">
        <f ca="1">ROUND(IF('数据-取费表'!B22&lt;=1,C40*F22*'数据-取费表'!B21/2,C40*(POWER((1+F22),'数据-取费表'!B21/2)-1)),4)</f>
        <v>5.9999999999999995E-4</v>
      </c>
      <c r="D44" s="238"/>
      <c r="E44" s="238"/>
      <c r="F44" s="239"/>
      <c r="G44" s="3660"/>
    </row>
    <row r="45" spans="1:7" s="214" customFormat="1" ht="13.5" customHeight="1">
      <c r="A45" s="255" t="s">
        <v>1547</v>
      </c>
      <c r="B45" s="244" t="s">
        <v>1513</v>
      </c>
      <c r="C45" s="245">
        <f ca="1">C46</f>
        <v>2776</v>
      </c>
      <c r="D45" s="235">
        <f ca="1">C47</f>
        <v>1.6000000000000001E-3</v>
      </c>
      <c r="E45" s="236" t="s">
        <v>1539</v>
      </c>
      <c r="F45" s="246">
        <f ca="1">F27</f>
        <v>0.08</v>
      </c>
      <c r="G45" s="247" t="s">
        <v>1548</v>
      </c>
    </row>
    <row r="46" spans="1:7" s="214" customFormat="1" ht="13.5" customHeight="1">
      <c r="A46" s="780" t="s">
        <v>346</v>
      </c>
      <c r="B46" s="248" t="s">
        <v>1549</v>
      </c>
      <c r="C46" s="249">
        <f ca="1">ROUND((C33+C39)*F27,0)</f>
        <v>2776</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41693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35439</v>
      </c>
      <c r="D51" s="232"/>
      <c r="E51" s="232"/>
      <c r="F51" s="264"/>
      <c r="G51" s="234" t="s">
        <v>1560</v>
      </c>
    </row>
    <row r="52" spans="1:7" s="208" customFormat="1" ht="16.5" thickBot="1">
      <c r="A52" s="265" t="s">
        <v>1561</v>
      </c>
      <c r="B52" s="266"/>
      <c r="C52" s="267">
        <f ca="1">C31+C51</f>
        <v>60195</v>
      </c>
      <c r="D52" s="266"/>
      <c r="E52" s="266"/>
      <c r="F52" s="266"/>
      <c r="G52" s="268"/>
    </row>
    <row r="55" spans="1:7" ht="15">
      <c r="B55" s="270" t="s">
        <v>1562</v>
      </c>
      <c r="C55" s="271"/>
    </row>
    <row r="56" spans="1:7">
      <c r="B56" s="273" t="s">
        <v>802</v>
      </c>
      <c r="C56" s="275">
        <f ca="1">1-C57</f>
        <v>0.41100000000000003</v>
      </c>
    </row>
    <row r="57" spans="1:7">
      <c r="B57" s="273" t="s">
        <v>803</v>
      </c>
      <c r="C57" s="274">
        <f ca="1">ROUND(C51/C52,3)</f>
        <v>0.58899999999999997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39785.350899999998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17243878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17243878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17243878</v>
      </c>
      <c r="D10" s="845">
        <f ca="1">IF(B1="",'数据-汇总表'!E6,IF(INDIRECT("'数据-取费表'!c"&amp;$G$1)="住宅",INDIRECT("'数据-取费表'!s"&amp;$G$1),INDIRECT("'数据-取费表'!k"&amp;$G$1)+INDIRECT("'数据-取费表'!s"&amp;$G$1)))</f>
        <v>86219.39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17243878</v>
      </c>
      <c r="D19" s="849">
        <f ca="1">D9+D10</f>
        <v>86219.39</v>
      </c>
      <c r="E19" s="211">
        <f>'数据-取费表'!B31</f>
        <v>200</v>
      </c>
      <c r="F19" s="231"/>
      <c r="G19" s="1856"/>
    </row>
    <row r="20" spans="1:7" s="214" customFormat="1" ht="13.5" customHeight="1">
      <c r="A20" s="255" t="s">
        <v>1574</v>
      </c>
      <c r="B20" s="210" t="s">
        <v>1575</v>
      </c>
      <c r="C20" s="232">
        <f ca="1">ROUND((C5+C19)*F20,0)</f>
        <v>689755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2192766</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1085692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1085692</v>
      </c>
      <c r="D24" s="238"/>
      <c r="E24" s="238"/>
      <c r="F24" s="239"/>
      <c r="G24" s="240" t="s">
        <v>1586</v>
      </c>
    </row>
    <row r="25" spans="1:7" s="214" customFormat="1" ht="24">
      <c r="A25" s="780" t="s">
        <v>1476</v>
      </c>
      <c r="B25" s="215" t="s">
        <v>1587</v>
      </c>
      <c r="C25" s="1128">
        <f ca="1">ROUND(IF('数据-取费表'!B22&lt;=1,C20*F22*'数据-取费表'!B22/2,C20*(POWER((1+F22),'数据-取费表'!B22/2)-1)),0)</f>
        <v>21382</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2814201</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2814201</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43466174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340135493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301767865</v>
      </c>
      <c r="D34" s="217"/>
      <c r="E34" s="220"/>
      <c r="F34" s="257"/>
      <c r="G34" s="219"/>
    </row>
    <row r="35" spans="1:7" ht="13.5" customHeight="1">
      <c r="A35" s="780" t="s">
        <v>351</v>
      </c>
      <c r="B35" s="215" t="s">
        <v>1527</v>
      </c>
      <c r="C35" s="220">
        <f ca="1">ROUND(C34*F35,0)</f>
        <v>15088393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17243878</v>
      </c>
      <c r="D37" s="217">
        <f ca="1">D19</f>
        <v>86219.39</v>
      </c>
      <c r="E37" s="249">
        <f>'数据-取费表'!B35</f>
        <v>200</v>
      </c>
      <c r="F37" s="259"/>
      <c r="G37" s="261"/>
    </row>
    <row r="38" spans="1:7" ht="13.5" customHeight="1">
      <c r="A38" s="780" t="s">
        <v>354</v>
      </c>
      <c r="B38" s="215" t="s">
        <v>1533</v>
      </c>
      <c r="C38" s="220">
        <f ca="1">ROUND(C34*F38,0)</f>
        <v>6035357</v>
      </c>
      <c r="D38" s="220"/>
      <c r="E38" s="220"/>
      <c r="F38" s="259">
        <f>'数据-取费表'!B36</f>
        <v>0.02</v>
      </c>
      <c r="G38" s="219" t="s">
        <v>1528</v>
      </c>
    </row>
    <row r="39" spans="1:7" s="214" customFormat="1" ht="13.5" customHeight="1">
      <c r="A39" s="255" t="s">
        <v>1534</v>
      </c>
      <c r="B39" s="210" t="s">
        <v>1535</v>
      </c>
      <c r="C39" s="232">
        <f ca="1">ROUND(C33*F20,0)</f>
        <v>6802710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10755084</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10544200</v>
      </c>
      <c r="D42" s="238"/>
      <c r="E42" s="238"/>
      <c r="F42" s="239"/>
      <c r="G42" s="3658" t="s">
        <v>1591</v>
      </c>
    </row>
    <row r="43" spans="1:7" ht="13.5" customHeight="1">
      <c r="A43" s="780" t="s">
        <v>347</v>
      </c>
      <c r="B43" s="215" t="s">
        <v>1545</v>
      </c>
      <c r="C43" s="238">
        <f ca="1">ROUND(IF('数据-取费表'!B22&lt;=1,C39*F22*'数据-取费表'!B20/2,C39*(POWER((1+F22),'数据-取费表'!B20/2)-1)),0)</f>
        <v>210884</v>
      </c>
      <c r="D43" s="238"/>
      <c r="E43" s="238"/>
      <c r="F43" s="239"/>
      <c r="G43" s="3659"/>
    </row>
    <row r="44" spans="1:7" ht="13.5" customHeight="1">
      <c r="A44" s="780" t="s">
        <v>348</v>
      </c>
      <c r="B44" s="215" t="s">
        <v>1546</v>
      </c>
      <c r="C44" s="238">
        <f ca="1">ROUND(IF('数据-取费表'!B22&lt;=1,C40*F22*'数据-取费表'!B20/2,C40*(POWER((1+F22),'数据-取费表'!B20/2)-1)),4)</f>
        <v>5.9999999999999995E-4</v>
      </c>
      <c r="D44" s="238"/>
      <c r="E44" s="238"/>
      <c r="F44" s="239"/>
      <c r="G44" s="3660"/>
    </row>
    <row r="45" spans="1:7" s="214" customFormat="1" ht="13.5" customHeight="1">
      <c r="A45" s="255" t="s">
        <v>1547</v>
      </c>
      <c r="B45" s="244" t="s">
        <v>1513</v>
      </c>
      <c r="C45" s="245">
        <f ca="1">C46</f>
        <v>27755056</v>
      </c>
      <c r="D45" s="235">
        <f ca="1">C47</f>
        <v>1.6000000000000001E-3</v>
      </c>
      <c r="E45" s="236" t="s">
        <v>1539</v>
      </c>
      <c r="F45" s="246">
        <f ca="1">F27</f>
        <v>0.08</v>
      </c>
      <c r="G45" s="247" t="s">
        <v>1548</v>
      </c>
    </row>
    <row r="46" spans="1:7" s="214" customFormat="1" ht="13.5" customHeight="1">
      <c r="A46" s="780" t="s">
        <v>346</v>
      </c>
      <c r="B46" s="248" t="s">
        <v>1549</v>
      </c>
      <c r="C46" s="249">
        <f ca="1">ROUND((C33+C39)*F27,0)</f>
        <v>27755056</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416926277</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354387335</v>
      </c>
      <c r="D51" s="232"/>
      <c r="E51" s="232"/>
      <c r="F51" s="264"/>
      <c r="G51" s="234" t="s">
        <v>1560</v>
      </c>
    </row>
    <row r="52" spans="1:7" s="208" customFormat="1" ht="16.5" thickBot="1">
      <c r="A52" s="265" t="s">
        <v>1561</v>
      </c>
      <c r="B52" s="266"/>
      <c r="C52" s="267">
        <f ca="1">C31+C51</f>
        <v>397853509</v>
      </c>
      <c r="D52" s="266"/>
      <c r="E52" s="266"/>
      <c r="F52" s="266"/>
      <c r="G52" s="268"/>
    </row>
    <row r="55" spans="1:7" ht="15">
      <c r="B55" s="270" t="s">
        <v>1562</v>
      </c>
      <c r="C55" s="271"/>
    </row>
    <row r="56" spans="1:7">
      <c r="B56" s="273" t="s">
        <v>802</v>
      </c>
      <c r="C56" s="275">
        <f ca="1">1-C57</f>
        <v>0.10899999999999999</v>
      </c>
    </row>
    <row r="57" spans="1:7">
      <c r="B57" s="273" t="s">
        <v>803</v>
      </c>
      <c r="C57" s="274">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86219.39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86219.39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1724</v>
      </c>
      <c r="D20" s="846">
        <f ca="1">IF(C1="",'数据-汇总表'!E6,IF(INDIRECT("'数据-取费表'!c"&amp;$K$1)="住宅",INDIRECT("'数据-取费表'!s"&amp;$K$1),INDIRECT("'数据-取费表'!k"&amp;$K$1)+INDIRECT("'数据-取费表'!s"&amp;$K$1)))</f>
        <v>86219.39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4" sqref="J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25.71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69685</v>
      </c>
      <c r="C2" s="1387" t="s">
        <v>805</v>
      </c>
      <c r="D2" s="1387"/>
      <c r="E2" s="1388"/>
      <c r="F2" s="1389"/>
      <c r="G2" s="2706"/>
      <c r="H2" s="2695"/>
      <c r="I2" s="2695"/>
      <c r="J2" s="2695"/>
      <c r="K2" s="2696"/>
      <c r="L2" s="2695"/>
      <c r="M2" s="2695"/>
    </row>
    <row r="3" spans="1:37" ht="18" customHeight="1" thickBot="1">
      <c r="A3" s="1390" t="s">
        <v>806</v>
      </c>
      <c r="B3" s="1391">
        <f ca="1">IF(ISERROR(B2*10000/F43),0,ROUND(B2*10000/F43,0))</f>
        <v>8082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5104</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5098</v>
      </c>
      <c r="D6" s="155" t="s">
        <v>2109</v>
      </c>
      <c r="E6" s="302" t="s">
        <v>696</v>
      </c>
      <c r="F6" s="303">
        <f ca="1">INDIRECT("'数据-取费表'!u"&amp;$G$1)</f>
        <v>1.8</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86219.39</v>
      </c>
      <c r="G7" s="1384"/>
      <c r="H7" s="304"/>
      <c r="I7" s="3664"/>
      <c r="J7" s="306"/>
      <c r="K7" s="307"/>
      <c r="L7" s="302" t="s">
        <v>697</v>
      </c>
      <c r="M7" s="303">
        <f ca="1">F7</f>
        <v>86219.39</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6</v>
      </c>
      <c r="D10" s="1366" t="s">
        <v>2117</v>
      </c>
      <c r="E10" s="313" t="s">
        <v>701</v>
      </c>
      <c r="F10" s="1116" t="s">
        <v>3444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35439</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30177</v>
      </c>
      <c r="D14" s="1345" t="s">
        <v>708</v>
      </c>
      <c r="E14" s="1342"/>
      <c r="F14" s="319"/>
      <c r="G14" s="1384"/>
      <c r="H14" s="982" t="s">
        <v>398</v>
      </c>
      <c r="I14" s="302" t="s">
        <v>709</v>
      </c>
      <c r="J14" s="21">
        <f ca="1">C29</f>
        <v>41693</v>
      </c>
      <c r="K14" s="12"/>
      <c r="L14" s="807"/>
      <c r="M14" s="808"/>
    </row>
    <row r="15" spans="1:37" s="1397" customFormat="1" ht="18" customHeight="1" thickBot="1">
      <c r="A15" s="982" t="s">
        <v>399</v>
      </c>
      <c r="B15" s="302" t="s">
        <v>710</v>
      </c>
      <c r="C15" s="21">
        <f ca="1">ROUND(C14*F15,0)</f>
        <v>1509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148</v>
      </c>
      <c r="K16" s="1087" t="s">
        <v>715</v>
      </c>
      <c r="L16" s="1088"/>
      <c r="M16" s="1072"/>
    </row>
    <row r="17" spans="1:37" s="1397" customFormat="1" ht="18" customHeight="1">
      <c r="A17" s="982" t="s">
        <v>681</v>
      </c>
      <c r="B17" s="302" t="s">
        <v>716</v>
      </c>
      <c r="C17" s="21">
        <f ca="1">ROUND(F17*(F43+INDIRECT("'数据-取费表'!S"&amp;$G$1))/10000,0)</f>
        <v>1724</v>
      </c>
      <c r="D17" s="302" t="s">
        <v>717</v>
      </c>
      <c r="E17" s="302" t="s">
        <v>718</v>
      </c>
      <c r="F17" s="23">
        <f>'数据-取费表'!B35</f>
        <v>200</v>
      </c>
      <c r="G17" s="1396"/>
      <c r="H17" s="982" t="s">
        <v>398</v>
      </c>
      <c r="I17" s="302" t="s">
        <v>719</v>
      </c>
      <c r="J17" s="2316">
        <f ca="1">ROUND(IF(AND(项目基本情况!B11="自然人",项目基本情况!B10="北京市"),J6*M17/(1+'数据-取费表'!C42),J18+J19+J20),2)</f>
        <v>23.09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604</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34014</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680</v>
      </c>
      <c r="D20" s="323" t="s">
        <v>729</v>
      </c>
      <c r="E20" s="302" t="s">
        <v>712</v>
      </c>
      <c r="F20" s="322">
        <f>'数据-取费表'!B37</f>
        <v>0.02</v>
      </c>
      <c r="G20" s="1396"/>
      <c r="H20" s="982" t="s">
        <v>680</v>
      </c>
      <c r="I20" s="155" t="s">
        <v>730</v>
      </c>
      <c r="J20" s="22">
        <f ca="1">ROUND(M20*M21/10000,2)</f>
        <v>23.09</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76950.100000000006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125.08</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1075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-148</v>
      </c>
      <c r="K25" s="1095" t="s">
        <v>753</v>
      </c>
      <c r="L25" s="1096"/>
      <c r="M25" s="1097"/>
    </row>
    <row r="26" spans="1:37">
      <c r="A26" s="982" t="s">
        <v>397</v>
      </c>
      <c r="B26" s="302" t="s">
        <v>754</v>
      </c>
      <c r="C26" s="21">
        <f ca="1">ROUND((C19+C20)*F26,0)</f>
        <v>2776</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41693</v>
      </c>
      <c r="D29" s="1092"/>
      <c r="E29" s="1090"/>
      <c r="F29" s="1093"/>
      <c r="G29" s="1396"/>
      <c r="H29" s="334" t="s">
        <v>396</v>
      </c>
      <c r="I29" s="335" t="s">
        <v>768</v>
      </c>
      <c r="J29" s="336">
        <f ca="1">ROUND(J26/(1+F40)^F41,0)</f>
        <v>0</v>
      </c>
      <c r="K29" s="337" t="s">
        <v>769</v>
      </c>
      <c r="L29" s="338"/>
      <c r="M29" s="339">
        <f ca="1">INDIRECT("'数据-取费表'!k"&amp;$G$1)</f>
        <v>86219.39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1064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877.61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271.89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582.63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23.09</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76950.100000000006</v>
      </c>
      <c r="G35" s="1384"/>
      <c r="H35" s="2697"/>
      <c r="I35" s="1398"/>
      <c r="J35" s="1399"/>
      <c r="K35" s="2701"/>
      <c r="L35" s="2700"/>
      <c r="M35" s="2700"/>
    </row>
    <row r="36" spans="1:18" ht="18" customHeight="1">
      <c r="A36" s="1102" t="s">
        <v>402</v>
      </c>
      <c r="B36" s="302" t="s">
        <v>738</v>
      </c>
      <c r="C36" s="21">
        <f ca="1">ROUND(C29*F36,2)</f>
        <v>125.08</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35.44</v>
      </c>
      <c r="D37" s="1344" t="s">
        <v>743</v>
      </c>
      <c r="E37" s="302" t="s">
        <v>744</v>
      </c>
      <c r="F37" s="330">
        <f ca="1">INDIRECT("'数据-取费表'!Al"&amp;$G$1)</f>
        <v>1E-3</v>
      </c>
      <c r="G37" s="1384"/>
      <c r="H37" s="2700">
        <f ca="1">C39/C6</f>
        <v>0.79246763436641821</v>
      </c>
      <c r="I37" s="1398"/>
      <c r="J37" s="1399"/>
      <c r="K37" s="2544"/>
      <c r="L37" s="2700"/>
      <c r="M37" s="2700"/>
    </row>
    <row r="38" spans="1:18" ht="18" customHeight="1" thickBot="1">
      <c r="A38" s="1089" t="s">
        <v>684</v>
      </c>
      <c r="B38" s="1090" t="s">
        <v>728</v>
      </c>
      <c r="C38" s="1091">
        <f ca="1">ROUND(C5*F38,2)</f>
        <v>25.52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4040</v>
      </c>
      <c r="D39" s="1095" t="s">
        <v>773</v>
      </c>
      <c r="E39" s="1096"/>
      <c r="F39" s="1097"/>
      <c r="G39" s="1384"/>
      <c r="H39" s="2700"/>
      <c r="I39" s="1398"/>
      <c r="J39" s="1399"/>
      <c r="K39" s="2704"/>
      <c r="L39" s="2700"/>
      <c r="M39" s="2700"/>
    </row>
    <row r="40" spans="1:18" ht="18" customHeight="1">
      <c r="A40" s="299" t="s">
        <v>395</v>
      </c>
      <c r="B40" s="300" t="s">
        <v>774</v>
      </c>
      <c r="C40" s="301">
        <f ca="1">ROUND(C39*(1-((1+F42)/(1+F40))^F41)/(F40-F42),0)</f>
        <v>66944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25.71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7764</v>
      </c>
      <c r="D43" s="337" t="s">
        <v>777</v>
      </c>
      <c r="E43" s="338" t="s">
        <v>778</v>
      </c>
      <c r="F43" s="339">
        <f ca="1">INDIRECT("'数据-取费表'!k"&amp;$G$1)</f>
        <v>86219.39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-69445</v>
      </c>
      <c r="D46" s="1406" t="str">
        <f>C2</f>
        <v>万元</v>
      </c>
      <c r="E46" s="1400"/>
      <c r="F46" s="1400"/>
      <c r="I46" s="1407" t="s">
        <v>810</v>
      </c>
      <c r="J46" s="1408"/>
      <c r="K46" s="1409"/>
      <c r="L46" s="1410">
        <f ca="1">IF(M47="住宅",0,IF(L48&gt;J51,L60,J60))</f>
        <v>2741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3430</v>
      </c>
      <c r="K47" s="1416" t="s">
        <v>816</v>
      </c>
      <c r="L47" s="1417">
        <f ca="1">INDIRECT("'数据-取费表'!d"&amp;$G$1)</f>
        <v>50</v>
      </c>
      <c r="M47" s="1380" t="str">
        <f>IF(ISNUMBER(FIND("住宅",C1)),"住宅","非住宅")</f>
        <v>非住宅</v>
      </c>
      <c r="O47" s="1418" t="s">
        <v>403</v>
      </c>
      <c r="P47" s="1419" t="s">
        <v>817</v>
      </c>
      <c r="Q47" s="1420">
        <f ca="1">C40+J29</f>
        <v>66944</v>
      </c>
      <c r="R47" s="1420" t="s">
        <v>818</v>
      </c>
    </row>
    <row r="48" spans="1:18" s="1384" customFormat="1" ht="28.5" thickBot="1">
      <c r="A48" s="1110" t="s">
        <v>438</v>
      </c>
      <c r="B48" s="300" t="s">
        <v>692</v>
      </c>
      <c r="C48" s="1359">
        <f ca="1">C49+C53+C55</f>
        <v>0</v>
      </c>
      <c r="D48" s="1112"/>
      <c r="E48" s="1113"/>
      <c r="F48" s="962"/>
      <c r="G48" s="722"/>
      <c r="H48" s="723"/>
      <c r="I48" s="1421" t="s">
        <v>819</v>
      </c>
      <c r="J48" s="1422" t="s">
        <v>3445</v>
      </c>
      <c r="K48" s="1423" t="s">
        <v>820</v>
      </c>
      <c r="L48" s="1424">
        <f ca="1">INDIRECT("'数据-取费表'!f"&amp;$G$1)</f>
        <v>25.71</v>
      </c>
      <c r="O48" s="1418" t="s">
        <v>404</v>
      </c>
      <c r="P48" s="1419" t="s">
        <v>821</v>
      </c>
      <c r="Q48" s="1420">
        <f ca="1">J60</f>
        <v>2741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面积信息!G4</f>
        <v>2016</v>
      </c>
      <c r="K49" s="1423" t="s">
        <v>824</v>
      </c>
      <c r="L49" s="1427"/>
      <c r="O49" s="1428" t="s">
        <v>405</v>
      </c>
      <c r="P49" s="1419" t="s">
        <v>825</v>
      </c>
      <c r="Q49" s="1420">
        <f ca="1">C29</f>
        <v>41693</v>
      </c>
      <c r="R49" s="1420" t="s">
        <v>818</v>
      </c>
    </row>
    <row r="50" spans="1:18" s="1384" customFormat="1" ht="13.5" thickBot="1">
      <c r="A50" s="976"/>
      <c r="B50" s="979"/>
      <c r="C50" s="1118"/>
      <c r="D50" s="953"/>
      <c r="E50" s="1056" t="s">
        <v>697</v>
      </c>
      <c r="F50" s="1057">
        <f ca="1">F7</f>
        <v>86219.39</v>
      </c>
      <c r="H50" s="723"/>
      <c r="I50" s="1421" t="s">
        <v>826</v>
      </c>
      <c r="J50" s="1429">
        <f>SUMPRODUCT((I63:I65=J47)*(J62:L62=J48)*(J63:L65))</f>
        <v>60</v>
      </c>
      <c r="K50" s="1423" t="s">
        <v>827</v>
      </c>
      <c r="L50" s="1427"/>
      <c r="M50" s="1430"/>
      <c r="O50" s="1428" t="s">
        <v>406</v>
      </c>
      <c r="P50" s="1419" t="s">
        <v>828</v>
      </c>
      <c r="Q50" s="1431">
        <f ca="1">J58</f>
        <v>0.42199999999999999</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28595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25.71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25.71</v>
      </c>
      <c r="K53" s="3661" t="s">
        <v>837</v>
      </c>
      <c r="L53" s="3662"/>
      <c r="O53" s="1418" t="s">
        <v>409</v>
      </c>
      <c r="P53" s="1419" t="s">
        <v>838</v>
      </c>
      <c r="Q53" s="1420">
        <f ca="1">Q47+Q48</f>
        <v>69685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0.42199999999999999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35439</v>
      </c>
      <c r="D56" s="1447"/>
      <c r="E56" s="1448"/>
      <c r="F56" s="1440"/>
      <c r="I56" s="1449" t="s">
        <v>842</v>
      </c>
      <c r="J56" s="1450" t="s">
        <v>3439</v>
      </c>
      <c r="K56" s="1421" t="s">
        <v>843</v>
      </c>
      <c r="L56" s="1424" t="str">
        <f ca="1">IF(L48&lt;J51,"——",L48-J53)</f>
        <v>——</v>
      </c>
      <c r="O56" s="1418" t="s">
        <v>403</v>
      </c>
      <c r="P56" s="1419" t="s">
        <v>817</v>
      </c>
      <c r="Q56" s="1420">
        <f ca="1">C40+J29</f>
        <v>66944</v>
      </c>
      <c r="R56" s="1420" t="s">
        <v>818</v>
      </c>
    </row>
    <row r="57" spans="1:18" s="1384" customFormat="1" ht="24.75" thickBot="1">
      <c r="A57" s="1451"/>
      <c r="B57" s="950" t="s">
        <v>767</v>
      </c>
      <c r="C57" s="238">
        <f ca="1">C29</f>
        <v>41693</v>
      </c>
      <c r="D57" s="1452"/>
      <c r="E57" s="1453"/>
      <c r="F57" s="1454"/>
      <c r="I57" s="1455" t="s">
        <v>844</v>
      </c>
      <c r="J57" s="1456">
        <f ca="1">IF(OR(M47="住宅",J51&lt;L48,J56="是"),"——",J51-L48)</f>
        <v>25.29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184</v>
      </c>
      <c r="D58" s="960" t="s">
        <v>715</v>
      </c>
      <c r="E58" s="961"/>
      <c r="F58" s="962"/>
      <c r="I58" s="1455" t="s">
        <v>848</v>
      </c>
      <c r="J58" s="1457">
        <f ca="1">IF(J55&lt;0.4,0.4,J55)</f>
        <v>0.42199999999999999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17594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2741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23.09</v>
      </c>
      <c r="D62" s="965" t="s">
        <v>786</v>
      </c>
      <c r="E62" s="950" t="s">
        <v>787</v>
      </c>
      <c r="F62" s="325">
        <f t="shared" si="0"/>
        <v>3</v>
      </c>
      <c r="I62" s="1462" t="s">
        <v>858</v>
      </c>
      <c r="J62" s="1463" t="s">
        <v>859</v>
      </c>
      <c r="K62" s="1463" t="s">
        <v>860</v>
      </c>
      <c r="L62" s="1463" t="s">
        <v>861</v>
      </c>
      <c r="M62" s="1464" t="s">
        <v>862</v>
      </c>
      <c r="O62" s="1418" t="s">
        <v>409</v>
      </c>
      <c r="P62" s="1419" t="s">
        <v>863</v>
      </c>
      <c r="Q62" s="1420">
        <f ca="1">Q56+Q57</f>
        <v>66944</v>
      </c>
      <c r="R62" s="1420" t="s">
        <v>410</v>
      </c>
    </row>
    <row r="63" spans="1:18" s="1384" customFormat="1" ht="13.5" thickBot="1">
      <c r="A63" s="326"/>
      <c r="B63" s="956"/>
      <c r="C63" s="26"/>
      <c r="D63" s="966"/>
      <c r="E63" s="950" t="s">
        <v>788</v>
      </c>
      <c r="F63" s="303">
        <f t="shared" ca="1" si="0"/>
        <v>76950.100000000006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125.08</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35.44</v>
      </c>
      <c r="D65" s="964" t="s">
        <v>743</v>
      </c>
      <c r="E65" s="950" t="s">
        <v>744</v>
      </c>
      <c r="F65" s="330">
        <f t="shared" ca="1" si="0"/>
        <v>1E-3</v>
      </c>
      <c r="I65" s="1462" t="s">
        <v>867</v>
      </c>
      <c r="J65" s="1463">
        <v>40</v>
      </c>
      <c r="K65" s="1463">
        <v>30</v>
      </c>
      <c r="L65" s="1463">
        <v>50</v>
      </c>
      <c r="M65" s="1465">
        <v>0.02</v>
      </c>
      <c r="O65" s="1418" t="s">
        <v>403</v>
      </c>
      <c r="P65" s="1419" t="s">
        <v>868</v>
      </c>
      <c r="Q65" s="1420">
        <f ca="1">C40+J29</f>
        <v>66944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-184</v>
      </c>
      <c r="D67" s="963" t="s">
        <v>753</v>
      </c>
      <c r="E67" s="968"/>
      <c r="F67" s="969"/>
      <c r="O67" s="1428" t="s">
        <v>405</v>
      </c>
      <c r="P67" s="1419" t="s">
        <v>850</v>
      </c>
      <c r="Q67" s="1466">
        <f ca="1">L51</f>
        <v>28595</v>
      </c>
      <c r="R67" s="1420" t="s">
        <v>870</v>
      </c>
    </row>
    <row r="68" spans="1:18" s="1384" customFormat="1" ht="16.5" thickBot="1">
      <c r="A68" s="947" t="s">
        <v>395</v>
      </c>
      <c r="B68" s="948" t="s">
        <v>774</v>
      </c>
      <c r="C68" s="301">
        <f ca="1">ROUND(C67*(1-((1+F70)/(1+F68))^F69)/(F68-F70),0)</f>
        <v>-2501</v>
      </c>
      <c r="D68" s="965" t="s">
        <v>758</v>
      </c>
      <c r="E68" s="950" t="s">
        <v>759</v>
      </c>
      <c r="F68" s="312">
        <f ca="1">F40</f>
        <v>5.5E-2</v>
      </c>
      <c r="O68" s="1428" t="s">
        <v>406</v>
      </c>
      <c r="P68" s="1467" t="s">
        <v>871</v>
      </c>
      <c r="Q68" s="1420">
        <f ca="1">ROUND(Q69-Q70*Q71,0)</f>
        <v>1559</v>
      </c>
      <c r="R68" s="1420" t="s">
        <v>414</v>
      </c>
    </row>
    <row r="69" spans="1:18" s="1384" customFormat="1" ht="13.5" thickBot="1">
      <c r="A69" s="951"/>
      <c r="B69" s="952"/>
      <c r="C69" s="306"/>
      <c r="D69" s="970" t="s">
        <v>762</v>
      </c>
      <c r="E69" s="950" t="s">
        <v>763</v>
      </c>
      <c r="F69" s="333">
        <f ca="1">F41</f>
        <v>25.71</v>
      </c>
      <c r="O69" s="1428" t="s">
        <v>411</v>
      </c>
      <c r="P69" s="1467" t="s">
        <v>872</v>
      </c>
      <c r="Q69" s="1420">
        <f ca="1">C39</f>
        <v>4040</v>
      </c>
      <c r="R69" s="1420" t="s">
        <v>818</v>
      </c>
    </row>
    <row r="70" spans="1:18" s="1384" customFormat="1" ht="13.5" thickBot="1">
      <c r="A70" s="954"/>
      <c r="B70" s="955"/>
      <c r="C70" s="310"/>
      <c r="D70" s="966"/>
      <c r="E70" s="950" t="s">
        <v>766</v>
      </c>
      <c r="F70" s="1054"/>
      <c r="O70" s="1428" t="s">
        <v>412</v>
      </c>
      <c r="P70" s="1467" t="s">
        <v>873</v>
      </c>
      <c r="Q70" s="1420">
        <f ca="1">C13</f>
        <v>35439</v>
      </c>
      <c r="R70" s="1420" t="s">
        <v>818</v>
      </c>
    </row>
    <row r="71" spans="1:18" s="1384" customFormat="1" ht="13.5" thickBot="1">
      <c r="A71" s="971" t="s">
        <v>396</v>
      </c>
      <c r="B71" s="972" t="s">
        <v>776</v>
      </c>
      <c r="C71" s="336">
        <f ca="1">ROUND(C68*10000/F71,0)</f>
        <v>-290</v>
      </c>
      <c r="D71" s="973" t="s">
        <v>777</v>
      </c>
      <c r="E71" s="974" t="s">
        <v>778</v>
      </c>
      <c r="F71" s="339">
        <f ca="1">F43</f>
        <v>86219.39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2481</v>
      </c>
      <c r="D75" s="1384"/>
      <c r="E75" s="1384"/>
      <c r="F75" s="1384"/>
      <c r="K75" s="1402"/>
      <c r="L75" s="1384"/>
      <c r="O75" s="1418" t="s">
        <v>409</v>
      </c>
      <c r="P75" s="1419" t="s">
        <v>838</v>
      </c>
      <c r="Q75" s="1420">
        <f ca="1">Q65+Q66</f>
        <v>66944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0.38600000000000001</v>
      </c>
    </row>
    <row r="80" spans="1:18">
      <c r="B80" s="340" t="s">
        <v>800</v>
      </c>
      <c r="C80" s="274">
        <f ca="1">ROUND(C75/C39,3)</f>
        <v>0.61399999999999999</v>
      </c>
    </row>
    <row r="81" spans="2:3">
      <c r="B81" s="270" t="s">
        <v>801</v>
      </c>
      <c r="C81" s="238"/>
    </row>
    <row r="82" spans="2:3">
      <c r="B82" s="273" t="s">
        <v>802</v>
      </c>
      <c r="C82" s="275">
        <f ca="1">1-C83</f>
        <v>0.47099999999999997</v>
      </c>
    </row>
    <row r="83" spans="2:3">
      <c r="B83" s="273" t="s">
        <v>803</v>
      </c>
      <c r="C83" s="274">
        <f ca="1">ROUND(C13/C40,3)</f>
        <v>0.52900000000000003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0</v>
      </c>
      <c r="D6" s="155" t="s">
        <v>2106</v>
      </c>
      <c r="E6" s="302" t="s">
        <v>696</v>
      </c>
      <c r="F6" s="303">
        <f ca="1">INDIRECT("'数据-取费表'!u"&amp;$G$1)</f>
        <v>0</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6" t="s">
        <v>2317</v>
      </c>
      <c r="K2" s="3667"/>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8" t="s">
        <v>2327</v>
      </c>
      <c r="K3" s="3669"/>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8" t="s">
        <v>2329</v>
      </c>
      <c r="K4" s="3669"/>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0" t="s">
        <v>2333</v>
      </c>
      <c r="B6" s="3671"/>
      <c r="C6" s="3672"/>
      <c r="D6" s="2870"/>
      <c r="E6" s="2871"/>
      <c r="F6" s="2872"/>
      <c r="G6" s="2873"/>
      <c r="H6" s="2848"/>
      <c r="I6" s="2849"/>
      <c r="J6" s="3673">
        <v>1</v>
      </c>
      <c r="K6" s="3674"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3"/>
      <c r="K7" s="3675"/>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7" t="s">
        <v>2347</v>
      </c>
      <c r="C8" s="3678"/>
      <c r="D8" s="2889" t="s">
        <v>2348</v>
      </c>
      <c r="E8" s="2890" t="s">
        <v>2349</v>
      </c>
      <c r="F8" s="2891" t="s">
        <v>2350</v>
      </c>
      <c r="G8" s="2892"/>
      <c r="H8" s="2848"/>
      <c r="I8" s="2849"/>
      <c r="J8" s="3673"/>
      <c r="K8" s="3675"/>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7" t="s">
        <v>2353</v>
      </c>
      <c r="C9" s="3678"/>
      <c r="D9" s="2889">
        <f>ROUND(D6*E9,0)</f>
        <v>0</v>
      </c>
      <c r="E9" s="2893"/>
      <c r="F9" s="2894" t="s">
        <v>2354</v>
      </c>
      <c r="G9" s="2873"/>
      <c r="H9" s="2848"/>
      <c r="I9" s="2849"/>
      <c r="J9" s="3673"/>
      <c r="K9" s="3675"/>
      <c r="L9" s="2883" t="s">
        <v>2355</v>
      </c>
      <c r="M9" s="2884"/>
      <c r="N9" s="2860"/>
      <c r="O9" s="2885"/>
      <c r="P9" s="2885"/>
      <c r="Q9" s="2886">
        <v>365</v>
      </c>
      <c r="R9" s="2887">
        <f t="shared" si="0"/>
        <v>0</v>
      </c>
      <c r="S9" s="2841"/>
      <c r="T9" s="2841"/>
      <c r="U9" s="2841"/>
      <c r="V9" s="2849"/>
    </row>
    <row r="10" spans="1:22" s="2853" customFormat="1" ht="13.15" customHeight="1">
      <c r="A10" s="2888">
        <v>2</v>
      </c>
      <c r="B10" s="3677" t="s">
        <v>2356</v>
      </c>
      <c r="C10" s="3678"/>
      <c r="D10" s="2889">
        <f>ROUND(D6*E10,0)</f>
        <v>0</v>
      </c>
      <c r="E10" s="2893"/>
      <c r="F10" s="2894" t="s">
        <v>2357</v>
      </c>
      <c r="G10" s="2873"/>
      <c r="H10" s="2848"/>
      <c r="I10" s="2849"/>
      <c r="J10" s="3673"/>
      <c r="K10" s="3675"/>
      <c r="L10" s="2883" t="s">
        <v>2358</v>
      </c>
      <c r="M10" s="2884"/>
      <c r="N10" s="2860"/>
      <c r="O10" s="2885"/>
      <c r="P10" s="2885"/>
      <c r="Q10" s="2886">
        <v>365</v>
      </c>
      <c r="R10" s="2887">
        <f t="shared" si="0"/>
        <v>0</v>
      </c>
      <c r="S10" s="2841"/>
      <c r="T10" s="2841"/>
      <c r="U10" s="2841"/>
      <c r="V10" s="2849"/>
    </row>
    <row r="11" spans="1:22" s="2853" customFormat="1" ht="13.15" customHeight="1">
      <c r="A11" s="2888">
        <v>3</v>
      </c>
      <c r="B11" s="3677" t="s">
        <v>2359</v>
      </c>
      <c r="C11" s="3678"/>
      <c r="D11" s="2889">
        <f>D12+D14+D15+D16</f>
        <v>0</v>
      </c>
      <c r="E11" s="2895" t="e">
        <f>D11/D6</f>
        <v>#DIV/0!</v>
      </c>
      <c r="F11" s="2891"/>
      <c r="G11" s="2892"/>
      <c r="H11" s="2848"/>
      <c r="I11" s="2849"/>
      <c r="J11" s="3673"/>
      <c r="K11" s="3675"/>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9" t="s">
        <v>2362</v>
      </c>
      <c r="C12" s="3680"/>
      <c r="D12" s="2897">
        <f>ROUND(D13*1.2%*(1-30%),0)</f>
        <v>0</v>
      </c>
      <c r="E12" s="2898">
        <v>1.2E-2</v>
      </c>
      <c r="F12" s="2891" t="s">
        <v>2363</v>
      </c>
      <c r="G12" s="2892"/>
      <c r="H12" s="2848"/>
      <c r="I12" s="2849"/>
      <c r="J12" s="3673"/>
      <c r="K12" s="3675"/>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3"/>
      <c r="K13" s="3675"/>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9" t="s">
        <v>2368</v>
      </c>
      <c r="C14" s="3680"/>
      <c r="D14" s="2897">
        <f>ROUND(E14*B5/10000,0)</f>
        <v>0</v>
      </c>
      <c r="E14" s="2886"/>
      <c r="F14" s="2891" t="s">
        <v>2369</v>
      </c>
      <c r="G14" s="2892"/>
      <c r="H14" s="2848"/>
      <c r="I14" s="2849"/>
      <c r="J14" s="3673"/>
      <c r="K14" s="3676"/>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9" t="s">
        <v>2372</v>
      </c>
      <c r="C15" s="3680"/>
      <c r="D15" s="2897">
        <f>ROUND(D6*E15,0)</f>
        <v>0</v>
      </c>
      <c r="E15" s="2898">
        <v>5.5E-2</v>
      </c>
      <c r="F15" s="2891" t="s">
        <v>2373</v>
      </c>
      <c r="G15" s="2873"/>
      <c r="H15" s="2848"/>
      <c r="I15" s="2849"/>
      <c r="J15" s="3673">
        <v>2</v>
      </c>
      <c r="K15" s="3674"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9" t="s">
        <v>2381</v>
      </c>
      <c r="C16" s="3680"/>
      <c r="D16" s="2908">
        <f>D6*E16</f>
        <v>0</v>
      </c>
      <c r="E16" s="2909"/>
      <c r="F16" s="2894" t="s">
        <v>2382</v>
      </c>
      <c r="G16" s="2873"/>
      <c r="H16" s="2848"/>
      <c r="I16" s="2849"/>
      <c r="J16" s="3673"/>
      <c r="K16" s="3675"/>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2384</v>
      </c>
      <c r="C17" s="3682"/>
      <c r="D17" s="2911">
        <f>ROUND(D6*E17,0)</f>
        <v>0</v>
      </c>
      <c r="E17" s="2912"/>
      <c r="F17" s="2913" t="s">
        <v>2385</v>
      </c>
      <c r="G17" s="2873"/>
      <c r="H17" s="2848"/>
      <c r="I17" s="2849"/>
      <c r="J17" s="3673"/>
      <c r="K17" s="3675"/>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3"/>
      <c r="K18" s="3675"/>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3"/>
      <c r="K19" s="3676"/>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3">
        <v>3</v>
      </c>
      <c r="K20" s="3674"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3"/>
      <c r="K21" s="3675"/>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3"/>
      <c r="K22" s="3675"/>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3"/>
      <c r="K23" s="3675"/>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3"/>
      <c r="K24" s="3676"/>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6" t="s">
        <v>2317</v>
      </c>
      <c r="K32" s="3667"/>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8" t="s">
        <v>2327</v>
      </c>
      <c r="K33" s="3669"/>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8" t="s">
        <v>2329</v>
      </c>
      <c r="K34" s="36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3">
        <v>1</v>
      </c>
      <c r="K36" s="3674"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3"/>
      <c r="K37" s="3675"/>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3"/>
      <c r="K38" s="3675"/>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3"/>
      <c r="K39" s="3675"/>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3"/>
      <c r="K40" s="3676"/>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69685</v>
      </c>
      <c r="C2" s="1872" t="s">
        <v>1651</v>
      </c>
      <c r="D2" s="1873" t="s">
        <v>1652</v>
      </c>
      <c r="E2" s="2607">
        <f>SUM(E6:E13)</f>
        <v>86219.39</v>
      </c>
      <c r="F2" s="2707"/>
      <c r="G2" s="1489"/>
      <c r="H2" s="1489"/>
      <c r="I2" s="1489"/>
      <c r="J2" s="1489"/>
      <c r="K2" s="1489"/>
      <c r="L2" s="1489"/>
      <c r="M2" s="1489"/>
      <c r="N2" s="1489"/>
      <c r="O2" s="1489"/>
      <c r="P2" s="1489"/>
      <c r="Q2" s="1489"/>
      <c r="R2" s="1489"/>
      <c r="S2" s="1489"/>
    </row>
    <row r="3" spans="1:22" ht="15.75">
      <c r="A3" s="1870" t="s">
        <v>686</v>
      </c>
      <c r="B3" s="2601">
        <f ca="1">ROUND(B2*10000/E2,0)</f>
        <v>8082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5" t="s">
        <v>1654</v>
      </c>
      <c r="C5" s="368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69685</v>
      </c>
      <c r="C6" s="1872" t="s">
        <v>1651</v>
      </c>
      <c r="D6" s="2709"/>
      <c r="E6" s="2606">
        <f>IF(OR(A6=0,F6="否"),0,'数据-取费表'!K6+'数据-取费表'!S6)</f>
        <v>86219.39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86219.39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15"/>
      <c r="M4" s="2716"/>
      <c r="N4" s="2716"/>
      <c r="O4" s="2716"/>
      <c r="P4" s="3709" t="s">
        <v>1672</v>
      </c>
      <c r="Q4" s="3710"/>
      <c r="R4" s="3692" t="s">
        <v>1668</v>
      </c>
      <c r="S4" s="3693"/>
      <c r="T4" s="3692" t="s">
        <v>1669</v>
      </c>
      <c r="U4" s="3693"/>
      <c r="V4" s="3717" t="s">
        <v>1670</v>
      </c>
      <c r="W4" s="3717"/>
      <c r="X4" s="1355"/>
      <c r="Y4" s="3692" t="s">
        <v>1672</v>
      </c>
      <c r="Z4" s="3693"/>
      <c r="AA4" s="3687" t="s">
        <v>1668</v>
      </c>
      <c r="AB4" s="3687" t="s">
        <v>1669</v>
      </c>
      <c r="AC4" s="3687" t="s">
        <v>1670</v>
      </c>
    </row>
    <row r="5" spans="1:29" ht="15">
      <c r="A5" s="358"/>
      <c r="B5" s="359"/>
      <c r="C5" s="3698" t="s">
        <v>1673</v>
      </c>
      <c r="D5" s="3699"/>
      <c r="E5" s="3696" t="s">
        <v>1674</v>
      </c>
      <c r="F5" s="3697"/>
      <c r="G5" s="3698" t="s">
        <v>1675</v>
      </c>
      <c r="H5" s="3699"/>
      <c r="I5" s="3698" t="s">
        <v>1676</v>
      </c>
      <c r="J5" s="3699"/>
      <c r="K5" s="1890"/>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1890"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0" t="s">
        <v>1680</v>
      </c>
      <c r="Q7" s="3718"/>
      <c r="R7" s="701" t="s">
        <v>20</v>
      </c>
      <c r="S7" s="702">
        <f t="shared" ref="S7:S15" si="0">F7</f>
        <v>0</v>
      </c>
      <c r="T7" s="701" t="s">
        <v>20</v>
      </c>
      <c r="U7" s="702">
        <f t="shared" ref="U7:U15" si="1">H7</f>
        <v>0</v>
      </c>
      <c r="V7" s="701" t="s">
        <v>20</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0" t="s">
        <v>1683</v>
      </c>
      <c r="Q8" s="3691"/>
      <c r="R8" s="701" t="s">
        <v>20</v>
      </c>
      <c r="S8" s="702">
        <f t="shared" si="0"/>
        <v>100</v>
      </c>
      <c r="T8" s="701" t="s">
        <v>20</v>
      </c>
      <c r="U8" s="702">
        <f t="shared" si="1"/>
        <v>100</v>
      </c>
      <c r="V8" s="701" t="s">
        <v>20</v>
      </c>
      <c r="W8" s="702">
        <f t="shared" si="2"/>
        <v>100</v>
      </c>
      <c r="X8" s="703"/>
      <c r="Y8" s="3690"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1" t="s">
        <v>1691</v>
      </c>
      <c r="Q15" s="1352" t="str">
        <f t="shared" si="6"/>
        <v>居住社区成熟度</v>
      </c>
      <c r="R15" s="705" t="s">
        <v>18</v>
      </c>
      <c r="S15" s="706">
        <f t="shared" si="0"/>
        <v>100</v>
      </c>
      <c r="T15" s="705" t="s">
        <v>18</v>
      </c>
      <c r="U15" s="706">
        <f t="shared" si="1"/>
        <v>100</v>
      </c>
      <c r="V15" s="705" t="s">
        <v>18</v>
      </c>
      <c r="W15" s="706">
        <f t="shared" si="2"/>
        <v>100</v>
      </c>
      <c r="X15" s="1355"/>
      <c r="Y15" s="37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2"/>
      <c r="Q16" s="1352"/>
      <c r="R16" s="705"/>
      <c r="S16" s="706"/>
      <c r="T16" s="705"/>
      <c r="U16" s="706"/>
      <c r="V16" s="705"/>
      <c r="W16" s="706"/>
      <c r="X16" s="1355"/>
      <c r="Y16" s="372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2"/>
      <c r="Q18" s="1352"/>
      <c r="R18" s="705"/>
      <c r="S18" s="706"/>
      <c r="T18" s="705"/>
      <c r="U18" s="706"/>
      <c r="V18" s="705"/>
      <c r="W18" s="706"/>
      <c r="X18" s="1355"/>
      <c r="Y18" s="372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2"/>
      <c r="Q20" s="1352"/>
      <c r="R20" s="705"/>
      <c r="S20" s="706"/>
      <c r="T20" s="705"/>
      <c r="U20" s="706"/>
      <c r="V20" s="705"/>
      <c r="W20" s="706"/>
      <c r="X20" s="1355"/>
      <c r="Y20" s="372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2"/>
      <c r="Q22" s="1352"/>
      <c r="R22" s="705"/>
      <c r="S22" s="706"/>
      <c r="T22" s="705"/>
      <c r="U22" s="706"/>
      <c r="V22" s="705"/>
      <c r="W22" s="706"/>
      <c r="X22" s="1355"/>
      <c r="Y22" s="372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2"/>
      <c r="Q26" s="1352" t="str">
        <f t="shared" si="11"/>
        <v>朝向</v>
      </c>
      <c r="R26" s="705" t="s">
        <v>18</v>
      </c>
      <c r="S26" s="706">
        <f t="shared" si="12"/>
        <v>100</v>
      </c>
      <c r="T26" s="705" t="s">
        <v>18</v>
      </c>
      <c r="U26" s="706">
        <f t="shared" si="13"/>
        <v>100</v>
      </c>
      <c r="V26" s="705" t="s">
        <v>18</v>
      </c>
      <c r="W26" s="706">
        <f t="shared" si="14"/>
        <v>100</v>
      </c>
      <c r="X26" s="1355"/>
      <c r="Y26" s="372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2"/>
      <c r="Q27" s="1343">
        <f t="shared" si="11"/>
        <v>111</v>
      </c>
      <c r="R27" s="701" t="s">
        <v>18</v>
      </c>
      <c r="S27" s="702">
        <f t="shared" si="12"/>
        <v>100</v>
      </c>
      <c r="T27" s="701" t="s">
        <v>18</v>
      </c>
      <c r="U27" s="702">
        <f t="shared" si="13"/>
        <v>100</v>
      </c>
      <c r="V27" s="701" t="s">
        <v>18</v>
      </c>
      <c r="W27" s="702">
        <f t="shared" si="14"/>
        <v>100</v>
      </c>
      <c r="X27" s="703"/>
      <c r="Y27" s="372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6" t="s">
        <v>1696</v>
      </c>
      <c r="Q32" s="1352" t="str">
        <f t="shared" si="11"/>
        <v>建筑类型</v>
      </c>
      <c r="R32" s="705" t="s">
        <v>18</v>
      </c>
      <c r="S32" s="706">
        <f t="shared" si="12"/>
        <v>100</v>
      </c>
      <c r="T32" s="705" t="s">
        <v>18</v>
      </c>
      <c r="U32" s="706">
        <f t="shared" si="13"/>
        <v>100</v>
      </c>
      <c r="V32" s="705" t="s">
        <v>18</v>
      </c>
      <c r="W32" s="706">
        <f t="shared" si="14"/>
        <v>100</v>
      </c>
      <c r="X32" s="1355"/>
      <c r="Y32" s="372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7"/>
      <c r="Q33" s="707" t="str">
        <f t="shared" si="11"/>
        <v>项目建筑规模</v>
      </c>
      <c r="R33" s="708" t="s">
        <v>18</v>
      </c>
      <c r="S33" s="709" t="e">
        <f t="shared" si="12"/>
        <v>#N/A</v>
      </c>
      <c r="T33" s="708" t="s">
        <v>18</v>
      </c>
      <c r="U33" s="709" t="e">
        <f t="shared" si="13"/>
        <v>#N/A</v>
      </c>
      <c r="V33" s="708" t="s">
        <v>18</v>
      </c>
      <c r="W33" s="709" t="e">
        <f t="shared" si="14"/>
        <v>#N/A</v>
      </c>
      <c r="X33" s="710"/>
      <c r="Y33" s="372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7"/>
      <c r="Q37" s="1343" t="str">
        <f t="shared" si="11"/>
        <v>成新度</v>
      </c>
      <c r="R37" s="701" t="s">
        <v>18</v>
      </c>
      <c r="S37" s="702" t="e">
        <f t="shared" si="12"/>
        <v>#N/A</v>
      </c>
      <c r="T37" s="701" t="s">
        <v>18</v>
      </c>
      <c r="U37" s="702" t="e">
        <f t="shared" si="13"/>
        <v>#N/A</v>
      </c>
      <c r="V37" s="701" t="s">
        <v>18</v>
      </c>
      <c r="W37" s="702" t="e">
        <f t="shared" si="14"/>
        <v>#N/A</v>
      </c>
      <c r="X37" s="703"/>
      <c r="Y37" s="372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7" t="s">
        <v>1696</v>
      </c>
      <c r="Q38" s="1352" t="str">
        <f t="shared" si="11"/>
        <v>物业管理</v>
      </c>
      <c r="R38" s="705" t="s">
        <v>18</v>
      </c>
      <c r="S38" s="706">
        <f t="shared" si="12"/>
        <v>100</v>
      </c>
      <c r="T38" s="705" t="s">
        <v>18</v>
      </c>
      <c r="U38" s="706">
        <f t="shared" si="13"/>
        <v>100</v>
      </c>
      <c r="V38" s="705" t="s">
        <v>18</v>
      </c>
      <c r="W38" s="706">
        <f t="shared" si="14"/>
        <v>100</v>
      </c>
      <c r="X38" s="1355"/>
      <c r="Y38" s="372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7"/>
      <c r="Q42" s="1352" t="str">
        <f t="shared" si="11"/>
        <v>内部装修</v>
      </c>
      <c r="R42" s="705" t="s">
        <v>18</v>
      </c>
      <c r="S42" s="706">
        <f t="shared" si="12"/>
        <v>100</v>
      </c>
      <c r="T42" s="705" t="s">
        <v>18</v>
      </c>
      <c r="U42" s="706">
        <f t="shared" si="13"/>
        <v>100</v>
      </c>
      <c r="V42" s="705" t="s">
        <v>18</v>
      </c>
      <c r="W42" s="706">
        <f t="shared" si="14"/>
        <v>100</v>
      </c>
      <c r="X42" s="1355"/>
      <c r="Y42" s="372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86219.39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717"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717"/>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717"/>
      <c r="AC6" s="3689"/>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1" t="s">
        <v>1691</v>
      </c>
      <c r="Q15" s="1352" t="str">
        <f t="shared" si="6"/>
        <v>商业繁华度</v>
      </c>
      <c r="R15" s="705" t="s">
        <v>14</v>
      </c>
      <c r="S15" s="706">
        <f t="shared" si="0"/>
        <v>100</v>
      </c>
      <c r="T15" s="705" t="s">
        <v>14</v>
      </c>
      <c r="U15" s="706">
        <f t="shared" si="1"/>
        <v>100</v>
      </c>
      <c r="V15" s="705" t="s">
        <v>14</v>
      </c>
      <c r="W15" s="706">
        <f t="shared" si="2"/>
        <v>100</v>
      </c>
      <c r="X15" s="1355"/>
      <c r="Y15" s="372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2"/>
      <c r="Q22" s="1352"/>
      <c r="R22" s="705"/>
      <c r="S22" s="706"/>
      <c r="T22" s="705"/>
      <c r="U22" s="706"/>
      <c r="V22" s="705"/>
      <c r="W22" s="706"/>
      <c r="X22" s="1355"/>
      <c r="Y22" s="372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2"/>
      <c r="Q25" s="1352" t="str">
        <f t="shared" ref="Q25:Q46" si="11">B25</f>
        <v>临街状况</v>
      </c>
      <c r="R25" s="705" t="s">
        <v>14</v>
      </c>
      <c r="S25" s="706">
        <f>F25</f>
        <v>100</v>
      </c>
      <c r="T25" s="705" t="s">
        <v>14</v>
      </c>
      <c r="U25" s="706">
        <f>H25</f>
        <v>100</v>
      </c>
      <c r="V25" s="705" t="s">
        <v>14</v>
      </c>
      <c r="W25" s="706">
        <f>J25</f>
        <v>100</v>
      </c>
      <c r="X25" s="1355"/>
      <c r="Y25" s="372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2"/>
      <c r="Q26" s="1352" t="str">
        <f t="shared" si="11"/>
        <v>平面位置/可视性</v>
      </c>
      <c r="R26" s="705" t="s">
        <v>14</v>
      </c>
      <c r="S26" s="706">
        <f>F26</f>
        <v>100</v>
      </c>
      <c r="T26" s="705" t="s">
        <v>14</v>
      </c>
      <c r="U26" s="706">
        <f>H26</f>
        <v>100</v>
      </c>
      <c r="V26" s="705" t="s">
        <v>14</v>
      </c>
      <c r="W26" s="706">
        <f>J26</f>
        <v>100</v>
      </c>
      <c r="X26" s="1355"/>
      <c r="Y26" s="372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2"/>
      <c r="Q27" s="1343" t="str">
        <f t="shared" si="11"/>
        <v>人流量</v>
      </c>
      <c r="R27" s="701" t="s">
        <v>14</v>
      </c>
      <c r="S27" s="702">
        <f>F27</f>
        <v>100</v>
      </c>
      <c r="T27" s="701" t="s">
        <v>14</v>
      </c>
      <c r="U27" s="702">
        <f>H27</f>
        <v>100</v>
      </c>
      <c r="V27" s="701" t="s">
        <v>14</v>
      </c>
      <c r="W27" s="702">
        <f>J27</f>
        <v>100</v>
      </c>
      <c r="X27" s="703"/>
      <c r="Y27" s="372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6" t="s">
        <v>1696</v>
      </c>
      <c r="Q32" s="1352" t="str">
        <f t="shared" si="11"/>
        <v>商业类型</v>
      </c>
      <c r="R32" s="705" t="s">
        <v>14</v>
      </c>
      <c r="S32" s="706">
        <f t="shared" si="12"/>
        <v>100</v>
      </c>
      <c r="T32" s="705" t="s">
        <v>14</v>
      </c>
      <c r="U32" s="706">
        <f t="shared" si="13"/>
        <v>100</v>
      </c>
      <c r="V32" s="705" t="s">
        <v>14</v>
      </c>
      <c r="W32" s="706">
        <f t="shared" si="14"/>
        <v>100</v>
      </c>
      <c r="X32" s="1355"/>
      <c r="Y32" s="372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7"/>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7"/>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7" t="s">
        <v>1696</v>
      </c>
      <c r="Q38" s="1352" t="str">
        <f t="shared" si="11"/>
        <v>业态</v>
      </c>
      <c r="R38" s="705" t="s">
        <v>14</v>
      </c>
      <c r="S38" s="706">
        <f t="shared" si="12"/>
        <v>100</v>
      </c>
      <c r="T38" s="705" t="s">
        <v>14</v>
      </c>
      <c r="U38" s="706">
        <f t="shared" si="13"/>
        <v>100</v>
      </c>
      <c r="V38" s="705" t="s">
        <v>14</v>
      </c>
      <c r="W38" s="706">
        <f t="shared" si="14"/>
        <v>100</v>
      </c>
      <c r="X38" s="1355"/>
      <c r="Y38" s="372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7"/>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2" t="str">
        <f>A47</f>
        <v>成交单价（元/平方米）</v>
      </c>
      <c r="Q47" s="3722"/>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86219.39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ht="15">
      <c r="A5" s="358"/>
      <c r="B5" s="359"/>
      <c r="C5" s="3698" t="s">
        <v>1673</v>
      </c>
      <c r="D5" s="3699"/>
      <c r="E5" s="3696" t="s">
        <v>1674</v>
      </c>
      <c r="F5" s="3697"/>
      <c r="G5" s="3698" t="s">
        <v>1675</v>
      </c>
      <c r="H5" s="3699"/>
      <c r="I5" s="3698" t="s">
        <v>1676</v>
      </c>
      <c r="J5" s="3699"/>
      <c r="K5" s="559"/>
      <c r="L5" s="2715"/>
      <c r="M5" s="2716"/>
      <c r="N5" s="2716"/>
      <c r="O5" s="2716"/>
      <c r="P5" s="3741"/>
      <c r="Q5" s="3712"/>
      <c r="R5" s="3694"/>
      <c r="S5" s="3695"/>
      <c r="T5" s="3694"/>
      <c r="U5" s="3695"/>
      <c r="V5" s="3717"/>
      <c r="W5" s="3717"/>
      <c r="X5" s="1355"/>
      <c r="Y5" s="3694"/>
      <c r="Z5" s="3695"/>
      <c r="AA5" s="3688"/>
      <c r="AB5" s="3688"/>
      <c r="AC5" s="3737"/>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42"/>
      <c r="Q6" s="3714"/>
      <c r="R6" s="3694"/>
      <c r="S6" s="3695"/>
      <c r="T6" s="3715"/>
      <c r="U6" s="3716"/>
      <c r="V6" s="3717"/>
      <c r="W6" s="3717"/>
      <c r="X6" s="1355"/>
      <c r="Y6" s="3715"/>
      <c r="Z6" s="3716"/>
      <c r="AA6" s="3689"/>
      <c r="AB6" s="3689"/>
      <c r="AC6" s="3738"/>
    </row>
    <row r="7" spans="1:29" s="108" customFormat="1" ht="15.75" thickBot="1">
      <c r="A7" s="362" t="s">
        <v>1679</v>
      </c>
      <c r="B7" s="363"/>
      <c r="C7" s="364">
        <f>'数据-取费表'!B2</f>
        <v>45761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691"/>
      <c r="R8" s="701" t="s">
        <v>14</v>
      </c>
      <c r="S8" s="702">
        <f t="shared" si="0"/>
        <v>100</v>
      </c>
      <c r="T8" s="701" t="s">
        <v>14</v>
      </c>
      <c r="U8" s="702">
        <f t="shared" si="1"/>
        <v>100</v>
      </c>
      <c r="V8" s="701" t="s">
        <v>14</v>
      </c>
      <c r="W8" s="702">
        <f t="shared" si="2"/>
        <v>100</v>
      </c>
      <c r="X8" s="703"/>
      <c r="Y8" s="3690" t="s">
        <v>1683</v>
      </c>
      <c r="Z8" s="369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1" t="s">
        <v>1691</v>
      </c>
      <c r="Q15" s="1352" t="str">
        <f t="shared" si="6"/>
        <v>办公集聚程度</v>
      </c>
      <c r="R15" s="705" t="s">
        <v>14</v>
      </c>
      <c r="S15" s="706">
        <f t="shared" si="0"/>
        <v>100</v>
      </c>
      <c r="T15" s="705" t="s">
        <v>14</v>
      </c>
      <c r="U15" s="706">
        <f t="shared" si="1"/>
        <v>100</v>
      </c>
      <c r="V15" s="705" t="s">
        <v>14</v>
      </c>
      <c r="W15" s="706">
        <f t="shared" si="2"/>
        <v>100</v>
      </c>
      <c r="X15" s="1355"/>
      <c r="Y15" s="372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2"/>
      <c r="Q22" s="1352"/>
      <c r="R22" s="705"/>
      <c r="S22" s="706"/>
      <c r="T22" s="705"/>
      <c r="U22" s="706"/>
      <c r="V22" s="705"/>
      <c r="W22" s="706"/>
      <c r="X22" s="1355"/>
      <c r="Y22" s="372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2"/>
      <c r="Q26" s="1352"/>
      <c r="R26" s="705"/>
      <c r="S26" s="706"/>
      <c r="T26" s="705"/>
      <c r="U26" s="706"/>
      <c r="V26" s="705"/>
      <c r="W26" s="706"/>
      <c r="X26" s="1355"/>
      <c r="Y26" s="372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2"/>
      <c r="Q27" s="1352" t="str">
        <f t="shared" ref="Q27:Q47" si="11">B27</f>
        <v>楼层</v>
      </c>
      <c r="R27" s="705" t="s">
        <v>14</v>
      </c>
      <c r="S27" s="706">
        <f>F27</f>
        <v>100</v>
      </c>
      <c r="T27" s="705" t="s">
        <v>14</v>
      </c>
      <c r="U27" s="706">
        <f>H27</f>
        <v>100</v>
      </c>
      <c r="V27" s="705" t="s">
        <v>14</v>
      </c>
      <c r="W27" s="706">
        <f>J27</f>
        <v>100</v>
      </c>
      <c r="X27" s="1355"/>
      <c r="Y27" s="372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6" t="s">
        <v>1696</v>
      </c>
      <c r="Q33" s="1352" t="str">
        <f t="shared" si="11"/>
        <v>建筑类型</v>
      </c>
      <c r="R33" s="705" t="s">
        <v>14</v>
      </c>
      <c r="S33" s="706">
        <f t="shared" si="12"/>
        <v>100</v>
      </c>
      <c r="T33" s="705" t="s">
        <v>14</v>
      </c>
      <c r="U33" s="706">
        <f t="shared" si="13"/>
        <v>100</v>
      </c>
      <c r="V33" s="705" t="s">
        <v>14</v>
      </c>
      <c r="W33" s="706">
        <f t="shared" si="14"/>
        <v>100</v>
      </c>
      <c r="X33" s="1355"/>
      <c r="Y33" s="372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7"/>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7"/>
      <c r="Q37" s="1352" t="str">
        <f t="shared" si="11"/>
        <v>成新度</v>
      </c>
      <c r="R37" s="705" t="s">
        <v>14</v>
      </c>
      <c r="S37" s="706" t="e">
        <f t="shared" si="12"/>
        <v>#N/A</v>
      </c>
      <c r="T37" s="705" t="s">
        <v>14</v>
      </c>
      <c r="U37" s="706" t="e">
        <f t="shared" si="13"/>
        <v>#N/A</v>
      </c>
      <c r="V37" s="705" t="s">
        <v>14</v>
      </c>
      <c r="W37" s="706" t="e">
        <f t="shared" si="14"/>
        <v>#N/A</v>
      </c>
      <c r="X37" s="1355"/>
      <c r="Y37" s="372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7" t="s">
        <v>1696</v>
      </c>
      <c r="Q39" s="1352" t="str">
        <f t="shared" si="11"/>
        <v>物业管理</v>
      </c>
      <c r="R39" s="705" t="s">
        <v>14</v>
      </c>
      <c r="S39" s="706">
        <f t="shared" si="12"/>
        <v>100</v>
      </c>
      <c r="T39" s="705" t="s">
        <v>14</v>
      </c>
      <c r="U39" s="706">
        <f t="shared" si="13"/>
        <v>100</v>
      </c>
      <c r="V39" s="705" t="s">
        <v>14</v>
      </c>
      <c r="W39" s="706">
        <f t="shared" si="14"/>
        <v>100</v>
      </c>
      <c r="X39" s="1355"/>
      <c r="Y39" s="372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7"/>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7"/>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7"/>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4" t="str">
        <f>A48</f>
        <v>成交单价（元/平方米）</v>
      </c>
      <c r="Q48" s="3722"/>
      <c r="R48" s="3723">
        <f>E48</f>
        <v>0</v>
      </c>
      <c r="S48" s="3723"/>
      <c r="T48" s="3723">
        <f>G48</f>
        <v>0</v>
      </c>
      <c r="U48" s="3723"/>
      <c r="V48" s="3723">
        <f>I48</f>
        <v>0</v>
      </c>
      <c r="W48" s="372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估价对象为北京市房地产，为所有。根据《国有土地使用证》[]，估价对象（分摊）出让国有建设用地使用权面积为76950.1平方米，建筑面积为86219.39平方米。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估价对象为北京市房地产,属开发建设的，该项目尚在开发建设中。根据《国有土地使用证》[]，估价对象（分摊）出让国有建设用地使用权面积为76950.1平方米，规划建筑面积为86219.39平方米。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86219.39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913"/>
      <c r="M5" s="914"/>
      <c r="N5" s="914"/>
      <c r="O5" s="914"/>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913"/>
      <c r="M6" s="914"/>
      <c r="N6" s="914"/>
      <c r="O6" s="914"/>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45761</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91"/>
      <c r="R8" s="701" t="s">
        <v>14</v>
      </c>
      <c r="S8" s="702">
        <f t="shared" si="0"/>
        <v>100</v>
      </c>
      <c r="T8" s="701" t="s">
        <v>14</v>
      </c>
      <c r="U8" s="702">
        <f t="shared" si="1"/>
        <v>100</v>
      </c>
      <c r="V8" s="701" t="s">
        <v>14</v>
      </c>
      <c r="W8" s="702">
        <f t="shared" si="2"/>
        <v>100</v>
      </c>
      <c r="X8" s="703"/>
      <c r="Y8" s="3690"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72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1696</v>
      </c>
      <c r="Q35" s="1352" t="str">
        <f t="shared" si="11"/>
        <v>市政基础设施</v>
      </c>
      <c r="R35" s="705" t="s">
        <v>14</v>
      </c>
      <c r="S35" s="706">
        <f t="shared" si="12"/>
        <v>100</v>
      </c>
      <c r="T35" s="705" t="s">
        <v>14</v>
      </c>
      <c r="U35" s="706">
        <f t="shared" si="13"/>
        <v>100</v>
      </c>
      <c r="V35" s="705" t="s">
        <v>14</v>
      </c>
      <c r="W35" s="706">
        <f t="shared" si="14"/>
        <v>100</v>
      </c>
      <c r="X35" s="1355"/>
      <c r="Y35" s="372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45761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2"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2"/>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5"/>
      <c r="Q15" s="1352"/>
      <c r="R15" s="705"/>
      <c r="S15" s="706"/>
      <c r="T15" s="705"/>
      <c r="U15" s="706"/>
      <c r="V15" s="705"/>
      <c r="W15" s="706"/>
      <c r="X15" s="1355"/>
      <c r="Y15" s="372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5"/>
      <c r="Q17" s="1352"/>
      <c r="R17" s="705"/>
      <c r="S17" s="706"/>
      <c r="T17" s="705"/>
      <c r="U17" s="706"/>
      <c r="V17" s="705"/>
      <c r="W17" s="706"/>
      <c r="X17" s="1355"/>
      <c r="Y17" s="372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5"/>
      <c r="Q19" s="1352"/>
      <c r="R19" s="705"/>
      <c r="S19" s="706"/>
      <c r="T19" s="705"/>
      <c r="U19" s="706"/>
      <c r="V19" s="705"/>
      <c r="W19" s="706"/>
      <c r="X19" s="1355"/>
      <c r="Y19" s="372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5"/>
      <c r="Q21" s="1352"/>
      <c r="R21" s="705"/>
      <c r="S21" s="706"/>
      <c r="T21" s="705"/>
      <c r="U21" s="706"/>
      <c r="V21" s="705"/>
      <c r="W21" s="706"/>
      <c r="X21" s="1355"/>
      <c r="Y21" s="372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9" t="s">
        <v>1696</v>
      </c>
      <c r="Q32" s="1352" t="str">
        <f t="shared" si="11"/>
        <v>车位类型</v>
      </c>
      <c r="R32" s="705" t="s">
        <v>14</v>
      </c>
      <c r="S32" s="706">
        <f t="shared" si="12"/>
        <v>100</v>
      </c>
      <c r="T32" s="705" t="s">
        <v>14</v>
      </c>
      <c r="U32" s="706">
        <f t="shared" si="13"/>
        <v>100</v>
      </c>
      <c r="V32" s="705" t="s">
        <v>14</v>
      </c>
      <c r="W32" s="706">
        <f t="shared" si="14"/>
        <v>100</v>
      </c>
      <c r="X32" s="1355"/>
      <c r="Y32" s="372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22" t="str">
        <f>A37</f>
        <v>成交单价</v>
      </c>
      <c r="Q37" s="3722"/>
      <c r="R37" s="3723">
        <f>E37</f>
        <v>0</v>
      </c>
      <c r="S37" s="3723"/>
      <c r="T37" s="3723">
        <f>G37</f>
        <v>0</v>
      </c>
      <c r="U37" s="3723"/>
      <c r="V37" s="3723">
        <f>I37</f>
        <v>0</v>
      </c>
      <c r="W37" s="372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45761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2"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2"/>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5"/>
      <c r="Q15" s="1352"/>
      <c r="R15" s="705"/>
      <c r="S15" s="706"/>
      <c r="T15" s="705"/>
      <c r="U15" s="706"/>
      <c r="V15" s="705"/>
      <c r="W15" s="706"/>
      <c r="X15" s="1355"/>
      <c r="Y15" s="372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5"/>
      <c r="Q17" s="1352"/>
      <c r="R17" s="705"/>
      <c r="S17" s="706"/>
      <c r="T17" s="705"/>
      <c r="U17" s="706"/>
      <c r="V17" s="705"/>
      <c r="W17" s="706"/>
      <c r="X17" s="1355"/>
      <c r="Y17" s="372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5"/>
      <c r="Q19" s="1352"/>
      <c r="R19" s="705"/>
      <c r="S19" s="706"/>
      <c r="T19" s="705"/>
      <c r="U19" s="706"/>
      <c r="V19" s="705"/>
      <c r="W19" s="706"/>
      <c r="X19" s="1355"/>
      <c r="Y19" s="372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5"/>
      <c r="Q21" s="1352"/>
      <c r="R21" s="705"/>
      <c r="S21" s="706"/>
      <c r="T21" s="705"/>
      <c r="U21" s="706"/>
      <c r="V21" s="705"/>
      <c r="W21" s="706"/>
      <c r="X21" s="1355"/>
      <c r="Y21" s="372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9" t="s">
        <v>1696</v>
      </c>
      <c r="Q32" s="1352">
        <f t="shared" si="11"/>
        <v>111</v>
      </c>
      <c r="R32" s="705" t="s">
        <v>14</v>
      </c>
      <c r="S32" s="706">
        <f t="shared" si="12"/>
        <v>100</v>
      </c>
      <c r="T32" s="705" t="s">
        <v>14</v>
      </c>
      <c r="U32" s="706">
        <f t="shared" si="13"/>
        <v>100</v>
      </c>
      <c r="V32" s="705" t="s">
        <v>14</v>
      </c>
      <c r="W32" s="706">
        <f t="shared" si="14"/>
        <v>100</v>
      </c>
      <c r="X32" s="1355"/>
      <c r="Y32" s="372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30"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30"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30" s="108" customFormat="1" ht="15.75" thickBot="1">
      <c r="A7" s="362" t="s">
        <v>1679</v>
      </c>
      <c r="B7" s="363"/>
      <c r="C7" s="364">
        <f>'数据-取费表'!B2</f>
        <v>45761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722"/>
      <c r="Q10" s="1343" t="str">
        <f t="shared" si="6"/>
        <v>土地使用年限（年）</v>
      </c>
      <c r="R10" s="701" t="s">
        <v>14</v>
      </c>
      <c r="S10" s="702">
        <f t="shared" si="0"/>
        <v>128</v>
      </c>
      <c r="T10" s="701" t="s">
        <v>14</v>
      </c>
      <c r="U10" s="702">
        <f t="shared" si="1"/>
        <v>128</v>
      </c>
      <c r="V10" s="701" t="s">
        <v>14</v>
      </c>
      <c r="W10" s="702">
        <f t="shared" si="2"/>
        <v>128</v>
      </c>
      <c r="X10" s="703"/>
      <c r="Y10" s="3634"/>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2"/>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4" t="s">
        <v>1691</v>
      </c>
      <c r="Q15" s="1352" t="str">
        <f t="shared" si="6"/>
        <v>居住社区成熟度</v>
      </c>
      <c r="R15" s="705" t="s">
        <v>14</v>
      </c>
      <c r="S15" s="706">
        <f t="shared" si="0"/>
        <v>100</v>
      </c>
      <c r="T15" s="705" t="s">
        <v>14</v>
      </c>
      <c r="U15" s="706">
        <f t="shared" si="1"/>
        <v>100</v>
      </c>
      <c r="V15" s="705" t="s">
        <v>14</v>
      </c>
      <c r="W15" s="706">
        <f t="shared" si="2"/>
        <v>100</v>
      </c>
      <c r="X15" s="1355"/>
      <c r="Y15" s="37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5"/>
      <c r="Q20" s="1352"/>
      <c r="R20" s="705"/>
      <c r="S20" s="706"/>
      <c r="T20" s="705"/>
      <c r="U20" s="706"/>
      <c r="V20" s="705"/>
      <c r="W20" s="706"/>
      <c r="X20" s="1355"/>
      <c r="Y20" s="372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5"/>
      <c r="Q24" s="1352"/>
      <c r="R24" s="705"/>
      <c r="S24" s="706"/>
      <c r="T24" s="705"/>
      <c r="U24" s="706"/>
      <c r="V24" s="705"/>
      <c r="W24" s="706"/>
      <c r="X24" s="1355"/>
      <c r="Y24" s="372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5"/>
      <c r="Q26" s="1352"/>
      <c r="R26" s="705"/>
      <c r="S26" s="706"/>
      <c r="T26" s="705"/>
      <c r="U26" s="706"/>
      <c r="V26" s="705"/>
      <c r="W26" s="706"/>
      <c r="X26" s="1355"/>
      <c r="Y26" s="372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5"/>
      <c r="Q28" s="1343"/>
      <c r="R28" s="701"/>
      <c r="S28" s="702"/>
      <c r="T28" s="701"/>
      <c r="U28" s="702"/>
      <c r="V28" s="701"/>
      <c r="W28" s="702"/>
      <c r="X28" s="703"/>
      <c r="Y28" s="372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5"/>
      <c r="Q30" s="1343"/>
      <c r="R30" s="701"/>
      <c r="S30" s="702"/>
      <c r="T30" s="701"/>
      <c r="U30" s="702"/>
      <c r="V30" s="701"/>
      <c r="W30" s="702"/>
      <c r="X30" s="703"/>
      <c r="Y30" s="372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5"/>
      <c r="Q33" s="1352"/>
      <c r="R33" s="705"/>
      <c r="S33" s="706"/>
      <c r="T33" s="705"/>
      <c r="U33" s="706"/>
      <c r="V33" s="705"/>
      <c r="W33" s="706"/>
      <c r="X33" s="1355"/>
      <c r="Y33" s="372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72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9" t="s">
        <v>1696</v>
      </c>
      <c r="Q42" s="1352" t="str">
        <f t="shared" si="14"/>
        <v>工程地质条件</v>
      </c>
      <c r="R42" s="705" t="s">
        <v>14</v>
      </c>
      <c r="S42" s="706">
        <f t="shared" si="10"/>
        <v>100</v>
      </c>
      <c r="T42" s="705" t="s">
        <v>14</v>
      </c>
      <c r="U42" s="706">
        <f t="shared" si="11"/>
        <v>100</v>
      </c>
      <c r="V42" s="705" t="s">
        <v>14</v>
      </c>
      <c r="W42" s="706">
        <f t="shared" si="12"/>
        <v>100</v>
      </c>
      <c r="X42" s="1355"/>
      <c r="Y42" s="372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2" t="str">
        <f>A46</f>
        <v>成交单价</v>
      </c>
      <c r="Q46" s="3722"/>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2" t="str">
        <f>A47</f>
        <v>比较价值（元/平方米）</v>
      </c>
      <c r="Q47" s="3722"/>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5"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84038.39</v>
      </c>
      <c r="F56" s="886" t="e">
        <f t="shared" ref="F56:F64" si="15">ROUND(B56*E56/10000,0)</f>
        <v>#DIV/0!</v>
      </c>
      <c r="G56" s="3704"/>
      <c r="H56" s="372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84038.39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AE23" sqref="AE2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53" t="s">
        <v>1919</v>
      </c>
      <c r="D6" s="3754"/>
      <c r="E6" s="3755" t="s">
        <v>1919</v>
      </c>
      <c r="F6" s="3756"/>
      <c r="G6" s="3753" t="s">
        <v>1919</v>
      </c>
      <c r="H6" s="3754"/>
      <c r="I6" s="3753" t="s">
        <v>1919</v>
      </c>
      <c r="J6" s="3754"/>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45761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722"/>
      <c r="Q10" s="1343" t="str">
        <f t="shared" si="6"/>
        <v>土地使用年限（年）</v>
      </c>
      <c r="R10" s="701" t="s">
        <v>14</v>
      </c>
      <c r="S10" s="702">
        <f t="shared" si="0"/>
        <v>128</v>
      </c>
      <c r="T10" s="701" t="s">
        <v>14</v>
      </c>
      <c r="U10" s="702">
        <f t="shared" si="1"/>
        <v>128</v>
      </c>
      <c r="V10" s="701" t="s">
        <v>14</v>
      </c>
      <c r="W10" s="702">
        <f t="shared" si="2"/>
        <v>128</v>
      </c>
      <c r="X10" s="703"/>
      <c r="Y10" s="3634"/>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5"/>
      <c r="Q20" s="1352"/>
      <c r="R20" s="705"/>
      <c r="S20" s="706"/>
      <c r="T20" s="705"/>
      <c r="U20" s="706"/>
      <c r="V20" s="705"/>
      <c r="W20" s="706"/>
      <c r="X20" s="1355"/>
      <c r="Y20" s="372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5"/>
      <c r="Q24" s="1343"/>
      <c r="R24" s="701"/>
      <c r="S24" s="702"/>
      <c r="T24" s="701"/>
      <c r="U24" s="702"/>
      <c r="V24" s="701"/>
      <c r="W24" s="702"/>
      <c r="X24" s="703"/>
      <c r="Y24" s="372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5"/>
      <c r="Q26" s="1343"/>
      <c r="R26" s="701"/>
      <c r="S26" s="702"/>
      <c r="T26" s="701"/>
      <c r="U26" s="702"/>
      <c r="V26" s="701"/>
      <c r="W26" s="702"/>
      <c r="X26" s="703"/>
      <c r="Y26" s="372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5"/>
      <c r="Q29" s="1352"/>
      <c r="R29" s="705"/>
      <c r="S29" s="706"/>
      <c r="T29" s="705"/>
      <c r="U29" s="706"/>
      <c r="V29" s="705"/>
      <c r="W29" s="706"/>
      <c r="X29" s="1355"/>
      <c r="Y29" s="372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72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9" t="s">
        <v>1696</v>
      </c>
      <c r="Q37" s="1352" t="str">
        <f t="shared" si="14"/>
        <v>工程地质条件</v>
      </c>
      <c r="R37" s="705" t="s">
        <v>14</v>
      </c>
      <c r="S37" s="706">
        <f t="shared" si="10"/>
        <v>100</v>
      </c>
      <c r="T37" s="705" t="s">
        <v>14</v>
      </c>
      <c r="U37" s="706">
        <f t="shared" si="11"/>
        <v>100</v>
      </c>
      <c r="V37" s="705" t="s">
        <v>14</v>
      </c>
      <c r="W37" s="706">
        <f t="shared" si="12"/>
        <v>100</v>
      </c>
      <c r="X37" s="1355"/>
      <c r="Y37" s="372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2" t="str">
        <f>A41</f>
        <v>成交单价</v>
      </c>
      <c r="Q41" s="3722"/>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2" t="str">
        <f>A42</f>
        <v>比较价值（元/平方米）</v>
      </c>
      <c r="Q42" s="3722"/>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5"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84038.39</v>
      </c>
      <c r="F51" s="639" t="e">
        <f t="shared" ref="F51:F60" si="15">ROUND(B51*E51/10000,0)</f>
        <v>#DIV/0!</v>
      </c>
      <c r="G51" s="3704"/>
      <c r="H51" s="372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76950.100000000006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AA458" sqref="AA45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A458" sqref="AA45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17388</v>
      </c>
      <c r="C2" s="2145" t="s">
        <v>2074</v>
      </c>
      <c r="D2" s="2145" t="s">
        <v>2075</v>
      </c>
      <c r="E2" s="2612">
        <f ca="1">SUMIF(E6:E13,"&lt;&gt;#ref!",E6:E13)</f>
        <v>84038.39</v>
      </c>
      <c r="F2" s="2793"/>
      <c r="G2" s="2793"/>
      <c r="H2" s="2793"/>
      <c r="I2" s="2793"/>
      <c r="J2" s="2793"/>
      <c r="K2" s="2793"/>
      <c r="L2" s="2793"/>
      <c r="M2" s="2793"/>
      <c r="N2" s="2793"/>
      <c r="O2" s="2793"/>
      <c r="P2" s="2793"/>
    </row>
    <row r="3" spans="1:16" ht="15.75">
      <c r="A3" s="2145" t="s">
        <v>2076</v>
      </c>
      <c r="B3" s="2602">
        <f ca="1">ROUND(B2*10000/E2,0)</f>
        <v>2069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17388</v>
      </c>
      <c r="C6" s="2145" t="s">
        <v>2074</v>
      </c>
      <c r="D6" s="2793"/>
      <c r="E6" s="2612">
        <f ca="1">SUMIF(INDIRECT("'"&amp;A6&amp;"'"&amp;"!C:C"),"建筑面积",INDIRECT("'"&amp;A6&amp;"'"&amp;"!D:D"))</f>
        <v>84038.39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N50" sqref="N5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84038.39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17388</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3012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2069</v>
      </c>
      <c r="C3" s="1999" t="s">
        <v>1941</v>
      </c>
      <c r="D3" s="2000" t="s">
        <v>1942</v>
      </c>
      <c r="E3" s="3420" t="s">
        <v>2479</v>
      </c>
      <c r="F3" s="2004" t="s">
        <v>3447</v>
      </c>
      <c r="G3" s="752">
        <f>IF(F3="宗地容积率",'数据-汇总表'!I4,IF(F3="估价对象容积率",'数据-汇总表'!I6,'数据-汇总表'!I7))</f>
        <v>1.0900000000000001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2374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2007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2298</v>
      </c>
      <c r="D5" s="1339">
        <f>ROUND(C6*C17+C20,0)</f>
        <v>2298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1770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1.0900000000000001</v>
      </c>
      <c r="AA7" s="1216"/>
      <c r="AB7" s="1216"/>
      <c r="AC7" s="1217"/>
      <c r="AD7" s="1218"/>
      <c r="AE7" s="1218"/>
      <c r="AF7" s="1218"/>
      <c r="AG7" s="1218"/>
      <c r="AH7" s="1218"/>
      <c r="AI7" s="1218"/>
      <c r="AJ7" s="1219"/>
    </row>
    <row r="8" spans="1:36" ht="25.5">
      <c r="A8" s="3299"/>
      <c r="B8" s="170" t="s">
        <v>1957</v>
      </c>
      <c r="C8" s="2026" t="s">
        <v>3448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9"/>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4" t="s">
        <v>3254</v>
      </c>
      <c r="B20" s="167" t="s">
        <v>1994</v>
      </c>
      <c r="C20" s="3325">
        <f>ROUND(IF(F21="与级别开发程度一致",0,(G21-E21)/C21),0)</f>
        <v>-42</v>
      </c>
      <c r="D20" s="3341" t="s">
        <v>1998</v>
      </c>
      <c r="E20" s="3342"/>
      <c r="F20" s="3780" t="s">
        <v>1995</v>
      </c>
      <c r="G20" s="3781"/>
      <c r="H20" s="3326" t="s">
        <v>3449</v>
      </c>
      <c r="I20" s="3326" t="s">
        <v>3450</v>
      </c>
      <c r="J20" s="3327" t="s">
        <v>3451</v>
      </c>
      <c r="K20" s="2047" t="s">
        <v>3452</v>
      </c>
      <c r="L20" s="2047" t="s">
        <v>3453</v>
      </c>
      <c r="M20" s="2047" t="s">
        <v>3454</v>
      </c>
      <c r="N20" s="2047" t="s">
        <v>3455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5"/>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45761</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0.78300000000000003</v>
      </c>
      <c r="D24" s="2060" t="s">
        <v>2007</v>
      </c>
      <c r="E24" s="1335">
        <f>存贷款利率!E27/100</f>
        <v>4.3499999999999997E-2</v>
      </c>
      <c r="F24" s="2060" t="s">
        <v>1999</v>
      </c>
      <c r="G24" s="768">
        <f>SUMIF(M30:Q30,E2,M33:Q33)</f>
        <v>0.05</v>
      </c>
      <c r="H24" s="2060" t="s">
        <v>2008</v>
      </c>
      <c r="I24" s="769">
        <f>SUMIF('数据-取费表'!C6:C15,E2,'数据-取费表'!F6:F15)/COUNTIF('数据-取费表'!C6:C15,E2)</f>
        <v>25.71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1.0314000000000001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1.0314000000000001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17388</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2069</v>
      </c>
      <c r="D33" s="2098">
        <f>'数据-汇总表'!F19</f>
        <v>84038.39</v>
      </c>
      <c r="E33" s="773">
        <f>ROUND(C33*D33/10000,0)</f>
        <v>17388</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310</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8"/>
      <c r="B37" s="2113" t="s">
        <v>2036</v>
      </c>
      <c r="C37" s="175">
        <f>ROUND(D5*C22*C23*C24*C28*F37,0)</f>
        <v>1203</v>
      </c>
      <c r="D37" s="2098"/>
      <c r="E37" s="171">
        <f>ROUND(C37*D37/10000,0)</f>
        <v>0</v>
      </c>
      <c r="F37" s="171">
        <f>SUMIF(修正!A57:A68,G2,修正!B57:B68)</f>
        <v>0.6</v>
      </c>
      <c r="G37" s="171">
        <f>ROUND(IF(E2="工业",C37*$M$42,C37*$M$41),0)</f>
        <v>180</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f>ROUND(D5*C22*C23*C24*C28*F38,0)</f>
        <v>602</v>
      </c>
      <c r="D38" s="2098"/>
      <c r="E38" s="171">
        <f t="shared" ref="E38:E42" si="4">ROUND(C38*D38/10000,0)</f>
        <v>0</v>
      </c>
      <c r="F38" s="171">
        <f>SUMIF(修正!A57:A68,G2,修正!C57:C68)</f>
        <v>0.3</v>
      </c>
      <c r="G38" s="171">
        <f>ROUND(IF(E2="工业",C38*$M$42,C38*$M$41),0)</f>
        <v>90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9"/>
      <c r="B39" s="2041" t="s">
        <v>3259</v>
      </c>
      <c r="C39" s="175">
        <f>ROUND(D5*C22*C23*C24*C28*F39,0)</f>
        <v>501</v>
      </c>
      <c r="D39" s="2098"/>
      <c r="E39" s="171">
        <f t="shared" si="4"/>
        <v>0</v>
      </c>
      <c r="F39" s="171">
        <f>SUMIF(修正!A57:A68,G2,修正!D57:D68)</f>
        <v>0.25</v>
      </c>
      <c r="G39" s="171">
        <f>ROUND(IF(E2="工业",C39*$M$42,C39*$M$41),0)</f>
        <v>75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501</v>
      </c>
      <c r="D40" s="2098"/>
      <c r="E40" s="171">
        <f t="shared" si="4"/>
        <v>0</v>
      </c>
      <c r="F40" s="175">
        <f>SUMIF(修正!A57:A68,G2,修正!E57:E68)</f>
        <v>0.25</v>
      </c>
      <c r="G40" s="171">
        <f>ROUND(IF(E2="工业",C40*$M$42,C40*$M$41),0)</f>
        <v>75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3456</v>
      </c>
      <c r="D83" s="1065">
        <f t="shared" ref="D83:D90" si="22">SUMIF($J$82:$N$82,C83,J83:N83)</f>
        <v>6.4999999999999997E-3</v>
      </c>
      <c r="E83" s="744">
        <f>ROUND(SUM(D83:D90),4)</f>
        <v>2.52E-2</v>
      </c>
      <c r="F83" s="1814">
        <f>IF(E2="工业",SUMIF(L1:L12,G2,N1:N12),"——")</f>
        <v>0.05</v>
      </c>
      <c r="G83" s="1063">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3456</v>
      </c>
      <c r="D84" s="1065">
        <f t="shared" si="22"/>
        <v>7.4999999999999997E-3</v>
      </c>
      <c r="E84" s="747"/>
      <c r="F84" s="1814"/>
      <c r="G84" s="1063">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3270</v>
      </c>
      <c r="B85" s="2134">
        <f>估价对象房地状况!G17</f>
        <v>0</v>
      </c>
      <c r="C85" s="2044" t="s">
        <v>3456</v>
      </c>
      <c r="D85" s="1065">
        <f t="shared" si="22"/>
        <v>2.5000000000000001E-3</v>
      </c>
      <c r="E85" s="747"/>
      <c r="F85" s="1814"/>
      <c r="G85" s="1063">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3457</v>
      </c>
      <c r="D86" s="1065">
        <f t="shared" si="22"/>
        <v>0</v>
      </c>
      <c r="E86" s="747"/>
      <c r="F86" s="1814"/>
      <c r="G86" s="1063">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3457</v>
      </c>
      <c r="D87" s="1065">
        <f t="shared" si="22"/>
        <v>0</v>
      </c>
      <c r="E87" s="747"/>
      <c r="F87" s="1814"/>
      <c r="G87" s="1063">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3458</v>
      </c>
      <c r="D88" s="1065">
        <f t="shared" si="22"/>
        <v>6.0000000000000001E-3</v>
      </c>
      <c r="E88" s="747"/>
      <c r="F88" s="1814"/>
      <c r="G88" s="1063">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3456</v>
      </c>
      <c r="D89" s="1065">
        <f t="shared" si="22"/>
        <v>1.5E-3</v>
      </c>
      <c r="E89" s="747"/>
      <c r="F89" s="1814"/>
      <c r="G89" s="1063">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3456</v>
      </c>
      <c r="D90" s="1065">
        <f t="shared" si="22"/>
        <v>1.1999999999999999E-3</v>
      </c>
      <c r="E90" s="748"/>
      <c r="F90" s="1814"/>
      <c r="G90" s="1063">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6" t="s">
        <v>3294</v>
      </c>
      <c r="B103" s="3776"/>
      <c r="C103" s="3776"/>
      <c r="D103" s="3776"/>
      <c r="E103" s="3776"/>
      <c r="F103" s="3776"/>
      <c r="G103" s="3776"/>
      <c r="H103" s="3776"/>
      <c r="I103" s="3776"/>
      <c r="J103" s="3776"/>
      <c r="K103" s="3390"/>
      <c r="L103" s="3390"/>
      <c r="M103" s="3390"/>
      <c r="N103" s="3390"/>
    </row>
    <row r="104" spans="1:14">
      <c r="A104" s="3777" t="s">
        <v>3295</v>
      </c>
      <c r="B104" s="3777" t="s">
        <v>3296</v>
      </c>
      <c r="C104" s="3391" t="s">
        <v>3297</v>
      </c>
      <c r="D104" s="3392"/>
      <c r="E104" s="3392"/>
      <c r="F104" s="3392"/>
      <c r="G104" s="3392"/>
      <c r="H104" s="3392"/>
      <c r="I104" s="3392"/>
      <c r="J104" s="3393"/>
      <c r="K104" s="3394"/>
      <c r="L104" s="3394"/>
      <c r="M104" s="3394"/>
      <c r="N104" s="3394"/>
    </row>
    <row r="105" spans="1:14">
      <c r="A105" s="3777"/>
      <c r="B105" s="3777"/>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3"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6" t="s">
        <v>3311</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1.0900000000000001</v>
      </c>
      <c r="C116" s="3400" t="s">
        <v>3313</v>
      </c>
      <c r="D116" s="3401">
        <f>SUMPRODUCT((A118:A122=F116)*(B117:M117=H116)*B118:M122)</f>
        <v>0.64159999999999995</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0.98480000000000001</v>
      </c>
      <c r="C118" s="3388">
        <f>B118</f>
        <v>0.98480000000000001</v>
      </c>
      <c r="D118" s="3388">
        <f>ROUND(0.949-0.014*B116,4)</f>
        <v>0.93369999999999997</v>
      </c>
      <c r="E118" s="3388">
        <f>D118</f>
        <v>0.93369999999999997</v>
      </c>
      <c r="F118" s="3388">
        <f>E118</f>
        <v>0.93369999999999997</v>
      </c>
      <c r="G118" s="3388">
        <f>F118</f>
        <v>0.93369999999999997</v>
      </c>
      <c r="H118" s="3388">
        <f>G118</f>
        <v>0.93369999999999997</v>
      </c>
      <c r="I118" s="3388">
        <f>ROUND(0.8486-0.018*B116,4)</f>
        <v>0.82899999999999996</v>
      </c>
      <c r="J118" s="3388">
        <f t="shared" ref="J118:M122" si="35">I118</f>
        <v>0.82899999999999996</v>
      </c>
      <c r="K118" s="3388">
        <f t="shared" si="35"/>
        <v>0.82899999999999996</v>
      </c>
      <c r="L118" s="3388">
        <f t="shared" si="35"/>
        <v>0.82899999999999996</v>
      </c>
      <c r="M118" s="3411">
        <f t="shared" si="35"/>
        <v>0.82899999999999996</v>
      </c>
      <c r="N118" s="3398"/>
    </row>
    <row r="119" spans="1:14">
      <c r="A119" s="3410" t="s">
        <v>3329</v>
      </c>
      <c r="B119" s="3388">
        <f>ROUND(0.993-0.0112*B116,4)</f>
        <v>0.98080000000000001</v>
      </c>
      <c r="C119" s="3388">
        <f>B119</f>
        <v>0.98080000000000001</v>
      </c>
      <c r="D119" s="3388">
        <f>ROUND(0.9415-0.0142*B116,4)</f>
        <v>0.92600000000000005</v>
      </c>
      <c r="E119" s="3388">
        <f t="shared" ref="E119:H120" si="36">D119</f>
        <v>0.92600000000000005</v>
      </c>
      <c r="F119" s="3388">
        <f t="shared" si="36"/>
        <v>0.92600000000000005</v>
      </c>
      <c r="G119" s="3388">
        <f t="shared" si="36"/>
        <v>0.92600000000000005</v>
      </c>
      <c r="H119" s="3388">
        <f t="shared" si="36"/>
        <v>0.92600000000000005</v>
      </c>
      <c r="I119" s="3388">
        <f>ROUND(0.838-0.0182*B116,4)</f>
        <v>0.81820000000000004</v>
      </c>
      <c r="J119" s="3388">
        <f t="shared" si="35"/>
        <v>0.81820000000000004</v>
      </c>
      <c r="K119" s="3388">
        <f t="shared" si="35"/>
        <v>0.81820000000000004</v>
      </c>
      <c r="L119" s="3388">
        <f t="shared" si="35"/>
        <v>0.81820000000000004</v>
      </c>
      <c r="M119" s="3411">
        <f t="shared" si="35"/>
        <v>0.81820000000000004</v>
      </c>
      <c r="N119" s="3398"/>
    </row>
    <row r="120" spans="1:14">
      <c r="A120" s="3410" t="s">
        <v>3330</v>
      </c>
      <c r="B120" s="3388">
        <f>ROUND(0.9448-0.0115*B116,4)</f>
        <v>0.93230000000000002</v>
      </c>
      <c r="C120" s="3388">
        <f>B120</f>
        <v>0.93230000000000002</v>
      </c>
      <c r="D120" s="3388">
        <f>ROUND(0.937-0.0145*B116,4)</f>
        <v>0.92120000000000002</v>
      </c>
      <c r="E120" s="3388">
        <f t="shared" si="36"/>
        <v>0.92120000000000002</v>
      </c>
      <c r="F120" s="3388">
        <f t="shared" si="36"/>
        <v>0.92120000000000002</v>
      </c>
      <c r="G120" s="3388">
        <f t="shared" si="36"/>
        <v>0.92120000000000002</v>
      </c>
      <c r="H120" s="3388">
        <f t="shared" si="36"/>
        <v>0.92120000000000002</v>
      </c>
      <c r="I120" s="3388">
        <f>ROUND(0.7965-0.0185*B116,4)</f>
        <v>0.77629999999999999</v>
      </c>
      <c r="J120" s="3388">
        <f t="shared" si="35"/>
        <v>0.77629999999999999</v>
      </c>
      <c r="K120" s="3388">
        <f t="shared" si="35"/>
        <v>0.77629999999999999</v>
      </c>
      <c r="L120" s="3388">
        <f t="shared" si="35"/>
        <v>0.77629999999999999</v>
      </c>
      <c r="M120" s="3411">
        <f t="shared" si="35"/>
        <v>0.77629999999999999</v>
      </c>
      <c r="N120" s="3398"/>
    </row>
    <row r="121" spans="1:14" ht="13.5" thickBot="1">
      <c r="A121" s="3412" t="s">
        <v>3331</v>
      </c>
      <c r="B121" s="3413">
        <f>ROUND(0.7836-0.012*B116,4)</f>
        <v>0.77049999999999996</v>
      </c>
      <c r="C121" s="3413">
        <f>B121</f>
        <v>0.77049999999999996</v>
      </c>
      <c r="D121" s="3413">
        <f>ROUND(0.753-0.015*B116,4)</f>
        <v>0.73670000000000002</v>
      </c>
      <c r="E121" s="3413">
        <f>D121</f>
        <v>0.73670000000000002</v>
      </c>
      <c r="F121" s="3413">
        <f>E121</f>
        <v>0.73670000000000002</v>
      </c>
      <c r="G121" s="3413">
        <f>ROUND(0.6612-0.018*B116,4)</f>
        <v>0.64159999999999995</v>
      </c>
      <c r="H121" s="3413">
        <f>G121</f>
        <v>0.64159999999999995</v>
      </c>
      <c r="I121" s="3413">
        <f>ROUND(0.5905-0.019*B116,4)</f>
        <v>0.56979999999999997</v>
      </c>
      <c r="J121" s="3413">
        <f t="shared" si="35"/>
        <v>0.56979999999999997</v>
      </c>
      <c r="K121" s="3413">
        <f t="shared" si="35"/>
        <v>0.56979999999999997</v>
      </c>
      <c r="L121" s="3413">
        <f t="shared" si="35"/>
        <v>0.56979999999999997</v>
      </c>
      <c r="M121" s="3414">
        <f t="shared" si="35"/>
        <v>0.56979999999999997</v>
      </c>
      <c r="N121" s="3398"/>
    </row>
    <row r="122" spans="1:14">
      <c r="A122" s="3415" t="s">
        <v>2612</v>
      </c>
      <c r="B122" s="3388">
        <f>ROUND(0.9404-0.0106*B116,4)</f>
        <v>0.92879999999999996</v>
      </c>
      <c r="C122" s="3388">
        <f>B122</f>
        <v>0.92879999999999996</v>
      </c>
      <c r="D122" s="3388">
        <f>ROUND(0.8955-0.0135*B116,4)</f>
        <v>0.88080000000000003</v>
      </c>
      <c r="E122" s="3388">
        <f t="shared" ref="E122:H122" si="37">D122</f>
        <v>0.88080000000000003</v>
      </c>
      <c r="F122" s="3388">
        <f t="shared" si="37"/>
        <v>0.88080000000000003</v>
      </c>
      <c r="G122" s="3388">
        <f t="shared" si="37"/>
        <v>0.88080000000000003</v>
      </c>
      <c r="H122" s="3388">
        <f t="shared" si="37"/>
        <v>0.88080000000000003</v>
      </c>
      <c r="I122" s="3388">
        <f>ROUND(0.7632-0.0166*B116,4)</f>
        <v>0.74509999999999998</v>
      </c>
      <c r="J122" s="3388">
        <f t="shared" si="35"/>
        <v>0.74509999999999998</v>
      </c>
      <c r="K122" s="3388">
        <f t="shared" si="35"/>
        <v>0.74509999999999998</v>
      </c>
      <c r="L122" s="3388">
        <f t="shared" si="35"/>
        <v>0.74509999999999998</v>
      </c>
      <c r="M122" s="3411">
        <f t="shared" si="35"/>
        <v>0.74509999999999998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9" t="s">
        <v>2607</v>
      </c>
      <c r="B20" s="3782" t="s">
        <v>2628</v>
      </c>
      <c r="C20" s="3103" t="s">
        <v>2439</v>
      </c>
      <c r="D20" s="3104"/>
      <c r="E20" s="3105">
        <v>1</v>
      </c>
      <c r="F20" s="3106" t="s">
        <v>2440</v>
      </c>
      <c r="G20" s="3106"/>
    </row>
    <row r="21" spans="1:13" ht="19.5" customHeight="1">
      <c r="A21" s="3790"/>
      <c r="B21" s="3783"/>
      <c r="C21" s="3107" t="s">
        <v>2441</v>
      </c>
      <c r="D21" s="3108"/>
      <c r="E21" s="3109">
        <v>1</v>
      </c>
      <c r="F21" s="3106" t="s">
        <v>2442</v>
      </c>
      <c r="G21" s="3106"/>
    </row>
    <row r="22" spans="1:13" ht="19.5" customHeight="1">
      <c r="A22" s="3790"/>
      <c r="B22" s="3783"/>
      <c r="C22" s="3107" t="s">
        <v>2443</v>
      </c>
      <c r="D22" s="3108"/>
      <c r="E22" s="3109">
        <v>0.9</v>
      </c>
      <c r="F22" s="3106" t="s">
        <v>2444</v>
      </c>
      <c r="G22" s="3106"/>
    </row>
    <row r="23" spans="1:13" ht="19.5" customHeight="1">
      <c r="A23" s="3790"/>
      <c r="B23" s="3783"/>
      <c r="C23" s="3107" t="s">
        <v>2445</v>
      </c>
      <c r="D23" s="3108"/>
      <c r="E23" s="3109">
        <v>0.9</v>
      </c>
      <c r="F23" s="3106" t="s">
        <v>2446</v>
      </c>
      <c r="G23" s="3106"/>
    </row>
    <row r="24" spans="1:13" ht="19.5" customHeight="1">
      <c r="A24" s="3790"/>
      <c r="B24" s="3783"/>
      <c r="C24" s="3107" t="s">
        <v>2447</v>
      </c>
      <c r="D24" s="3108"/>
      <c r="E24" s="3109">
        <v>0.8</v>
      </c>
      <c r="F24" s="3106" t="s">
        <v>2448</v>
      </c>
      <c r="G24" s="3106"/>
    </row>
    <row r="25" spans="1:13" ht="19.5" customHeight="1" thickBot="1">
      <c r="A25" s="3791"/>
      <c r="B25" s="378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5" t="s">
        <v>2631</v>
      </c>
      <c r="B27" s="3782" t="s">
        <v>2612</v>
      </c>
      <c r="C27" s="3103" t="s">
        <v>2452</v>
      </c>
      <c r="D27" s="3104"/>
      <c r="E27" s="3105">
        <v>1</v>
      </c>
      <c r="F27" s="3106" t="s">
        <v>2453</v>
      </c>
      <c r="G27" s="3106"/>
    </row>
    <row r="28" spans="1:13" ht="19.5" customHeight="1">
      <c r="A28" s="3786"/>
      <c r="B28" s="3783"/>
      <c r="C28" s="3107" t="s">
        <v>2454</v>
      </c>
      <c r="D28" s="3108"/>
      <c r="E28" s="3109">
        <v>1</v>
      </c>
      <c r="F28" s="3106" t="s">
        <v>2455</v>
      </c>
      <c r="G28" s="3106"/>
    </row>
    <row r="29" spans="1:13" ht="19.5" customHeight="1">
      <c r="A29" s="3786"/>
      <c r="B29" s="3783"/>
      <c r="C29" s="3107" t="s">
        <v>2456</v>
      </c>
      <c r="D29" s="3108"/>
      <c r="E29" s="3109">
        <v>0.8</v>
      </c>
      <c r="F29" s="3106" t="s">
        <v>2457</v>
      </c>
      <c r="G29" s="3106"/>
    </row>
    <row r="30" spans="1:13" ht="19.5" customHeight="1">
      <c r="A30" s="3786"/>
      <c r="B30" s="3783"/>
      <c r="C30" s="3107" t="s">
        <v>2458</v>
      </c>
      <c r="D30" s="3108"/>
      <c r="E30" s="3109">
        <v>0.8</v>
      </c>
      <c r="F30" s="3106" t="s">
        <v>2459</v>
      </c>
      <c r="G30" s="3106"/>
    </row>
    <row r="31" spans="1:13" ht="19.5" customHeight="1">
      <c r="A31" s="3786"/>
      <c r="B31" s="3783"/>
      <c r="C31" s="3107" t="s">
        <v>2460</v>
      </c>
      <c r="D31" s="3108"/>
      <c r="E31" s="3109">
        <v>0.8</v>
      </c>
      <c r="F31" s="3106" t="s">
        <v>2461</v>
      </c>
      <c r="G31" s="3106"/>
    </row>
    <row r="32" spans="1:13" ht="19.5" customHeight="1">
      <c r="A32" s="3786"/>
      <c r="B32" s="3783"/>
      <c r="C32" s="3107" t="s">
        <v>2462</v>
      </c>
      <c r="D32" s="3108"/>
      <c r="E32" s="3109">
        <v>0.7</v>
      </c>
      <c r="F32" s="3106" t="s">
        <v>2463</v>
      </c>
      <c r="G32" s="3106"/>
    </row>
    <row r="33" spans="1:7" ht="19.5" customHeight="1">
      <c r="A33" s="3786"/>
      <c r="B33" s="3783"/>
      <c r="C33" s="3107" t="s">
        <v>2464</v>
      </c>
      <c r="D33" s="3108"/>
      <c r="E33" s="3109">
        <v>0.8</v>
      </c>
      <c r="F33" s="3106" t="s">
        <v>2465</v>
      </c>
      <c r="G33" s="3106"/>
    </row>
    <row r="34" spans="1:7" ht="19.5" customHeight="1">
      <c r="A34" s="3786"/>
      <c r="B34" s="3783"/>
      <c r="C34" s="3107" t="s">
        <v>2466</v>
      </c>
      <c r="D34" s="3108"/>
      <c r="E34" s="3109">
        <v>0.6</v>
      </c>
      <c r="F34" s="3106" t="s">
        <v>2467</v>
      </c>
      <c r="G34" s="3106"/>
    </row>
    <row r="35" spans="1:7" ht="19.5" customHeight="1">
      <c r="A35" s="3786"/>
      <c r="B35" s="3783"/>
      <c r="C35" s="3107" t="s">
        <v>2468</v>
      </c>
      <c r="D35" s="3108"/>
      <c r="E35" s="3109">
        <v>0.2</v>
      </c>
      <c r="F35" s="3106" t="s">
        <v>2469</v>
      </c>
      <c r="G35" s="3106"/>
    </row>
    <row r="36" spans="1:7" ht="19.5" customHeight="1">
      <c r="A36" s="3786"/>
      <c r="B36" s="3783"/>
      <c r="C36" s="3107" t="s">
        <v>2470</v>
      </c>
      <c r="D36" s="3108"/>
      <c r="E36" s="3109">
        <v>0.2</v>
      </c>
      <c r="F36" s="3106" t="s">
        <v>2471</v>
      </c>
      <c r="G36" s="3106"/>
    </row>
    <row r="37" spans="1:7" ht="19.5" customHeight="1">
      <c r="A37" s="3786"/>
      <c r="B37" s="3788" t="s">
        <v>2632</v>
      </c>
      <c r="C37" s="3107" t="s">
        <v>2472</v>
      </c>
      <c r="D37" s="3108"/>
      <c r="E37" s="3109">
        <v>0.6</v>
      </c>
      <c r="F37" s="3106" t="s">
        <v>2473</v>
      </c>
      <c r="G37" s="3106"/>
    </row>
    <row r="38" spans="1:7" ht="19.5" customHeight="1">
      <c r="A38" s="3786"/>
      <c r="B38" s="3783"/>
      <c r="C38" s="3107" t="s">
        <v>2474</v>
      </c>
      <c r="D38" s="3108"/>
      <c r="E38" s="3109">
        <v>0.6</v>
      </c>
      <c r="F38" s="3106" t="s">
        <v>2475</v>
      </c>
      <c r="G38" s="3106"/>
    </row>
    <row r="39" spans="1:7" ht="19.5" customHeight="1" thickBot="1">
      <c r="A39" s="3787"/>
      <c r="B39" s="378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9" t="s">
        <v>2610</v>
      </c>
      <c r="B41" s="3782" t="s">
        <v>2634</v>
      </c>
      <c r="C41" s="3103" t="s">
        <v>2479</v>
      </c>
      <c r="D41" s="3104"/>
      <c r="E41" s="3105">
        <v>1</v>
      </c>
      <c r="F41" s="3106" t="s">
        <v>2480</v>
      </c>
      <c r="G41" s="3106"/>
    </row>
    <row r="42" spans="1:7" ht="19.5" customHeight="1">
      <c r="A42" s="3790"/>
      <c r="B42" s="3783"/>
      <c r="C42" s="3107" t="s">
        <v>2481</v>
      </c>
      <c r="D42" s="3108"/>
      <c r="E42" s="3109">
        <v>1</v>
      </c>
      <c r="F42" s="3106" t="s">
        <v>2482</v>
      </c>
      <c r="G42" s="3106"/>
    </row>
    <row r="43" spans="1:7" ht="19.5" customHeight="1">
      <c r="A43" s="3790"/>
      <c r="B43" s="3792"/>
      <c r="C43" s="3107" t="s">
        <v>2483</v>
      </c>
      <c r="D43" s="3108"/>
      <c r="E43" s="3109">
        <v>1.5</v>
      </c>
      <c r="F43" s="3106" t="s">
        <v>2484</v>
      </c>
      <c r="G43" s="3106"/>
    </row>
    <row r="44" spans="1:7" ht="19.5" customHeight="1">
      <c r="A44" s="3790"/>
      <c r="B44" s="3118" t="s">
        <v>2635</v>
      </c>
      <c r="C44" s="3107" t="s">
        <v>2636</v>
      </c>
      <c r="D44" s="3108"/>
      <c r="E44" s="3109">
        <v>2</v>
      </c>
      <c r="F44" s="3106" t="s">
        <v>2485</v>
      </c>
      <c r="G44" s="3106"/>
    </row>
    <row r="45" spans="1:7" ht="19.5" customHeight="1">
      <c r="A45" s="3790"/>
      <c r="B45" s="3788" t="s">
        <v>2637</v>
      </c>
      <c r="C45" s="3107" t="s">
        <v>2486</v>
      </c>
      <c r="D45" s="3108"/>
      <c r="E45" s="3109">
        <v>1</v>
      </c>
      <c r="F45" s="3106" t="s">
        <v>2487</v>
      </c>
      <c r="G45" s="3106"/>
    </row>
    <row r="46" spans="1:7" ht="19.5" customHeight="1">
      <c r="A46" s="3790"/>
      <c r="B46" s="3783"/>
      <c r="C46" s="3107" t="s">
        <v>2488</v>
      </c>
      <c r="D46" s="3108"/>
      <c r="E46" s="3109">
        <v>1</v>
      </c>
      <c r="F46" s="3106" t="s">
        <v>2489</v>
      </c>
      <c r="G46" s="3106"/>
    </row>
    <row r="47" spans="1:7" ht="19.5" customHeight="1">
      <c r="A47" s="3790"/>
      <c r="B47" s="3783"/>
      <c r="C47" s="3107" t="s">
        <v>2490</v>
      </c>
      <c r="D47" s="3108"/>
      <c r="E47" s="3109">
        <v>1</v>
      </c>
      <c r="F47" s="3106" t="s">
        <v>2491</v>
      </c>
      <c r="G47" s="3106"/>
    </row>
    <row r="48" spans="1:7" ht="19.5" customHeight="1">
      <c r="A48" s="3790"/>
      <c r="B48" s="3783"/>
      <c r="C48" s="3107" t="s">
        <v>2492</v>
      </c>
      <c r="D48" s="3108"/>
      <c r="E48" s="3109">
        <v>1</v>
      </c>
      <c r="F48" s="3106" t="s">
        <v>2493</v>
      </c>
      <c r="G48" s="3106"/>
    </row>
    <row r="49" spans="1:7" ht="19.5" customHeight="1">
      <c r="A49" s="3790"/>
      <c r="B49" s="3783"/>
      <c r="C49" s="3107" t="s">
        <v>2494</v>
      </c>
      <c r="D49" s="3108"/>
      <c r="E49" s="3109">
        <v>1</v>
      </c>
      <c r="F49" s="3106" t="s">
        <v>2495</v>
      </c>
      <c r="G49" s="3106"/>
    </row>
    <row r="50" spans="1:7" ht="19.5" customHeight="1">
      <c r="A50" s="3790"/>
      <c r="B50" s="3783"/>
      <c r="C50" s="3107" t="s">
        <v>2496</v>
      </c>
      <c r="D50" s="3108"/>
      <c r="E50" s="3109">
        <v>1</v>
      </c>
      <c r="F50" s="3106" t="s">
        <v>2497</v>
      </c>
      <c r="G50" s="3106"/>
    </row>
    <row r="51" spans="1:7" ht="19.5" customHeight="1" thickBot="1">
      <c r="A51" s="3791"/>
      <c r="B51" s="378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88" t="s">
        <v>2651</v>
      </c>
      <c r="C73" s="3092" t="s">
        <v>2652</v>
      </c>
      <c r="D73" s="3092" t="s">
        <v>2653</v>
      </c>
      <c r="E73" s="3118">
        <v>0.2</v>
      </c>
      <c r="F73" s="3118">
        <v>25</v>
      </c>
    </row>
    <row r="74" spans="1:7" ht="24">
      <c r="A74" s="3118">
        <v>2</v>
      </c>
      <c r="B74" s="3783"/>
      <c r="C74" s="3092" t="s">
        <v>2654</v>
      </c>
      <c r="D74" s="3092" t="s">
        <v>2655</v>
      </c>
      <c r="E74" s="3118">
        <v>0.2</v>
      </c>
      <c r="F74" s="3118">
        <v>25</v>
      </c>
    </row>
    <row r="75" spans="1:7" ht="24">
      <c r="A75" s="3118">
        <v>3</v>
      </c>
      <c r="B75" s="3783"/>
      <c r="C75" s="3092" t="s">
        <v>2656</v>
      </c>
      <c r="D75" s="3092" t="s">
        <v>2657</v>
      </c>
      <c r="E75" s="3118">
        <v>0.2</v>
      </c>
      <c r="F75" s="3118">
        <v>25</v>
      </c>
    </row>
    <row r="76" spans="1:7" ht="13.5">
      <c r="A76" s="3118">
        <v>4</v>
      </c>
      <c r="B76" s="3783"/>
      <c r="C76" s="3092" t="s">
        <v>2658</v>
      </c>
      <c r="D76" s="3092" t="s">
        <v>2659</v>
      </c>
      <c r="E76" s="3118">
        <v>0.15</v>
      </c>
      <c r="F76" s="3118">
        <v>20</v>
      </c>
    </row>
    <row r="77" spans="1:7" ht="24">
      <c r="A77" s="3118">
        <v>5</v>
      </c>
      <c r="B77" s="3783"/>
      <c r="C77" s="3092" t="s">
        <v>2660</v>
      </c>
      <c r="D77" s="3092" t="s">
        <v>2661</v>
      </c>
      <c r="E77" s="3118">
        <v>0.15</v>
      </c>
      <c r="F77" s="3118">
        <v>20</v>
      </c>
    </row>
    <row r="78" spans="1:7" ht="24">
      <c r="A78" s="3118">
        <v>6</v>
      </c>
      <c r="B78" s="3783"/>
      <c r="C78" s="3092" t="s">
        <v>2662</v>
      </c>
      <c r="D78" s="3092" t="s">
        <v>2663</v>
      </c>
      <c r="E78" s="3118">
        <v>0.15</v>
      </c>
      <c r="F78" s="3118">
        <v>20</v>
      </c>
    </row>
    <row r="79" spans="1:7" ht="24">
      <c r="A79" s="3118">
        <v>7</v>
      </c>
      <c r="B79" s="3783"/>
      <c r="C79" s="3092" t="s">
        <v>2664</v>
      </c>
      <c r="D79" s="3092" t="s">
        <v>2665</v>
      </c>
      <c r="E79" s="3118">
        <v>0.15</v>
      </c>
      <c r="F79" s="3118">
        <v>20</v>
      </c>
    </row>
    <row r="80" spans="1:7" ht="24">
      <c r="A80" s="3118">
        <v>8</v>
      </c>
      <c r="B80" s="3783"/>
      <c r="C80" s="3092" t="s">
        <v>2666</v>
      </c>
      <c r="D80" s="3092" t="s">
        <v>2667</v>
      </c>
      <c r="E80" s="3118">
        <v>0.1</v>
      </c>
      <c r="F80" s="3118">
        <v>15</v>
      </c>
    </row>
    <row r="81" spans="1:6" ht="24">
      <c r="A81" s="3118">
        <v>9</v>
      </c>
      <c r="B81" s="3783"/>
      <c r="C81" s="3092" t="s">
        <v>2668</v>
      </c>
      <c r="D81" s="3092" t="s">
        <v>2669</v>
      </c>
      <c r="E81" s="3118">
        <v>0.1</v>
      </c>
      <c r="F81" s="3118">
        <v>15</v>
      </c>
    </row>
    <row r="82" spans="1:6" ht="24">
      <c r="A82" s="3118">
        <v>10</v>
      </c>
      <c r="B82" s="3783"/>
      <c r="C82" s="3092" t="s">
        <v>2670</v>
      </c>
      <c r="D82" s="3092" t="s">
        <v>2671</v>
      </c>
      <c r="E82" s="3118">
        <v>0.1</v>
      </c>
      <c r="F82" s="3118">
        <v>15</v>
      </c>
    </row>
    <row r="83" spans="1:6" ht="24">
      <c r="A83" s="3118">
        <v>11</v>
      </c>
      <c r="B83" s="3783"/>
      <c r="C83" s="3092" t="s">
        <v>2672</v>
      </c>
      <c r="D83" s="3092" t="s">
        <v>2673</v>
      </c>
      <c r="E83" s="3118">
        <v>0.1</v>
      </c>
      <c r="F83" s="3118">
        <v>15</v>
      </c>
    </row>
    <row r="84" spans="1:6" ht="24">
      <c r="A84" s="3118">
        <v>12</v>
      </c>
      <c r="B84" s="3783"/>
      <c r="C84" s="3092" t="s">
        <v>2674</v>
      </c>
      <c r="D84" s="3092" t="s">
        <v>2675</v>
      </c>
      <c r="E84" s="3118">
        <v>0.1</v>
      </c>
      <c r="F84" s="3118">
        <v>15</v>
      </c>
    </row>
    <row r="85" spans="1:6" ht="13.5">
      <c r="A85" s="3118">
        <v>13</v>
      </c>
      <c r="B85" s="3783"/>
      <c r="C85" s="3092" t="s">
        <v>2676</v>
      </c>
      <c r="D85" s="3092" t="s">
        <v>2677</v>
      </c>
      <c r="E85" s="3118">
        <v>0.1</v>
      </c>
      <c r="F85" s="3118">
        <v>15</v>
      </c>
    </row>
    <row r="86" spans="1:6" ht="13.5">
      <c r="A86" s="3118">
        <v>14</v>
      </c>
      <c r="B86" s="3783"/>
      <c r="C86" s="3092" t="s">
        <v>2678</v>
      </c>
      <c r="D86" s="3092" t="s">
        <v>2679</v>
      </c>
      <c r="E86" s="3118">
        <v>0.1</v>
      </c>
      <c r="F86" s="3118">
        <v>15</v>
      </c>
    </row>
    <row r="87" spans="1:6" ht="13.5">
      <c r="A87" s="3118">
        <v>15</v>
      </c>
      <c r="B87" s="3783"/>
      <c r="C87" s="3092" t="s">
        <v>2680</v>
      </c>
      <c r="D87" s="3092" t="s">
        <v>2681</v>
      </c>
      <c r="E87" s="3118">
        <v>0.1</v>
      </c>
      <c r="F87" s="3118">
        <v>15</v>
      </c>
    </row>
    <row r="88" spans="1:6" ht="24">
      <c r="A88" s="3118">
        <v>16</v>
      </c>
      <c r="B88" s="3783"/>
      <c r="C88" s="3092" t="s">
        <v>2682</v>
      </c>
      <c r="D88" s="3092" t="s">
        <v>2683</v>
      </c>
      <c r="E88" s="3118">
        <v>0.1</v>
      </c>
      <c r="F88" s="3118">
        <v>15</v>
      </c>
    </row>
    <row r="89" spans="1:6" ht="24">
      <c r="A89" s="3118">
        <v>17</v>
      </c>
      <c r="B89" s="3792"/>
      <c r="C89" s="3092" t="s">
        <v>2684</v>
      </c>
      <c r="D89" s="3092" t="s">
        <v>2685</v>
      </c>
      <c r="E89" s="3118">
        <v>0.1</v>
      </c>
      <c r="F89" s="3118">
        <v>15</v>
      </c>
    </row>
    <row r="90" spans="1:6" ht="13.5">
      <c r="A90" s="3118">
        <v>18</v>
      </c>
      <c r="B90" s="3788" t="s">
        <v>2686</v>
      </c>
      <c r="C90" s="3092" t="s">
        <v>2687</v>
      </c>
      <c r="D90" s="3092" t="s">
        <v>2688</v>
      </c>
      <c r="E90" s="3118">
        <v>0.2</v>
      </c>
      <c r="F90" s="3118">
        <v>25</v>
      </c>
    </row>
    <row r="91" spans="1:6" ht="24">
      <c r="A91" s="3118">
        <v>19</v>
      </c>
      <c r="B91" s="3783"/>
      <c r="C91" s="3092" t="s">
        <v>2689</v>
      </c>
      <c r="D91" s="3092" t="s">
        <v>2690</v>
      </c>
      <c r="E91" s="3118">
        <v>0.2</v>
      </c>
      <c r="F91" s="3118">
        <v>25</v>
      </c>
    </row>
    <row r="92" spans="1:6" ht="13.5">
      <c r="A92" s="3118">
        <v>20</v>
      </c>
      <c r="B92" s="3783"/>
      <c r="C92" s="3092" t="s">
        <v>2691</v>
      </c>
      <c r="D92" s="3092" t="s">
        <v>2692</v>
      </c>
      <c r="E92" s="3118">
        <v>0.15</v>
      </c>
      <c r="F92" s="3118">
        <v>20</v>
      </c>
    </row>
    <row r="93" spans="1:6" ht="13.5">
      <c r="A93" s="3118">
        <v>21</v>
      </c>
      <c r="B93" s="3783"/>
      <c r="C93" s="3092" t="s">
        <v>2693</v>
      </c>
      <c r="D93" s="3092" t="s">
        <v>2694</v>
      </c>
      <c r="E93" s="3118">
        <v>0.15</v>
      </c>
      <c r="F93" s="3118">
        <v>20</v>
      </c>
    </row>
    <row r="94" spans="1:6" ht="13.5">
      <c r="A94" s="3118">
        <v>22</v>
      </c>
      <c r="B94" s="3783"/>
      <c r="C94" s="3092" t="s">
        <v>2695</v>
      </c>
      <c r="D94" s="3092" t="s">
        <v>2696</v>
      </c>
      <c r="E94" s="3118">
        <v>0.15</v>
      </c>
      <c r="F94" s="3118">
        <v>20</v>
      </c>
    </row>
    <row r="95" spans="1:6" ht="36">
      <c r="A95" s="3118">
        <v>23</v>
      </c>
      <c r="B95" s="3783"/>
      <c r="C95" s="3092" t="s">
        <v>2697</v>
      </c>
      <c r="D95" s="3092" t="s">
        <v>2698</v>
      </c>
      <c r="E95" s="3118">
        <v>0.15</v>
      </c>
      <c r="F95" s="3118">
        <v>20</v>
      </c>
    </row>
    <row r="96" spans="1:6" ht="13.5">
      <c r="A96" s="3118">
        <v>24</v>
      </c>
      <c r="B96" s="3783"/>
      <c r="C96" s="3092" t="s">
        <v>2699</v>
      </c>
      <c r="D96" s="3092" t="s">
        <v>2700</v>
      </c>
      <c r="E96" s="3118">
        <v>0.1</v>
      </c>
      <c r="F96" s="3118">
        <v>15</v>
      </c>
    </row>
    <row r="97" spans="1:6" ht="13.5">
      <c r="A97" s="3118">
        <v>25</v>
      </c>
      <c r="B97" s="3783"/>
      <c r="C97" s="3092" t="s">
        <v>2701</v>
      </c>
      <c r="D97" s="3092" t="s">
        <v>2702</v>
      </c>
      <c r="E97" s="3118">
        <v>0.1</v>
      </c>
      <c r="F97" s="3118">
        <v>15</v>
      </c>
    </row>
    <row r="98" spans="1:6" ht="24">
      <c r="A98" s="3118">
        <v>26</v>
      </c>
      <c r="B98" s="3783"/>
      <c r="C98" s="3092" t="s">
        <v>2703</v>
      </c>
      <c r="D98" s="3092" t="s">
        <v>2704</v>
      </c>
      <c r="E98" s="3118">
        <v>0.1</v>
      </c>
      <c r="F98" s="3118">
        <v>15</v>
      </c>
    </row>
    <row r="99" spans="1:6" ht="24">
      <c r="A99" s="3118">
        <v>27</v>
      </c>
      <c r="B99" s="3783"/>
      <c r="C99" s="3092" t="s">
        <v>2705</v>
      </c>
      <c r="D99" s="3092" t="s">
        <v>2706</v>
      </c>
      <c r="E99" s="3118">
        <v>0.1</v>
      </c>
      <c r="F99" s="3118">
        <v>15</v>
      </c>
    </row>
    <row r="100" spans="1:6" ht="13.5">
      <c r="A100" s="3118">
        <v>28</v>
      </c>
      <c r="B100" s="3783"/>
      <c r="C100" s="3092" t="s">
        <v>2707</v>
      </c>
      <c r="D100" s="3092" t="s">
        <v>2708</v>
      </c>
      <c r="E100" s="3118">
        <v>0.1</v>
      </c>
      <c r="F100" s="3118">
        <v>15</v>
      </c>
    </row>
    <row r="101" spans="1:6" ht="13.5">
      <c r="A101" s="3118">
        <v>29</v>
      </c>
      <c r="B101" s="3783"/>
      <c r="C101" s="3092" t="s">
        <v>2709</v>
      </c>
      <c r="D101" s="3092" t="s">
        <v>2710</v>
      </c>
      <c r="E101" s="3118">
        <v>0.1</v>
      </c>
      <c r="F101" s="3118">
        <v>15</v>
      </c>
    </row>
    <row r="102" spans="1:6" ht="13.5">
      <c r="A102" s="3118">
        <v>30</v>
      </c>
      <c r="B102" s="3783"/>
      <c r="C102" s="3092" t="s">
        <v>2711</v>
      </c>
      <c r="D102" s="3092" t="s">
        <v>2712</v>
      </c>
      <c r="E102" s="3118">
        <v>0.1</v>
      </c>
      <c r="F102" s="3118">
        <v>15</v>
      </c>
    </row>
    <row r="103" spans="1:6" ht="24">
      <c r="A103" s="3118">
        <v>31</v>
      </c>
      <c r="B103" s="3783"/>
      <c r="C103" s="3092" t="s">
        <v>2713</v>
      </c>
      <c r="D103" s="3092" t="s">
        <v>2714</v>
      </c>
      <c r="E103" s="3118">
        <v>0.1</v>
      </c>
      <c r="F103" s="3118">
        <v>15</v>
      </c>
    </row>
    <row r="104" spans="1:6" ht="24">
      <c r="A104" s="3118">
        <v>32</v>
      </c>
      <c r="B104" s="3783"/>
      <c r="C104" s="3092" t="s">
        <v>2715</v>
      </c>
      <c r="D104" s="3092" t="s">
        <v>2716</v>
      </c>
      <c r="E104" s="3118">
        <v>0.1</v>
      </c>
      <c r="F104" s="3118">
        <v>15</v>
      </c>
    </row>
    <row r="105" spans="1:6" ht="24">
      <c r="A105" s="3118">
        <v>33</v>
      </c>
      <c r="B105" s="3783"/>
      <c r="C105" s="3092" t="s">
        <v>2717</v>
      </c>
      <c r="D105" s="3092" t="s">
        <v>2718</v>
      </c>
      <c r="E105" s="3118">
        <v>0.1</v>
      </c>
      <c r="F105" s="3118">
        <v>15</v>
      </c>
    </row>
    <row r="106" spans="1:6" ht="24">
      <c r="A106" s="3118">
        <v>34</v>
      </c>
      <c r="B106" s="3792"/>
      <c r="C106" s="3092" t="s">
        <v>2719</v>
      </c>
      <c r="D106" s="3092" t="s">
        <v>2720</v>
      </c>
      <c r="E106" s="3118">
        <v>0.1</v>
      </c>
      <c r="F106" s="3118">
        <v>15</v>
      </c>
    </row>
    <row r="107" spans="1:6" ht="24">
      <c r="A107" s="3118">
        <v>35</v>
      </c>
      <c r="B107" s="3788" t="s">
        <v>2721</v>
      </c>
      <c r="C107" s="3118" t="s">
        <v>2722</v>
      </c>
      <c r="D107" s="3092" t="s">
        <v>2723</v>
      </c>
      <c r="E107" s="3118">
        <v>0.15</v>
      </c>
      <c r="F107" s="3118">
        <v>20</v>
      </c>
    </row>
    <row r="108" spans="1:6" ht="13.5">
      <c r="A108" s="3118">
        <v>36</v>
      </c>
      <c r="B108" s="3783"/>
      <c r="C108" s="3118" t="s">
        <v>2724</v>
      </c>
      <c r="D108" s="3092" t="s">
        <v>2725</v>
      </c>
      <c r="E108" s="3118">
        <v>0.15</v>
      </c>
      <c r="F108" s="3118">
        <v>20</v>
      </c>
    </row>
    <row r="109" spans="1:6" ht="13.5">
      <c r="A109" s="3118">
        <v>37</v>
      </c>
      <c r="B109" s="3783"/>
      <c r="C109" s="3118" t="s">
        <v>2726</v>
      </c>
      <c r="D109" s="3092" t="s">
        <v>2727</v>
      </c>
      <c r="E109" s="3118">
        <v>0.15</v>
      </c>
      <c r="F109" s="3118">
        <v>20</v>
      </c>
    </row>
    <row r="110" spans="1:6" ht="13.5">
      <c r="A110" s="3118">
        <v>38</v>
      </c>
      <c r="B110" s="3783"/>
      <c r="C110" s="3118" t="s">
        <v>2728</v>
      </c>
      <c r="D110" s="3092" t="s">
        <v>2729</v>
      </c>
      <c r="E110" s="3118">
        <v>0.1</v>
      </c>
      <c r="F110" s="3118">
        <v>15</v>
      </c>
    </row>
    <row r="111" spans="1:6" ht="24">
      <c r="A111" s="3118">
        <v>39</v>
      </c>
      <c r="B111" s="3783"/>
      <c r="C111" s="3118" t="s">
        <v>2730</v>
      </c>
      <c r="D111" s="3092" t="s">
        <v>2731</v>
      </c>
      <c r="E111" s="3118">
        <v>0.1</v>
      </c>
      <c r="F111" s="3118">
        <v>15</v>
      </c>
    </row>
    <row r="112" spans="1:6" ht="24">
      <c r="A112" s="3118">
        <v>40</v>
      </c>
      <c r="B112" s="3792"/>
      <c r="C112" s="3118" t="s">
        <v>2732</v>
      </c>
      <c r="D112" s="3092" t="s">
        <v>2733</v>
      </c>
      <c r="E112" s="3118">
        <v>0.1</v>
      </c>
      <c r="F112" s="3118">
        <v>15</v>
      </c>
    </row>
    <row r="113" spans="1:6" ht="13.5">
      <c r="A113" s="3118">
        <v>41</v>
      </c>
      <c r="B113" s="3793" t="s">
        <v>2734</v>
      </c>
      <c r="C113" s="3118" t="s">
        <v>2735</v>
      </c>
      <c r="D113" s="3092" t="s">
        <v>2736</v>
      </c>
      <c r="E113" s="3118">
        <v>0.1</v>
      </c>
      <c r="F113" s="3118">
        <v>15</v>
      </c>
    </row>
    <row r="114" spans="1:6" ht="13.5">
      <c r="A114" s="3118">
        <v>42</v>
      </c>
      <c r="B114" s="3793"/>
      <c r="C114" s="3118" t="s">
        <v>2737</v>
      </c>
      <c r="D114" s="3092" t="s">
        <v>2738</v>
      </c>
      <c r="E114" s="3118">
        <v>0.1</v>
      </c>
      <c r="F114" s="3118">
        <v>15</v>
      </c>
    </row>
    <row r="115" spans="1:6" ht="24">
      <c r="A115" s="3118">
        <v>43</v>
      </c>
      <c r="B115" s="3793"/>
      <c r="C115" s="3118" t="s">
        <v>2739</v>
      </c>
      <c r="D115" s="3092" t="s">
        <v>2740</v>
      </c>
      <c r="E115" s="3118">
        <v>0.1</v>
      </c>
      <c r="F115" s="3118">
        <v>15</v>
      </c>
    </row>
    <row r="116" spans="1:6" ht="13.5">
      <c r="A116" s="3118">
        <v>44</v>
      </c>
      <c r="B116" s="3788" t="s">
        <v>2741</v>
      </c>
      <c r="C116" s="3118" t="s">
        <v>2742</v>
      </c>
      <c r="D116" s="3092" t="s">
        <v>2743</v>
      </c>
      <c r="E116" s="3118">
        <v>0.1</v>
      </c>
      <c r="F116" s="3118">
        <v>15</v>
      </c>
    </row>
    <row r="117" spans="1:6" ht="24">
      <c r="A117" s="3118">
        <v>45</v>
      </c>
      <c r="B117" s="3792"/>
      <c r="C117" s="3092" t="s">
        <v>2744</v>
      </c>
      <c r="D117" s="3092" t="s">
        <v>2745</v>
      </c>
      <c r="E117" s="3118">
        <v>0.1</v>
      </c>
      <c r="F117" s="3118">
        <v>15</v>
      </c>
    </row>
    <row r="118" spans="1:6" ht="24">
      <c r="A118" s="3118">
        <v>46</v>
      </c>
      <c r="B118" s="3788" t="s">
        <v>2746</v>
      </c>
      <c r="C118" s="3118" t="s">
        <v>2747</v>
      </c>
      <c r="D118" s="3092" t="s">
        <v>2748</v>
      </c>
      <c r="E118" s="3118">
        <v>0.1</v>
      </c>
      <c r="F118" s="3118">
        <v>15</v>
      </c>
    </row>
    <row r="119" spans="1:6" ht="24">
      <c r="A119" s="3118">
        <v>47</v>
      </c>
      <c r="B119" s="3792"/>
      <c r="C119" s="3118" t="s">
        <v>2749</v>
      </c>
      <c r="D119" s="3092" t="s">
        <v>2750</v>
      </c>
      <c r="E119" s="3118">
        <v>0.1</v>
      </c>
      <c r="F119" s="3118">
        <v>15</v>
      </c>
    </row>
    <row r="120" spans="1:6" ht="13.5">
      <c r="A120" s="3118">
        <v>48</v>
      </c>
      <c r="B120" s="3788" t="s">
        <v>2751</v>
      </c>
      <c r="C120" s="3118" t="s">
        <v>2752</v>
      </c>
      <c r="D120" s="3092" t="s">
        <v>2753</v>
      </c>
      <c r="E120" s="3118">
        <v>0.1</v>
      </c>
      <c r="F120" s="3118">
        <v>15</v>
      </c>
    </row>
    <row r="121" spans="1:6" ht="13.5">
      <c r="A121" s="3118">
        <v>49</v>
      </c>
      <c r="B121" s="3792"/>
      <c r="C121" s="3118" t="s">
        <v>2754</v>
      </c>
      <c r="D121" s="3092" t="s">
        <v>2755</v>
      </c>
      <c r="E121" s="3118">
        <v>0.1</v>
      </c>
      <c r="F121" s="3118">
        <v>15</v>
      </c>
    </row>
    <row r="122" spans="1:6" ht="24">
      <c r="A122" s="3118">
        <v>50</v>
      </c>
      <c r="B122" s="3793" t="s">
        <v>2756</v>
      </c>
      <c r="C122" s="3118" t="s">
        <v>2757</v>
      </c>
      <c r="D122" s="3092" t="s">
        <v>2758</v>
      </c>
      <c r="E122" s="3118">
        <v>0.1</v>
      </c>
      <c r="F122" s="3118">
        <v>15</v>
      </c>
    </row>
    <row r="123" spans="1:6" ht="24">
      <c r="A123" s="3118">
        <v>51</v>
      </c>
      <c r="B123" s="3793"/>
      <c r="C123" s="3118" t="s">
        <v>2759</v>
      </c>
      <c r="D123" s="3092" t="s">
        <v>2760</v>
      </c>
      <c r="E123" s="3118">
        <v>0.1</v>
      </c>
      <c r="F123" s="3118">
        <v>15</v>
      </c>
    </row>
    <row r="124" spans="1:6" ht="24">
      <c r="A124" s="3118">
        <v>52</v>
      </c>
      <c r="B124" s="3793" t="s">
        <v>2761</v>
      </c>
      <c r="C124" s="3118" t="s">
        <v>2762</v>
      </c>
      <c r="D124" s="3092" t="s">
        <v>2763</v>
      </c>
      <c r="E124" s="3118">
        <v>0.1</v>
      </c>
      <c r="F124" s="3118">
        <v>15</v>
      </c>
    </row>
    <row r="125" spans="1:6" ht="24">
      <c r="A125" s="3118">
        <v>53</v>
      </c>
      <c r="B125" s="3793"/>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93" t="s">
        <v>2769</v>
      </c>
      <c r="C127" s="3118" t="s">
        <v>2770</v>
      </c>
      <c r="D127" s="3092" t="s">
        <v>2771</v>
      </c>
      <c r="E127" s="3118">
        <v>0.1</v>
      </c>
      <c r="F127" s="3118">
        <v>15</v>
      </c>
    </row>
    <row r="128" spans="1:6" ht="13.5">
      <c r="A128" s="3118">
        <v>56</v>
      </c>
      <c r="B128" s="3793"/>
      <c r="C128" s="3118" t="s">
        <v>2772</v>
      </c>
      <c r="D128" s="3092" t="s">
        <v>2773</v>
      </c>
      <c r="E128" s="3118">
        <v>0.1</v>
      </c>
      <c r="F128" s="3118">
        <v>15</v>
      </c>
    </row>
    <row r="129" spans="1:6" ht="24">
      <c r="A129" s="3118">
        <v>57</v>
      </c>
      <c r="B129" s="3793"/>
      <c r="C129" s="3118" t="s">
        <v>2774</v>
      </c>
      <c r="D129" s="3092" t="s">
        <v>2775</v>
      </c>
      <c r="E129" s="3118">
        <v>0.1</v>
      </c>
      <c r="F129" s="3118">
        <v>15</v>
      </c>
    </row>
    <row r="130" spans="1:6" ht="24">
      <c r="A130" s="3118">
        <v>58</v>
      </c>
      <c r="B130" s="3793" t="s">
        <v>2776</v>
      </c>
      <c r="C130" s="3118" t="s">
        <v>2777</v>
      </c>
      <c r="D130" s="3092" t="s">
        <v>2778</v>
      </c>
      <c r="E130" s="3118">
        <v>0.1</v>
      </c>
      <c r="F130" s="3118">
        <v>15</v>
      </c>
    </row>
    <row r="131" spans="1:6" ht="13.5">
      <c r="A131" s="3118">
        <v>59</v>
      </c>
      <c r="B131" s="3793"/>
      <c r="C131" s="3118" t="s">
        <v>2779</v>
      </c>
      <c r="D131" s="3092" t="s">
        <v>2780</v>
      </c>
      <c r="E131" s="3118">
        <v>0.1</v>
      </c>
      <c r="F131" s="3118">
        <v>15</v>
      </c>
    </row>
    <row r="132" spans="1:6" ht="13.5">
      <c r="A132" s="3118">
        <v>60</v>
      </c>
      <c r="B132" s="3788" t="s">
        <v>2781</v>
      </c>
      <c r="C132" s="3118" t="s">
        <v>2782</v>
      </c>
      <c r="D132" s="3092" t="s">
        <v>2783</v>
      </c>
      <c r="E132" s="3118">
        <v>0.1</v>
      </c>
      <c r="F132" s="3118">
        <v>15</v>
      </c>
    </row>
    <row r="133" spans="1:6" ht="13.5">
      <c r="A133" s="3118">
        <v>61</v>
      </c>
      <c r="B133" s="379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93" t="s">
        <v>2789</v>
      </c>
      <c r="C135" s="3118" t="s">
        <v>2790</v>
      </c>
      <c r="D135" s="3092" t="s">
        <v>2791</v>
      </c>
      <c r="E135" s="3118">
        <v>0.1</v>
      </c>
      <c r="F135" s="3118">
        <v>15</v>
      </c>
    </row>
    <row r="136" spans="1:6" ht="13.5">
      <c r="A136" s="3118">
        <v>64</v>
      </c>
      <c r="B136" s="3793"/>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1.2158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1.1565000000000001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3"/>
      <c r="B4" s="3477" t="s">
        <v>917</v>
      </c>
      <c r="C4" s="3477"/>
      <c r="D4" s="3477"/>
      <c r="E4" s="1493"/>
    </row>
    <row r="5" spans="1:5" ht="16.5" thickTop="1">
      <c r="A5" s="1491"/>
      <c r="B5" s="3475" t="s">
        <v>909</v>
      </c>
      <c r="C5" s="1494" t="s">
        <v>910</v>
      </c>
      <c r="D5" s="850" t="e">
        <f ca="1">结果表!H101</f>
        <v>#REF!</v>
      </c>
      <c r="E5" s="1491"/>
    </row>
    <row r="6" spans="1:5" ht="15.75">
      <c r="A6" s="1491"/>
      <c r="B6" s="3475"/>
      <c r="C6" s="1494" t="s">
        <v>911</v>
      </c>
      <c r="D6" s="850" t="e">
        <f ca="1">NUMBERSTRING(INT(D5*10000),2)&amp;"元整"</f>
        <v>#REF!</v>
      </c>
      <c r="E6" s="1491"/>
    </row>
    <row r="7" spans="1:5" ht="15.75">
      <c r="A7" s="1491"/>
      <c r="B7" s="3480"/>
      <c r="C7" s="1495" t="s">
        <v>912</v>
      </c>
      <c r="D7" s="851" t="e">
        <f ca="1">结果表!H102</f>
        <v>#REF!</v>
      </c>
      <c r="E7" s="1491"/>
    </row>
    <row r="8" spans="1:5" ht="15.75">
      <c r="A8" s="1491"/>
      <c r="B8" s="3481" t="str">
        <f>结果表!E103</f>
        <v>2.估价师知悉的法定优先受偿款</v>
      </c>
      <c r="C8" s="1496" t="s">
        <v>913</v>
      </c>
      <c r="D8" s="851">
        <f>结果表!H103</f>
        <v>0</v>
      </c>
      <c r="E8" s="1491"/>
    </row>
    <row r="9" spans="1:5" ht="15.75">
      <c r="A9" s="1491"/>
      <c r="B9" s="348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4" t="str">
        <f>结果表!E107</f>
        <v>3.房地产抵押价值</v>
      </c>
      <c r="C13" s="1499" t="s">
        <v>910</v>
      </c>
      <c r="D13" s="853" t="e">
        <f ca="1">结果表!H107</f>
        <v>#REF!</v>
      </c>
      <c r="E13" s="1491"/>
    </row>
    <row r="14" spans="1:5" ht="15.75">
      <c r="A14" s="1491"/>
      <c r="B14" s="3475"/>
      <c r="C14" s="1494" t="s">
        <v>911</v>
      </c>
      <c r="D14" s="850" t="e">
        <f ca="1">NUMBERSTRING(INT(D13*10000),2)&amp;"元整"</f>
        <v>#REF!</v>
      </c>
      <c r="E14" s="1491"/>
    </row>
    <row r="15" spans="1:5" ht="15">
      <c r="A15" s="1491"/>
      <c r="B15" s="3480"/>
      <c r="C15" s="1495" t="s">
        <v>921</v>
      </c>
      <c r="D15" s="859" t="e">
        <f ca="1">结果表!H108</f>
        <v>#REF!</v>
      </c>
      <c r="E15" s="1491"/>
    </row>
    <row r="16" spans="1:5" ht="15">
      <c r="A16" s="1491"/>
      <c r="B16" s="3481" t="str">
        <f>结果表!E109</f>
        <v>——</v>
      </c>
      <c r="C16" s="1499" t="s">
        <v>922</v>
      </c>
      <c r="D16" s="1500" t="str">
        <f>结果表!H109</f>
        <v>——</v>
      </c>
      <c r="E16" s="1491"/>
    </row>
    <row r="17" spans="1:5" ht="15.75">
      <c r="A17" s="1491"/>
      <c r="B17" s="3482"/>
      <c r="C17" s="1494" t="s">
        <v>923</v>
      </c>
      <c r="D17" s="850" t="e">
        <f>NUMBERSTRING(INT(D16*10000),2)&amp;"元整"</f>
        <v>#VALUE!</v>
      </c>
      <c r="E17" s="1491"/>
    </row>
    <row r="18" spans="1:5" ht="15">
      <c r="A18" s="1491"/>
      <c r="B18" s="3483"/>
      <c r="C18" s="1495" t="s">
        <v>912</v>
      </c>
      <c r="D18" s="859" t="str">
        <f>结果表!H110</f>
        <v>——</v>
      </c>
      <c r="E18" s="1491"/>
    </row>
    <row r="19" spans="1:5" ht="15.75">
      <c r="A19" s="1491"/>
      <c r="B19" s="3474" t="str">
        <f>结果表!E111</f>
        <v>——</v>
      </c>
      <c r="C19" s="1499" t="s">
        <v>910</v>
      </c>
      <c r="D19" s="851" t="str">
        <f>结果表!H111</f>
        <v>——</v>
      </c>
      <c r="E19" s="1491"/>
    </row>
    <row r="20" spans="1:5" ht="15.75">
      <c r="A20" s="1491"/>
      <c r="B20" s="3475"/>
      <c r="C20" s="1494" t="s">
        <v>923</v>
      </c>
      <c r="D20" s="850" t="e">
        <f>NUMBERSTRING(INT(D19*10000),2)&amp;"元整"</f>
        <v>#VALUE!</v>
      </c>
      <c r="E20" s="1491"/>
    </row>
    <row r="21" spans="1:5" ht="15.75" thickBot="1">
      <c r="A21" s="1491"/>
      <c r="B21" s="347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63590</v>
      </c>
      <c r="C2" s="2" t="s">
        <v>106</v>
      </c>
      <c r="D2" s="199"/>
      <c r="E2" s="199"/>
      <c r="F2" s="199"/>
      <c r="G2" s="199"/>
    </row>
    <row r="3" spans="1:7" s="200" customFormat="1" ht="18" customHeight="1" thickBot="1">
      <c r="A3" s="203" t="s">
        <v>58</v>
      </c>
      <c r="B3" s="204">
        <f ca="1">ROUND(B2*10000/'数据-汇总表'!E3,0)</f>
        <v>7375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1724</v>
      </c>
      <c r="D10" s="845">
        <f>'数据-汇总表'!E6</f>
        <v>86219.39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1724</v>
      </c>
      <c r="D19" s="849">
        <f>'数据-汇总表'!E3</f>
        <v>86219.39</v>
      </c>
      <c r="E19" s="211">
        <f>'数据-取费表'!B31</f>
        <v>200</v>
      </c>
      <c r="F19" s="231"/>
      <c r="G19" s="1" t="s">
        <v>436</v>
      </c>
    </row>
    <row r="20" spans="1:7" s="214" customFormat="1" ht="13.5" customHeight="1">
      <c r="A20" s="777" t="s">
        <v>419</v>
      </c>
      <c r="B20" s="210" t="s">
        <v>77</v>
      </c>
      <c r="C20" s="232">
        <f>ROUND((C5+C19)*F20,0)</f>
        <v>447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1421</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109</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1822</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1822</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34014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30177</v>
      </c>
      <c r="D34" s="217"/>
      <c r="E34" s="220"/>
      <c r="F34" s="257">
        <f>IF('数据-取费表'!B24=0,1,'数据-取费表'!N16)</f>
        <v>1</v>
      </c>
      <c r="G34" s="219" t="s">
        <v>89</v>
      </c>
    </row>
    <row r="35" spans="1:7" ht="13.5" customHeight="1">
      <c r="A35" s="780" t="s">
        <v>351</v>
      </c>
      <c r="B35" s="215" t="s">
        <v>33</v>
      </c>
      <c r="C35" s="220">
        <f>ROUND(C34*F35,0)</f>
        <v>1509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1724</v>
      </c>
      <c r="D37" s="217">
        <f>'数据-汇总表'!E3</f>
        <v>86219.39</v>
      </c>
      <c r="E37" s="249">
        <f>'数据-取费表'!B35</f>
        <v>200</v>
      </c>
      <c r="F37" s="259"/>
      <c r="G37" s="261" t="s">
        <v>92</v>
      </c>
    </row>
    <row r="38" spans="1:7" ht="13.5" customHeight="1">
      <c r="A38" s="780" t="s">
        <v>354</v>
      </c>
      <c r="B38" s="215" t="s">
        <v>36</v>
      </c>
      <c r="C38" s="220">
        <f>ROUND(C34*F38,0)</f>
        <v>604</v>
      </c>
      <c r="D38" s="220"/>
      <c r="E38" s="220"/>
      <c r="F38" s="259">
        <f>'数据-取费表'!B36</f>
        <v>0.02</v>
      </c>
      <c r="G38" s="219" t="s">
        <v>90</v>
      </c>
    </row>
    <row r="39" spans="1:7" s="214" customFormat="1" ht="13.5" customHeight="1">
      <c r="A39" s="777" t="s">
        <v>338</v>
      </c>
      <c r="B39" s="210" t="s">
        <v>77</v>
      </c>
      <c r="C39" s="232">
        <f>ROUND(C33*F20,0)</f>
        <v>680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1075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1054</v>
      </c>
      <c r="D42" s="238"/>
      <c r="E42" s="238"/>
      <c r="F42" s="239"/>
      <c r="G42" s="3658" t="s">
        <v>94</v>
      </c>
    </row>
    <row r="43" spans="1:7" ht="13.5" customHeight="1">
      <c r="A43" s="780" t="s">
        <v>347</v>
      </c>
      <c r="B43" s="215" t="s">
        <v>426</v>
      </c>
      <c r="C43" s="238">
        <f ca="1">ROUND(IF('数据-取费表'!B22&lt;=1,C39*F22*'数据-取费表'!B21/2,C39*(POWER((1+F22),'数据-取费表'!B21/2)-1)),0)</f>
        <v>21</v>
      </c>
      <c r="D43" s="238"/>
      <c r="E43" s="238"/>
      <c r="F43" s="239"/>
      <c r="G43" s="3659"/>
    </row>
    <row r="44" spans="1:7" ht="13.5" customHeight="1">
      <c r="A44" s="780" t="s">
        <v>348</v>
      </c>
      <c r="B44" s="215" t="s">
        <v>428</v>
      </c>
      <c r="C44" s="238">
        <f ca="1">ROUND(IF('数据-取费表'!B22&lt;=1,C40*F22*'数据-取费表'!B21/2,C40*(POWER((1+F22),'数据-取费表'!B21/2)-1)),4)</f>
        <v>5.9999999999999995E-4</v>
      </c>
      <c r="D44" s="238"/>
      <c r="E44" s="238"/>
      <c r="F44" s="239"/>
      <c r="G44" s="3660"/>
    </row>
    <row r="45" spans="1:7" s="214" customFormat="1" ht="13.5" customHeight="1">
      <c r="A45" s="777" t="s">
        <v>341</v>
      </c>
      <c r="B45" s="244" t="s">
        <v>85</v>
      </c>
      <c r="C45" s="245">
        <f>C46</f>
        <v>2776</v>
      </c>
      <c r="D45" s="235">
        <f>C47</f>
        <v>1.6000000000000001E-3</v>
      </c>
      <c r="E45" s="236" t="s">
        <v>102</v>
      </c>
      <c r="F45" s="246"/>
      <c r="G45" s="247" t="s">
        <v>434</v>
      </c>
    </row>
    <row r="46" spans="1:7" s="214" customFormat="1" ht="13.5" customHeight="1">
      <c r="A46" s="780" t="s">
        <v>349</v>
      </c>
      <c r="B46" s="248" t="s">
        <v>427</v>
      </c>
      <c r="C46" s="249">
        <f>ROUND((C33+C39)*F27,0)</f>
        <v>2776</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41694</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35440</v>
      </c>
      <c r="D51" s="232"/>
      <c r="E51" s="232"/>
      <c r="F51" s="264"/>
      <c r="G51" s="234" t="s">
        <v>37</v>
      </c>
    </row>
    <row r="52" spans="1:7" s="208" customFormat="1" ht="16.5" thickBot="1">
      <c r="A52" s="265" t="s">
        <v>38</v>
      </c>
      <c r="B52" s="266"/>
      <c r="C52" s="267">
        <f ca="1">C31+C51</f>
        <v>63590</v>
      </c>
      <c r="D52" s="266"/>
      <c r="E52" s="266"/>
      <c r="F52" s="266"/>
      <c r="G52" s="268"/>
    </row>
    <row r="55" spans="1:7" ht="15">
      <c r="B55" s="270" t="s">
        <v>39</v>
      </c>
      <c r="C55" s="271"/>
    </row>
    <row r="56" spans="1:7">
      <c r="B56" s="273" t="s">
        <v>40</v>
      </c>
      <c r="C56" s="274">
        <f ca="1">ROUND(C51/C52,3)</f>
        <v>0.55700000000000005</v>
      </c>
    </row>
    <row r="57" spans="1:7">
      <c r="B57" s="273" t="s">
        <v>41</v>
      </c>
      <c r="C57" s="275">
        <f ca="1">1-C56</f>
        <v>0.44299999999999995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4" t="s">
        <v>3181</v>
      </c>
      <c r="B1" s="3794"/>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5" t="s">
        <v>3232</v>
      </c>
      <c r="B1" s="3795"/>
      <c r="C1" s="3795"/>
      <c r="D1" s="3795"/>
      <c r="E1" s="3795"/>
      <c r="F1" s="379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45761</v>
      </c>
      <c r="B1" s="3210" t="s">
        <v>3378</v>
      </c>
      <c r="C1" s="3211"/>
      <c r="D1" s="3211"/>
      <c r="E1" s="3211"/>
      <c r="F1" s="3211"/>
      <c r="G1" s="3211"/>
      <c r="H1" s="3211"/>
      <c r="I1" s="3211"/>
      <c r="J1" s="3165"/>
      <c r="K1" s="3211" t="s">
        <v>454</v>
      </c>
      <c r="L1" s="3211"/>
      <c r="M1" s="3211"/>
      <c r="N1" s="3211"/>
      <c r="O1" s="3211"/>
      <c r="P1" s="3211"/>
      <c r="Q1" s="3165"/>
      <c r="R1" s="3797" t="s">
        <v>456</v>
      </c>
      <c r="S1" s="3798"/>
      <c r="T1" s="3798"/>
      <c r="U1" s="3798"/>
      <c r="V1" s="3798"/>
      <c r="W1" s="3798"/>
      <c r="X1" s="3165"/>
      <c r="Y1" s="3797" t="s">
        <v>457</v>
      </c>
      <c r="Z1" s="3798"/>
      <c r="AA1" s="3798"/>
      <c r="AB1" s="3798"/>
      <c r="AC1" s="3798"/>
      <c r="AD1" s="3798"/>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97" t="s">
        <v>2827</v>
      </c>
      <c r="S29" s="3798"/>
      <c r="T29" s="3798"/>
      <c r="U29" s="3798"/>
      <c r="V29" s="3798"/>
      <c r="W29" s="3798"/>
      <c r="X29" s="3165"/>
      <c r="Y29" s="3797" t="s">
        <v>2828</v>
      </c>
      <c r="Z29" s="3798"/>
      <c r="AA29" s="3798"/>
      <c r="AB29" s="3798"/>
      <c r="AC29" s="3798"/>
      <c r="AD29" s="3798"/>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2" t="s">
        <v>2839</v>
      </c>
      <c r="B1" s="3812"/>
      <c r="C1" s="3812"/>
      <c r="D1" s="3812"/>
      <c r="E1" s="3812"/>
      <c r="F1" s="3812"/>
      <c r="G1" s="381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45761</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N79" sqref="N79"/>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51"/>
  <sheetViews>
    <sheetView topLeftCell="D1" workbookViewId="0">
      <selection activeCell="P60" sqref="P59:P60"/>
    </sheetView>
  </sheetViews>
  <sheetFormatPr defaultRowHeight="13.5"/>
  <cols>
    <col min="1" max="1" width="38.875" customWidth="1"/>
    <col min="3" max="3" width="32.625" customWidth="1"/>
    <col min="9" max="9" width="13" customWidth="1"/>
    <col min="15" max="15" width="13" customWidth="1"/>
  </cols>
  <sheetData>
    <row r="1" spans="1:28" ht="14.25">
      <c r="A1" s="3814" t="s">
        <v>3462</v>
      </c>
      <c r="B1" s="3814" t="s">
        <v>3463</v>
      </c>
      <c r="C1" s="3814" t="s">
        <v>3464</v>
      </c>
      <c r="D1" s="3814" t="s">
        <v>3465</v>
      </c>
      <c r="E1" s="3814" t="s">
        <v>3466</v>
      </c>
      <c r="F1" s="3814" t="s">
        <v>3467</v>
      </c>
      <c r="G1" s="3814" t="s">
        <v>3468</v>
      </c>
      <c r="H1" s="3814" t="s">
        <v>3469</v>
      </c>
      <c r="I1" s="3814" t="s">
        <v>3470</v>
      </c>
      <c r="J1" s="3814" t="s">
        <v>3471</v>
      </c>
      <c r="K1" s="3814" t="s">
        <v>3472</v>
      </c>
      <c r="L1" s="3814" t="s">
        <v>3473</v>
      </c>
      <c r="M1" s="3814" t="s">
        <v>3474</v>
      </c>
      <c r="N1" s="3814" t="s">
        <v>3475</v>
      </c>
      <c r="O1" s="3814" t="s">
        <v>3476</v>
      </c>
      <c r="P1" s="3814" t="s">
        <v>3477</v>
      </c>
      <c r="Q1" s="3814" t="s">
        <v>3478</v>
      </c>
      <c r="R1" s="3814" t="s">
        <v>3479</v>
      </c>
      <c r="S1" s="3814" t="s">
        <v>3480</v>
      </c>
      <c r="T1" s="3814" t="s">
        <v>3481</v>
      </c>
      <c r="U1" s="3814" t="s">
        <v>3482</v>
      </c>
      <c r="V1" s="3467" t="s">
        <v>3752</v>
      </c>
      <c r="W1" s="3467" t="s">
        <v>3753</v>
      </c>
      <c r="Z1">
        <v>50</v>
      </c>
      <c r="AA1">
        <v>20</v>
      </c>
      <c r="AB1">
        <v>18</v>
      </c>
    </row>
    <row r="2" spans="1:28" ht="14.25" hidden="1">
      <c r="A2" s="3814" t="s">
        <v>3483</v>
      </c>
      <c r="B2" s="3814" t="s">
        <v>3418</v>
      </c>
      <c r="C2" s="3814" t="s">
        <v>3484</v>
      </c>
      <c r="D2" s="3814">
        <v>40202.42</v>
      </c>
      <c r="E2" s="3814">
        <v>60303.63</v>
      </c>
      <c r="F2" s="3814" t="s">
        <v>2479</v>
      </c>
      <c r="G2" s="3814" t="s">
        <v>3485</v>
      </c>
      <c r="H2" s="3814" t="s">
        <v>3486</v>
      </c>
      <c r="I2" s="3814" t="s">
        <v>3487</v>
      </c>
      <c r="J2" s="3814" t="s">
        <v>3488</v>
      </c>
      <c r="K2" s="3814" t="s">
        <v>3489</v>
      </c>
      <c r="L2" s="3814" t="s">
        <v>3490</v>
      </c>
      <c r="M2" s="3814" t="s">
        <v>3489</v>
      </c>
      <c r="N2" s="3814" t="s">
        <v>3491</v>
      </c>
      <c r="O2" s="3814" t="s">
        <v>3489</v>
      </c>
      <c r="P2" s="3814">
        <v>4938.87</v>
      </c>
      <c r="Q2" s="3814">
        <v>1000</v>
      </c>
      <c r="R2" s="3814" t="s">
        <v>3492</v>
      </c>
      <c r="S2" s="3814" t="s">
        <v>3489</v>
      </c>
      <c r="T2" s="3814" t="s">
        <v>3489</v>
      </c>
      <c r="U2" s="3814">
        <v>0</v>
      </c>
      <c r="V2" t="e">
        <f>ROUND(S2/D2*10000,0)</f>
        <v>#VALUE!</v>
      </c>
    </row>
    <row r="3" spans="1:28" ht="14.25">
      <c r="A3" s="3814" t="s">
        <v>3493</v>
      </c>
      <c r="B3" s="3814" t="s">
        <v>3418</v>
      </c>
      <c r="C3" s="3814" t="s">
        <v>3494</v>
      </c>
      <c r="D3" s="3814">
        <v>61152.33</v>
      </c>
      <c r="E3" s="3814">
        <v>91728.5</v>
      </c>
      <c r="F3" s="3814" t="s">
        <v>2479</v>
      </c>
      <c r="G3" s="3814" t="s">
        <v>3</v>
      </c>
      <c r="H3" s="3814" t="s">
        <v>3486</v>
      </c>
      <c r="I3" s="3814" t="s">
        <v>3487</v>
      </c>
      <c r="J3" s="3814" t="s">
        <v>3488</v>
      </c>
      <c r="K3" s="3814" t="s">
        <v>3489</v>
      </c>
      <c r="L3" s="3814" t="s">
        <v>3495</v>
      </c>
      <c r="M3" s="3814" t="s">
        <v>3495</v>
      </c>
      <c r="N3" s="3814" t="s">
        <v>3496</v>
      </c>
      <c r="O3" s="3814" t="s">
        <v>3497</v>
      </c>
      <c r="P3" s="3814">
        <v>2114.6999999999998</v>
      </c>
      <c r="Q3" s="3814">
        <v>528.66999999999996</v>
      </c>
      <c r="R3" s="3814" t="s">
        <v>3498</v>
      </c>
      <c r="S3" s="3814">
        <v>2114.6999999999998</v>
      </c>
      <c r="T3" s="3814">
        <v>231</v>
      </c>
      <c r="U3" s="3814">
        <v>0</v>
      </c>
      <c r="V3">
        <f>ROUND(S3/D3*10000,0)</f>
        <v>346</v>
      </c>
      <c r="W3">
        <f>ROUND(T3*Z3/AA3,0)</f>
        <v>351</v>
      </c>
      <c r="Z3">
        <v>0.88929999999999998</v>
      </c>
      <c r="AA3">
        <v>0.58540000000000003</v>
      </c>
      <c r="AB3">
        <v>0.54720000000000002</v>
      </c>
    </row>
    <row r="4" spans="1:28" ht="14.25" hidden="1">
      <c r="A4" s="3814" t="s">
        <v>3499</v>
      </c>
      <c r="B4" s="3814" t="s">
        <v>3418</v>
      </c>
      <c r="C4" s="3814" t="s">
        <v>3500</v>
      </c>
      <c r="D4" s="3814">
        <v>133452.79</v>
      </c>
      <c r="E4" s="3814">
        <v>133452.79</v>
      </c>
      <c r="F4" s="3814" t="s">
        <v>2479</v>
      </c>
      <c r="G4" s="3814" t="s">
        <v>2479</v>
      </c>
      <c r="H4" s="3814" t="s">
        <v>3486</v>
      </c>
      <c r="I4" s="3814" t="s">
        <v>3501</v>
      </c>
      <c r="J4" s="3814" t="s">
        <v>3488</v>
      </c>
      <c r="K4" s="3814" t="s">
        <v>3489</v>
      </c>
      <c r="L4" s="3814" t="s">
        <v>3502</v>
      </c>
      <c r="M4" s="3814" t="s">
        <v>3502</v>
      </c>
      <c r="N4" s="3814" t="s">
        <v>3496</v>
      </c>
      <c r="O4" s="3814" t="s">
        <v>3503</v>
      </c>
      <c r="P4" s="3814">
        <v>18563.14</v>
      </c>
      <c r="Q4" s="3814">
        <v>3800</v>
      </c>
      <c r="R4" s="3814" t="s">
        <v>3504</v>
      </c>
      <c r="S4" s="3814">
        <v>18563.14</v>
      </c>
      <c r="T4" s="3814">
        <v>1391</v>
      </c>
      <c r="U4" s="3814">
        <v>0</v>
      </c>
      <c r="V4">
        <f t="shared" ref="V4:V51" si="0">ROUND(S4/D4*10000,0)</f>
        <v>1391</v>
      </c>
    </row>
    <row r="5" spans="1:28" ht="14.25" hidden="1">
      <c r="A5" s="3814" t="s">
        <v>3505</v>
      </c>
      <c r="B5" s="3814" t="s">
        <v>3418</v>
      </c>
      <c r="C5" s="3814" t="s">
        <v>3506</v>
      </c>
      <c r="D5" s="3814">
        <v>79605.460000000006</v>
      </c>
      <c r="E5" s="3814">
        <v>101827.78</v>
      </c>
      <c r="F5" s="3814" t="s">
        <v>2479</v>
      </c>
      <c r="G5" s="3814" t="s">
        <v>3507</v>
      </c>
      <c r="H5" s="3814" t="s">
        <v>3508</v>
      </c>
      <c r="I5" s="3814" t="s">
        <v>3509</v>
      </c>
      <c r="J5" s="3814" t="s">
        <v>3488</v>
      </c>
      <c r="K5" s="3814" t="s">
        <v>3489</v>
      </c>
      <c r="L5" s="3814" t="s">
        <v>3510</v>
      </c>
      <c r="M5" s="3814" t="s">
        <v>3510</v>
      </c>
      <c r="N5" s="3814" t="s">
        <v>3496</v>
      </c>
      <c r="O5" s="3814" t="s">
        <v>3511</v>
      </c>
      <c r="P5" s="3814">
        <v>9445.5300000000007</v>
      </c>
      <c r="Q5" s="3814">
        <v>1900</v>
      </c>
      <c r="R5" s="3814" t="s">
        <v>3512</v>
      </c>
      <c r="S5" s="3814">
        <v>9445.5300000000007</v>
      </c>
      <c r="T5" s="3814">
        <v>928</v>
      </c>
      <c r="U5" s="3814">
        <v>0</v>
      </c>
      <c r="V5">
        <f t="shared" si="0"/>
        <v>1187</v>
      </c>
    </row>
    <row r="6" spans="1:28" ht="14.25" hidden="1">
      <c r="A6" s="3814" t="s">
        <v>3513</v>
      </c>
      <c r="B6" s="3814" t="s">
        <v>3418</v>
      </c>
      <c r="C6" s="3814" t="s">
        <v>3514</v>
      </c>
      <c r="D6" s="3814">
        <v>80273.179999999993</v>
      </c>
      <c r="E6" s="3814">
        <v>104355.13</v>
      </c>
      <c r="F6" s="3814" t="s">
        <v>2479</v>
      </c>
      <c r="G6" s="3814" t="s">
        <v>3515</v>
      </c>
      <c r="H6" s="3814">
        <v>30</v>
      </c>
      <c r="I6" s="3814" t="s">
        <v>3516</v>
      </c>
      <c r="J6" s="3814" t="s">
        <v>3488</v>
      </c>
      <c r="K6" s="3814" t="s">
        <v>3489</v>
      </c>
      <c r="L6" s="3814" t="s">
        <v>3517</v>
      </c>
      <c r="M6" s="3814" t="s">
        <v>3517</v>
      </c>
      <c r="N6" s="3814" t="s">
        <v>3496</v>
      </c>
      <c r="O6" s="3814" t="s">
        <v>3518</v>
      </c>
      <c r="P6" s="3814">
        <v>18906.349999999999</v>
      </c>
      <c r="Q6" s="3814">
        <v>3800</v>
      </c>
      <c r="R6" s="3814" t="s">
        <v>3519</v>
      </c>
      <c r="S6" s="3814">
        <v>18906.349999999999</v>
      </c>
      <c r="T6" s="3814">
        <v>1812</v>
      </c>
      <c r="U6" s="3814">
        <v>0</v>
      </c>
      <c r="V6">
        <f t="shared" si="0"/>
        <v>2355</v>
      </c>
    </row>
    <row r="7" spans="1:28" ht="14.25" hidden="1">
      <c r="A7" s="3814" t="s">
        <v>3520</v>
      </c>
      <c r="B7" s="3814" t="s">
        <v>3418</v>
      </c>
      <c r="C7" s="3814" t="s">
        <v>3521</v>
      </c>
      <c r="D7" s="3814">
        <v>70554.02</v>
      </c>
      <c r="E7" s="3814">
        <v>84664.82</v>
      </c>
      <c r="F7" s="3814" t="s">
        <v>2479</v>
      </c>
      <c r="G7" s="3814" t="s">
        <v>3515</v>
      </c>
      <c r="H7" s="3814" t="s">
        <v>3522</v>
      </c>
      <c r="I7" s="3814" t="s">
        <v>3523</v>
      </c>
      <c r="J7" s="3814" t="s">
        <v>3488</v>
      </c>
      <c r="K7" s="3814" t="s">
        <v>3489</v>
      </c>
      <c r="L7" s="3814" t="s">
        <v>3524</v>
      </c>
      <c r="M7" s="3814" t="s">
        <v>3524</v>
      </c>
      <c r="N7" s="3814" t="s">
        <v>3496</v>
      </c>
      <c r="O7" s="3814" t="s">
        <v>3525</v>
      </c>
      <c r="P7" s="3814">
        <v>16583.72</v>
      </c>
      <c r="Q7" s="3814">
        <v>3400</v>
      </c>
      <c r="R7" s="3814" t="s">
        <v>3526</v>
      </c>
      <c r="S7" s="3814">
        <v>16583.72</v>
      </c>
      <c r="T7" s="3814">
        <v>1959</v>
      </c>
      <c r="U7" s="3814">
        <v>0</v>
      </c>
      <c r="V7">
        <f t="shared" si="0"/>
        <v>2350</v>
      </c>
    </row>
    <row r="8" spans="1:28" ht="14.25" hidden="1">
      <c r="A8" s="3814" t="s">
        <v>3527</v>
      </c>
      <c r="B8" s="3814" t="s">
        <v>3418</v>
      </c>
      <c r="C8" s="3814" t="s">
        <v>3528</v>
      </c>
      <c r="D8" s="3814">
        <v>44913.919999999998</v>
      </c>
      <c r="E8" s="3814">
        <v>67370.880000000005</v>
      </c>
      <c r="F8" s="3814" t="s">
        <v>2479</v>
      </c>
      <c r="G8" s="3814" t="s">
        <v>2479</v>
      </c>
      <c r="H8" s="3814">
        <v>20</v>
      </c>
      <c r="I8" s="3814" t="s">
        <v>3487</v>
      </c>
      <c r="J8" s="3814" t="s">
        <v>3529</v>
      </c>
      <c r="K8" s="3814" t="s">
        <v>3489</v>
      </c>
      <c r="L8" s="3814" t="s">
        <v>3530</v>
      </c>
      <c r="M8" s="3814" t="s">
        <v>3530</v>
      </c>
      <c r="N8" s="3814" t="s">
        <v>3496</v>
      </c>
      <c r="O8" s="3814" t="s">
        <v>3531</v>
      </c>
      <c r="P8" s="3814">
        <v>9761.9500000000007</v>
      </c>
      <c r="Q8" s="3814">
        <v>2000</v>
      </c>
      <c r="R8" s="3814" t="s">
        <v>3489</v>
      </c>
      <c r="S8" s="3814">
        <v>9761.9500000000007</v>
      </c>
      <c r="T8" s="3814">
        <v>1449</v>
      </c>
      <c r="U8" s="3814">
        <v>0</v>
      </c>
      <c r="V8">
        <f t="shared" si="0"/>
        <v>2173</v>
      </c>
    </row>
    <row r="9" spans="1:28" ht="14.25" hidden="1">
      <c r="A9" s="3814" t="s">
        <v>3532</v>
      </c>
      <c r="B9" s="3814" t="s">
        <v>3418</v>
      </c>
      <c r="C9" s="3814" t="s">
        <v>3533</v>
      </c>
      <c r="D9" s="3814">
        <v>19400</v>
      </c>
      <c r="E9" s="3814">
        <v>29100</v>
      </c>
      <c r="F9" s="3814" t="s">
        <v>2479</v>
      </c>
      <c r="G9" s="3814" t="s">
        <v>2479</v>
      </c>
      <c r="H9" s="3814">
        <v>20</v>
      </c>
      <c r="I9" s="3814" t="s">
        <v>3487</v>
      </c>
      <c r="J9" s="3814" t="s">
        <v>3529</v>
      </c>
      <c r="K9" s="3814" t="s">
        <v>3489</v>
      </c>
      <c r="L9" s="3814" t="s">
        <v>3534</v>
      </c>
      <c r="M9" s="3814" t="s">
        <v>3534</v>
      </c>
      <c r="N9" s="3814" t="s">
        <v>3496</v>
      </c>
      <c r="O9" s="3814" t="s">
        <v>3535</v>
      </c>
      <c r="P9" s="3814">
        <v>4213.68</v>
      </c>
      <c r="Q9" s="3814">
        <v>850</v>
      </c>
      <c r="R9" s="3814" t="s">
        <v>3489</v>
      </c>
      <c r="S9" s="3814">
        <v>4213.68</v>
      </c>
      <c r="T9" s="3814">
        <v>1448</v>
      </c>
      <c r="U9" s="3814">
        <v>0</v>
      </c>
      <c r="V9">
        <f t="shared" si="0"/>
        <v>2172</v>
      </c>
    </row>
    <row r="10" spans="1:28" ht="14.25" hidden="1">
      <c r="A10" s="3814" t="s">
        <v>3536</v>
      </c>
      <c r="B10" s="3814" t="s">
        <v>3418</v>
      </c>
      <c r="C10" s="3814" t="s">
        <v>3537</v>
      </c>
      <c r="D10" s="3814">
        <v>12867.57</v>
      </c>
      <c r="E10" s="3814">
        <v>12867.57</v>
      </c>
      <c r="F10" s="3814" t="s">
        <v>2479</v>
      </c>
      <c r="G10" s="3814" t="s">
        <v>3538</v>
      </c>
      <c r="H10" s="3814" t="s">
        <v>3486</v>
      </c>
      <c r="I10" s="3814" t="s">
        <v>3539</v>
      </c>
      <c r="J10" s="3814" t="s">
        <v>3488</v>
      </c>
      <c r="K10" s="3814" t="s">
        <v>3489</v>
      </c>
      <c r="L10" s="3814" t="s">
        <v>3540</v>
      </c>
      <c r="M10" s="3814" t="s">
        <v>3489</v>
      </c>
      <c r="N10" s="3814" t="s">
        <v>3541</v>
      </c>
      <c r="O10" s="3814" t="s">
        <v>3489</v>
      </c>
      <c r="P10" s="3814">
        <v>2402.84</v>
      </c>
      <c r="Q10" s="3814">
        <v>500</v>
      </c>
      <c r="R10" s="3814" t="s">
        <v>3542</v>
      </c>
      <c r="S10" s="3814" t="s">
        <v>3489</v>
      </c>
      <c r="T10" s="3814" t="s">
        <v>3489</v>
      </c>
      <c r="U10" s="3814">
        <v>0</v>
      </c>
      <c r="V10" t="e">
        <f t="shared" si="0"/>
        <v>#VALUE!</v>
      </c>
    </row>
    <row r="11" spans="1:28" ht="14.25">
      <c r="A11" s="3814" t="s">
        <v>3543</v>
      </c>
      <c r="B11" s="3814" t="s">
        <v>3418</v>
      </c>
      <c r="C11" s="3814" t="s">
        <v>3544</v>
      </c>
      <c r="D11" s="3814">
        <v>203586.66</v>
      </c>
      <c r="E11" s="3814">
        <v>305379.99</v>
      </c>
      <c r="F11" s="3814" t="s">
        <v>2479</v>
      </c>
      <c r="G11" s="3814" t="s">
        <v>3</v>
      </c>
      <c r="H11" s="3814">
        <v>50</v>
      </c>
      <c r="I11" s="3814" t="s">
        <v>3545</v>
      </c>
      <c r="J11" s="3814" t="s">
        <v>3488</v>
      </c>
      <c r="K11" s="3814" t="s">
        <v>3489</v>
      </c>
      <c r="L11" s="3814" t="s">
        <v>3546</v>
      </c>
      <c r="M11" s="3814" t="s">
        <v>3546</v>
      </c>
      <c r="N11" s="3814" t="s">
        <v>3496</v>
      </c>
      <c r="O11" s="3814" t="s">
        <v>3547</v>
      </c>
      <c r="P11" s="3814">
        <v>36462.370000000003</v>
      </c>
      <c r="Q11" s="3814">
        <v>7300</v>
      </c>
      <c r="R11" s="3814" t="s">
        <v>3548</v>
      </c>
      <c r="S11" s="3814">
        <v>36462.370000000003</v>
      </c>
      <c r="T11" s="3814">
        <v>1194</v>
      </c>
      <c r="U11" s="3814">
        <v>0</v>
      </c>
      <c r="V11">
        <f t="shared" si="0"/>
        <v>1791</v>
      </c>
      <c r="W11">
        <f>T11</f>
        <v>1194</v>
      </c>
      <c r="AA11">
        <f>Z3/AA3</f>
        <v>1.5191322172873247</v>
      </c>
    </row>
    <row r="12" spans="1:28" ht="14.25" hidden="1">
      <c r="A12" s="3814" t="s">
        <v>3549</v>
      </c>
      <c r="B12" s="3814" t="s">
        <v>3418</v>
      </c>
      <c r="C12" s="3814" t="s">
        <v>3550</v>
      </c>
      <c r="D12" s="3814">
        <v>15065.64</v>
      </c>
      <c r="E12" s="3814">
        <v>30131.29</v>
      </c>
      <c r="F12" s="3814" t="s">
        <v>2479</v>
      </c>
      <c r="G12" s="3814" t="s">
        <v>3551</v>
      </c>
      <c r="H12" s="3814" t="s">
        <v>3486</v>
      </c>
      <c r="I12" s="3814" t="s">
        <v>3552</v>
      </c>
      <c r="J12" s="3814" t="s">
        <v>3488</v>
      </c>
      <c r="K12" s="3814" t="s">
        <v>3489</v>
      </c>
      <c r="L12" s="3814" t="s">
        <v>3553</v>
      </c>
      <c r="M12" s="3814" t="s">
        <v>3489</v>
      </c>
      <c r="N12" s="3814" t="s">
        <v>3541</v>
      </c>
      <c r="O12" s="3814" t="s">
        <v>3489</v>
      </c>
      <c r="P12" s="3814">
        <v>3350.77</v>
      </c>
      <c r="Q12" s="3814">
        <v>700</v>
      </c>
      <c r="R12" s="3814" t="s">
        <v>3554</v>
      </c>
      <c r="S12" s="3814" t="s">
        <v>3489</v>
      </c>
      <c r="T12" s="3814" t="s">
        <v>3489</v>
      </c>
      <c r="U12" s="3814">
        <v>0</v>
      </c>
      <c r="V12" t="e">
        <f t="shared" si="0"/>
        <v>#VALUE!</v>
      </c>
    </row>
    <row r="13" spans="1:28" ht="14.25">
      <c r="A13" s="3814" t="s">
        <v>3555</v>
      </c>
      <c r="B13" s="3814" t="s">
        <v>3418</v>
      </c>
      <c r="C13" s="3814" t="s">
        <v>3556</v>
      </c>
      <c r="D13" s="3814">
        <v>16739.310000000001</v>
      </c>
      <c r="E13" s="3814">
        <v>33478.620000000003</v>
      </c>
      <c r="F13" s="3814" t="s">
        <v>2479</v>
      </c>
      <c r="G13" s="3814" t="s">
        <v>3551</v>
      </c>
      <c r="H13" s="3814">
        <v>20</v>
      </c>
      <c r="I13" s="3814" t="s">
        <v>3552</v>
      </c>
      <c r="J13" s="3814" t="s">
        <v>3488</v>
      </c>
      <c r="K13" s="3814" t="s">
        <v>3489</v>
      </c>
      <c r="L13" s="3814" t="s">
        <v>3557</v>
      </c>
      <c r="M13" s="3814" t="s">
        <v>3557</v>
      </c>
      <c r="N13" s="3814" t="s">
        <v>3496</v>
      </c>
      <c r="O13" s="3814" t="s">
        <v>3558</v>
      </c>
      <c r="P13" s="3814">
        <v>3722.94</v>
      </c>
      <c r="Q13" s="3814">
        <v>750</v>
      </c>
      <c r="R13" s="3814" t="s">
        <v>3554</v>
      </c>
      <c r="S13" s="3814">
        <v>3722.94</v>
      </c>
      <c r="T13" s="3814">
        <v>1112</v>
      </c>
      <c r="U13" s="3814">
        <v>0</v>
      </c>
      <c r="V13">
        <f t="shared" si="0"/>
        <v>2224</v>
      </c>
      <c r="W13">
        <f>ROUND(T13*$Z$3/$AA$3,0)</f>
        <v>1689</v>
      </c>
    </row>
    <row r="14" spans="1:28" ht="14.25" hidden="1">
      <c r="A14" s="3814" t="s">
        <v>3559</v>
      </c>
      <c r="B14" s="3814" t="s">
        <v>3418</v>
      </c>
      <c r="C14" s="3814" t="s">
        <v>3560</v>
      </c>
      <c r="D14" s="3814">
        <v>5467.2</v>
      </c>
      <c r="E14" s="3814">
        <v>5467.2</v>
      </c>
      <c r="F14" s="3814" t="s">
        <v>2479</v>
      </c>
      <c r="G14" s="3814" t="s">
        <v>3551</v>
      </c>
      <c r="H14" s="3814">
        <v>20</v>
      </c>
      <c r="I14" s="3814" t="s">
        <v>3539</v>
      </c>
      <c r="J14" s="3814" t="s">
        <v>3488</v>
      </c>
      <c r="K14" s="3814" t="s">
        <v>3489</v>
      </c>
      <c r="L14" s="3814" t="s">
        <v>3561</v>
      </c>
      <c r="M14" s="3814" t="s">
        <v>3561</v>
      </c>
      <c r="N14" s="3814" t="s">
        <v>3496</v>
      </c>
      <c r="O14" s="3814" t="s">
        <v>3562</v>
      </c>
      <c r="P14" s="3814">
        <v>844.63</v>
      </c>
      <c r="Q14" s="3814">
        <v>200</v>
      </c>
      <c r="R14" s="3814" t="s">
        <v>3554</v>
      </c>
      <c r="S14" s="3814">
        <v>844.63</v>
      </c>
      <c r="T14" s="3814">
        <v>1545</v>
      </c>
      <c r="U14" s="3814">
        <v>0</v>
      </c>
      <c r="V14">
        <f t="shared" si="0"/>
        <v>1545</v>
      </c>
    </row>
    <row r="15" spans="1:28" ht="14.25" hidden="1">
      <c r="A15" s="3814" t="s">
        <v>3563</v>
      </c>
      <c r="B15" s="3814" t="s">
        <v>3418</v>
      </c>
      <c r="C15" s="3814" t="s">
        <v>3564</v>
      </c>
      <c r="D15" s="3814">
        <v>5450.05</v>
      </c>
      <c r="E15" s="3814">
        <v>10900.1</v>
      </c>
      <c r="F15" s="3814" t="s">
        <v>2479</v>
      </c>
      <c r="G15" s="3814" t="s">
        <v>2479</v>
      </c>
      <c r="H15" s="3814">
        <v>20</v>
      </c>
      <c r="I15" s="3814" t="s">
        <v>3552</v>
      </c>
      <c r="J15" s="3814" t="s">
        <v>3488</v>
      </c>
      <c r="K15" s="3814" t="s">
        <v>3489</v>
      </c>
      <c r="L15" s="3814" t="s">
        <v>3565</v>
      </c>
      <c r="M15" s="3814" t="s">
        <v>3565</v>
      </c>
      <c r="N15" s="3814" t="s">
        <v>3496</v>
      </c>
      <c r="O15" s="3814" t="s">
        <v>3566</v>
      </c>
      <c r="P15" s="3814">
        <v>1115.02</v>
      </c>
      <c r="Q15" s="3814">
        <v>230</v>
      </c>
      <c r="R15" s="3814" t="s">
        <v>3554</v>
      </c>
      <c r="S15" s="3814">
        <v>1115.02</v>
      </c>
      <c r="T15" s="3814">
        <v>1023</v>
      </c>
      <c r="U15" s="3814">
        <v>0</v>
      </c>
      <c r="V15">
        <f t="shared" si="0"/>
        <v>2046</v>
      </c>
    </row>
    <row r="16" spans="1:28" ht="14.25">
      <c r="A16" s="3814" t="s">
        <v>3567</v>
      </c>
      <c r="B16" s="3814" t="s">
        <v>3418</v>
      </c>
      <c r="C16" s="3814" t="s">
        <v>3568</v>
      </c>
      <c r="D16" s="3814">
        <v>260416.91</v>
      </c>
      <c r="E16" s="3814">
        <v>260416.91</v>
      </c>
      <c r="F16" s="3814" t="s">
        <v>2479</v>
      </c>
      <c r="G16" s="3814" t="s">
        <v>3569</v>
      </c>
      <c r="H16" s="3814">
        <v>20</v>
      </c>
      <c r="I16" s="3814" t="s">
        <v>3570</v>
      </c>
      <c r="J16" s="3814" t="s">
        <v>3488</v>
      </c>
      <c r="K16" s="3814" t="s">
        <v>3489</v>
      </c>
      <c r="L16" s="3814" t="s">
        <v>3546</v>
      </c>
      <c r="M16" s="3814" t="s">
        <v>3546</v>
      </c>
      <c r="N16" s="3814" t="s">
        <v>3496</v>
      </c>
      <c r="O16" s="3814" t="s">
        <v>3571</v>
      </c>
      <c r="P16" s="3814">
        <v>22500.02</v>
      </c>
      <c r="Q16" s="3814">
        <v>5625.01</v>
      </c>
      <c r="R16" s="3814" t="s">
        <v>3572</v>
      </c>
      <c r="S16" s="3814">
        <v>22500.02</v>
      </c>
      <c r="T16" s="3814">
        <v>864</v>
      </c>
      <c r="U16" s="3814">
        <v>0</v>
      </c>
      <c r="V16">
        <f t="shared" si="0"/>
        <v>864</v>
      </c>
      <c r="W16">
        <f t="shared" ref="W16:W17" si="1">ROUND(T16*$Z$3/$AA$3,0)</f>
        <v>1313</v>
      </c>
    </row>
    <row r="17" spans="1:23" ht="14.25">
      <c r="A17" s="3814" t="s">
        <v>3573</v>
      </c>
      <c r="B17" s="3814" t="s">
        <v>3418</v>
      </c>
      <c r="C17" s="3814" t="s">
        <v>3574</v>
      </c>
      <c r="D17" s="3814">
        <v>17549.900000000001</v>
      </c>
      <c r="E17" s="3814">
        <v>17549.900000000001</v>
      </c>
      <c r="F17" s="3814" t="s">
        <v>2479</v>
      </c>
      <c r="G17" s="3814" t="s">
        <v>3575</v>
      </c>
      <c r="H17" s="3814">
        <v>20</v>
      </c>
      <c r="I17" s="3814" t="s">
        <v>3501</v>
      </c>
      <c r="J17" s="3814" t="s">
        <v>3488</v>
      </c>
      <c r="K17" s="3814" t="s">
        <v>3489</v>
      </c>
      <c r="L17" s="3814" t="s">
        <v>3576</v>
      </c>
      <c r="M17" s="3814" t="s">
        <v>3576</v>
      </c>
      <c r="N17" s="3814" t="s">
        <v>3496</v>
      </c>
      <c r="O17" s="3814" t="s">
        <v>3577</v>
      </c>
      <c r="P17" s="3814">
        <v>2100.7199999999998</v>
      </c>
      <c r="Q17" s="3814">
        <v>430</v>
      </c>
      <c r="R17" s="3814" t="s">
        <v>3578</v>
      </c>
      <c r="S17" s="3814">
        <v>2100.7199999999998</v>
      </c>
      <c r="T17" s="3814">
        <v>1197</v>
      </c>
      <c r="U17" s="3814">
        <v>0</v>
      </c>
      <c r="V17">
        <f t="shared" si="0"/>
        <v>1197</v>
      </c>
      <c r="W17">
        <f t="shared" si="1"/>
        <v>1818</v>
      </c>
    </row>
    <row r="18" spans="1:23" ht="14.25" hidden="1">
      <c r="A18" s="3814" t="s">
        <v>3579</v>
      </c>
      <c r="B18" s="3814" t="s">
        <v>3418</v>
      </c>
      <c r="C18" s="3814" t="s">
        <v>3580</v>
      </c>
      <c r="D18" s="3814">
        <v>94224.99</v>
      </c>
      <c r="E18" s="3814">
        <v>113069.98</v>
      </c>
      <c r="F18" s="3814" t="s">
        <v>2479</v>
      </c>
      <c r="G18" s="3814" t="s">
        <v>3515</v>
      </c>
      <c r="H18" s="3814" t="s">
        <v>3486</v>
      </c>
      <c r="I18" s="3814" t="s">
        <v>3523</v>
      </c>
      <c r="J18" s="3814" t="s">
        <v>3488</v>
      </c>
      <c r="K18" s="3814" t="s">
        <v>3489</v>
      </c>
      <c r="L18" s="3814" t="s">
        <v>3581</v>
      </c>
      <c r="M18" s="3814" t="s">
        <v>3489</v>
      </c>
      <c r="N18" s="3814" t="s">
        <v>3541</v>
      </c>
      <c r="O18" s="3814" t="s">
        <v>3489</v>
      </c>
      <c r="P18" s="3814">
        <v>22114.66</v>
      </c>
      <c r="Q18" s="3814">
        <v>4500</v>
      </c>
      <c r="R18" s="3814" t="s">
        <v>3582</v>
      </c>
      <c r="S18" s="3814" t="s">
        <v>3489</v>
      </c>
      <c r="T18" s="3814" t="s">
        <v>3489</v>
      </c>
      <c r="U18" s="3814">
        <v>0</v>
      </c>
      <c r="V18" t="e">
        <f t="shared" si="0"/>
        <v>#VALUE!</v>
      </c>
    </row>
    <row r="19" spans="1:23" s="3472" customFormat="1" ht="14.25">
      <c r="A19" s="3815" t="s">
        <v>3583</v>
      </c>
      <c r="B19" s="3815" t="s">
        <v>3418</v>
      </c>
      <c r="C19" s="3815" t="s">
        <v>3584</v>
      </c>
      <c r="D19" s="3815">
        <v>72656</v>
      </c>
      <c r="E19" s="3815">
        <v>145312</v>
      </c>
      <c r="F19" s="3815" t="s">
        <v>2479</v>
      </c>
      <c r="G19" s="3815" t="s">
        <v>3585</v>
      </c>
      <c r="H19" s="3815" t="s">
        <v>3486</v>
      </c>
      <c r="I19" s="3815" t="s">
        <v>3586</v>
      </c>
      <c r="J19" s="3815" t="s">
        <v>3488</v>
      </c>
      <c r="K19" s="3815" t="s">
        <v>3489</v>
      </c>
      <c r="L19" s="3815" t="s">
        <v>3587</v>
      </c>
      <c r="M19" s="3815" t="s">
        <v>3587</v>
      </c>
      <c r="N19" s="3815" t="s">
        <v>3496</v>
      </c>
      <c r="O19" s="3815" t="s">
        <v>3588</v>
      </c>
      <c r="P19" s="3815">
        <v>19181.18</v>
      </c>
      <c r="Q19" s="3815">
        <v>4795.3</v>
      </c>
      <c r="R19" s="3815" t="s">
        <v>3489</v>
      </c>
      <c r="S19" s="3815">
        <v>19181.18</v>
      </c>
      <c r="T19" s="3815">
        <v>1320</v>
      </c>
      <c r="U19" s="3815">
        <v>0</v>
      </c>
      <c r="V19" s="3472">
        <f>ROUND(S19/D19*10000,0)</f>
        <v>2640</v>
      </c>
      <c r="W19" s="3472">
        <f>ROUND(T19*$Z$3/$AA$3,0)</f>
        <v>2005</v>
      </c>
    </row>
    <row r="20" spans="1:23" ht="14.25" hidden="1">
      <c r="A20" s="3814" t="s">
        <v>3589</v>
      </c>
      <c r="B20" s="3814" t="s">
        <v>3418</v>
      </c>
      <c r="C20" s="3814" t="s">
        <v>3590</v>
      </c>
      <c r="D20" s="3814">
        <v>10412.049999999999</v>
      </c>
      <c r="E20" s="3814">
        <v>10412.049999999999</v>
      </c>
      <c r="F20" s="3814" t="s">
        <v>2479</v>
      </c>
      <c r="G20" s="3814" t="s">
        <v>3</v>
      </c>
      <c r="H20" s="3814" t="s">
        <v>3486</v>
      </c>
      <c r="I20" s="3814" t="s">
        <v>3591</v>
      </c>
      <c r="J20" s="3814" t="s">
        <v>3488</v>
      </c>
      <c r="K20" s="3814" t="s">
        <v>3489</v>
      </c>
      <c r="L20" s="3814" t="s">
        <v>3592</v>
      </c>
      <c r="M20" s="3814" t="s">
        <v>3489</v>
      </c>
      <c r="N20" s="3814" t="s">
        <v>3541</v>
      </c>
      <c r="O20" s="3814" t="s">
        <v>3489</v>
      </c>
      <c r="P20" s="3814">
        <v>864.2</v>
      </c>
      <c r="Q20" s="3814">
        <v>216.05</v>
      </c>
      <c r="R20" s="3814" t="s">
        <v>3593</v>
      </c>
      <c r="S20" s="3814" t="s">
        <v>3489</v>
      </c>
      <c r="T20" s="3814" t="s">
        <v>3489</v>
      </c>
      <c r="U20" s="3814">
        <v>0</v>
      </c>
      <c r="V20" t="e">
        <f t="shared" si="0"/>
        <v>#VALUE!</v>
      </c>
    </row>
    <row r="21" spans="1:23" ht="14.25" hidden="1">
      <c r="A21" s="3814" t="s">
        <v>3594</v>
      </c>
      <c r="B21" s="3814" t="s">
        <v>3418</v>
      </c>
      <c r="C21" s="3814" t="s">
        <v>3595</v>
      </c>
      <c r="D21" s="3814">
        <v>16968</v>
      </c>
      <c r="E21" s="3814">
        <v>40904</v>
      </c>
      <c r="F21" s="3814" t="s">
        <v>2479</v>
      </c>
      <c r="G21" s="3814" t="s">
        <v>3596</v>
      </c>
      <c r="H21" s="3814" t="s">
        <v>3486</v>
      </c>
      <c r="I21" s="3814" t="s">
        <v>3597</v>
      </c>
      <c r="J21" s="3814" t="s">
        <v>3488</v>
      </c>
      <c r="K21" s="3814" t="s">
        <v>3489</v>
      </c>
      <c r="L21" s="3814" t="s">
        <v>3598</v>
      </c>
      <c r="M21" s="3814" t="s">
        <v>3598</v>
      </c>
      <c r="N21" s="3814" t="s">
        <v>3496</v>
      </c>
      <c r="O21" s="3814" t="s">
        <v>3599</v>
      </c>
      <c r="P21" s="3814">
        <v>7041.48</v>
      </c>
      <c r="Q21" s="3814">
        <v>1760.37</v>
      </c>
      <c r="R21" s="3814" t="s">
        <v>3600</v>
      </c>
      <c r="S21" s="3814">
        <v>7041.48</v>
      </c>
      <c r="T21" s="3814">
        <v>1721</v>
      </c>
      <c r="U21" s="3814">
        <v>0</v>
      </c>
      <c r="V21">
        <f t="shared" si="0"/>
        <v>4150</v>
      </c>
    </row>
    <row r="22" spans="1:23" ht="14.25">
      <c r="A22" s="3814" t="s">
        <v>3601</v>
      </c>
      <c r="B22" s="3814" t="s">
        <v>3418</v>
      </c>
      <c r="C22" s="3814" t="s">
        <v>3602</v>
      </c>
      <c r="D22" s="3814">
        <v>14975.1</v>
      </c>
      <c r="E22" s="3814">
        <v>22462.65</v>
      </c>
      <c r="F22" s="3814" t="s">
        <v>2479</v>
      </c>
      <c r="G22" s="3814" t="s">
        <v>3</v>
      </c>
      <c r="H22" s="3814" t="s">
        <v>3486</v>
      </c>
      <c r="I22" s="3814" t="s">
        <v>3487</v>
      </c>
      <c r="J22" s="3814" t="s">
        <v>3488</v>
      </c>
      <c r="K22" s="3814" t="s">
        <v>3489</v>
      </c>
      <c r="L22" s="3814" t="s">
        <v>3603</v>
      </c>
      <c r="M22" s="3814" t="s">
        <v>3603</v>
      </c>
      <c r="N22" s="3814" t="s">
        <v>3496</v>
      </c>
      <c r="O22" s="3814" t="s">
        <v>3604</v>
      </c>
      <c r="P22" s="3814">
        <v>1682.45</v>
      </c>
      <c r="Q22" s="3814">
        <v>420.61</v>
      </c>
      <c r="R22" s="3814" t="s">
        <v>3605</v>
      </c>
      <c r="S22" s="3814">
        <v>1682.45</v>
      </c>
      <c r="T22" s="3814">
        <v>749</v>
      </c>
      <c r="U22" s="3814">
        <v>0</v>
      </c>
      <c r="V22">
        <f t="shared" si="0"/>
        <v>1123</v>
      </c>
      <c r="W22">
        <f>ROUND(T22*$Z$3/$AA$3,0)</f>
        <v>1138</v>
      </c>
    </row>
    <row r="23" spans="1:23" ht="14.25" hidden="1">
      <c r="A23" s="3814" t="s">
        <v>3606</v>
      </c>
      <c r="B23" s="3814" t="s">
        <v>3418</v>
      </c>
      <c r="C23" s="3814" t="s">
        <v>3607</v>
      </c>
      <c r="D23" s="3814">
        <v>74702.7</v>
      </c>
      <c r="E23" s="3814">
        <v>110253.98</v>
      </c>
      <c r="F23" s="3814" t="s">
        <v>2479</v>
      </c>
      <c r="G23" s="3814" t="s">
        <v>3608</v>
      </c>
      <c r="H23" s="3814" t="s">
        <v>3486</v>
      </c>
      <c r="I23" s="3814" t="s">
        <v>3609</v>
      </c>
      <c r="J23" s="3814" t="s">
        <v>3488</v>
      </c>
      <c r="K23" s="3814" t="s">
        <v>3489</v>
      </c>
      <c r="L23" s="3814" t="s">
        <v>3610</v>
      </c>
      <c r="M23" s="3814" t="s">
        <v>3610</v>
      </c>
      <c r="N23" s="3814" t="s">
        <v>3496</v>
      </c>
      <c r="O23" s="3814" t="s">
        <v>3611</v>
      </c>
      <c r="P23" s="3814">
        <v>16910.09</v>
      </c>
      <c r="Q23" s="3814">
        <v>3400</v>
      </c>
      <c r="R23" s="3814" t="s">
        <v>3612</v>
      </c>
      <c r="S23" s="3814">
        <v>16910.09</v>
      </c>
      <c r="T23" s="3814">
        <v>1534</v>
      </c>
      <c r="U23" s="3814">
        <v>0</v>
      </c>
      <c r="V23">
        <f t="shared" si="0"/>
        <v>2264</v>
      </c>
    </row>
    <row r="24" spans="1:23" ht="14.25">
      <c r="A24" s="3814" t="s">
        <v>3613</v>
      </c>
      <c r="B24" s="3814" t="s">
        <v>3418</v>
      </c>
      <c r="C24" s="3814" t="s">
        <v>3614</v>
      </c>
      <c r="D24" s="3814">
        <v>26178.400000000001</v>
      </c>
      <c r="E24" s="3814">
        <v>52356.800000000003</v>
      </c>
      <c r="F24" s="3814" t="s">
        <v>2479</v>
      </c>
      <c r="G24" s="3814" t="s">
        <v>3</v>
      </c>
      <c r="H24" s="3814" t="s">
        <v>3486</v>
      </c>
      <c r="I24" s="3814" t="s">
        <v>3552</v>
      </c>
      <c r="J24" s="3814" t="s">
        <v>3488</v>
      </c>
      <c r="K24" s="3814" t="s">
        <v>3489</v>
      </c>
      <c r="L24" s="3814" t="s">
        <v>3615</v>
      </c>
      <c r="M24" s="3814" t="s">
        <v>3615</v>
      </c>
      <c r="N24" s="3814" t="s">
        <v>3496</v>
      </c>
      <c r="O24" s="3814" t="s">
        <v>3616</v>
      </c>
      <c r="P24" s="3814">
        <v>3413.66</v>
      </c>
      <c r="Q24" s="3814">
        <v>853.42</v>
      </c>
      <c r="R24" s="3814" t="s">
        <v>3617</v>
      </c>
      <c r="S24" s="3814">
        <v>3413.66</v>
      </c>
      <c r="T24" s="3814">
        <v>652</v>
      </c>
      <c r="U24" s="3814">
        <v>0</v>
      </c>
      <c r="V24">
        <f t="shared" si="0"/>
        <v>1304</v>
      </c>
      <c r="W24">
        <f t="shared" ref="W24:W26" si="2">ROUND(T24*$Z$3/$AA$3,0)</f>
        <v>990</v>
      </c>
    </row>
    <row r="25" spans="1:23" ht="14.25">
      <c r="A25" s="3814" t="s">
        <v>3618</v>
      </c>
      <c r="B25" s="3814" t="s">
        <v>3418</v>
      </c>
      <c r="C25" s="3814" t="s">
        <v>3619</v>
      </c>
      <c r="D25" s="3814">
        <v>14078.7</v>
      </c>
      <c r="E25" s="3814">
        <v>28157.4</v>
      </c>
      <c r="F25" s="3814" t="s">
        <v>2479</v>
      </c>
      <c r="G25" s="3814" t="s">
        <v>3</v>
      </c>
      <c r="H25" s="3814" t="s">
        <v>3486</v>
      </c>
      <c r="I25" s="3814" t="s">
        <v>3552</v>
      </c>
      <c r="J25" s="3814" t="s">
        <v>3488</v>
      </c>
      <c r="K25" s="3814" t="s">
        <v>3489</v>
      </c>
      <c r="L25" s="3814" t="s">
        <v>3620</v>
      </c>
      <c r="M25" s="3814" t="s">
        <v>3620</v>
      </c>
      <c r="N25" s="3814" t="s">
        <v>3496</v>
      </c>
      <c r="O25" s="3814" t="s">
        <v>3621</v>
      </c>
      <c r="P25" s="3814">
        <v>2044.23</v>
      </c>
      <c r="Q25" s="3814">
        <v>511.06</v>
      </c>
      <c r="R25" s="3814" t="s">
        <v>3622</v>
      </c>
      <c r="S25" s="3814">
        <v>2044.23</v>
      </c>
      <c r="T25" s="3814">
        <v>726</v>
      </c>
      <c r="U25" s="3814">
        <v>0</v>
      </c>
      <c r="V25">
        <f t="shared" si="0"/>
        <v>1452</v>
      </c>
      <c r="W25">
        <f t="shared" si="2"/>
        <v>1103</v>
      </c>
    </row>
    <row r="26" spans="1:23" ht="14.25">
      <c r="A26" s="3814" t="s">
        <v>3623</v>
      </c>
      <c r="B26" s="3814" t="s">
        <v>3418</v>
      </c>
      <c r="C26" s="3814" t="s">
        <v>3624</v>
      </c>
      <c r="D26" s="3814">
        <v>20278.599999999999</v>
      </c>
      <c r="E26" s="3814">
        <v>50696.5</v>
      </c>
      <c r="F26" s="3814" t="s">
        <v>2479</v>
      </c>
      <c r="G26" s="3814" t="s">
        <v>3625</v>
      </c>
      <c r="H26" s="3814" t="s">
        <v>3486</v>
      </c>
      <c r="I26" s="3814" t="s">
        <v>3597</v>
      </c>
      <c r="J26" s="3814" t="s">
        <v>3488</v>
      </c>
      <c r="K26" s="3814" t="s">
        <v>3489</v>
      </c>
      <c r="L26" s="3814" t="s">
        <v>3626</v>
      </c>
      <c r="M26" s="3814" t="s">
        <v>3626</v>
      </c>
      <c r="N26" s="3814" t="s">
        <v>3496</v>
      </c>
      <c r="O26" s="3814" t="s">
        <v>3627</v>
      </c>
      <c r="P26" s="3814">
        <v>2975.88</v>
      </c>
      <c r="Q26" s="3814">
        <v>743.97</v>
      </c>
      <c r="R26" s="3814" t="s">
        <v>3628</v>
      </c>
      <c r="S26" s="3814">
        <v>2975.88</v>
      </c>
      <c r="T26" s="3814">
        <v>587</v>
      </c>
      <c r="U26" s="3814">
        <v>0</v>
      </c>
      <c r="V26">
        <f t="shared" si="0"/>
        <v>1467</v>
      </c>
      <c r="W26">
        <f t="shared" si="2"/>
        <v>892</v>
      </c>
    </row>
    <row r="27" spans="1:23" ht="14.25" hidden="1">
      <c r="A27" s="3814" t="s">
        <v>3629</v>
      </c>
      <c r="B27" s="3814" t="s">
        <v>3418</v>
      </c>
      <c r="C27" s="3814" t="s">
        <v>3630</v>
      </c>
      <c r="D27" s="3814">
        <v>52522.559999999998</v>
      </c>
      <c r="E27" s="3814">
        <v>78783.839999999997</v>
      </c>
      <c r="F27" s="3814" t="s">
        <v>2479</v>
      </c>
      <c r="G27" s="3814" t="s">
        <v>3631</v>
      </c>
      <c r="H27" s="3814" t="s">
        <v>3486</v>
      </c>
      <c r="I27" s="3814" t="s">
        <v>3487</v>
      </c>
      <c r="J27" s="3814" t="s">
        <v>3488</v>
      </c>
      <c r="K27" s="3814" t="s">
        <v>3489</v>
      </c>
      <c r="L27" s="3814" t="s">
        <v>3632</v>
      </c>
      <c r="M27" s="3814" t="s">
        <v>3632</v>
      </c>
      <c r="N27" s="3814" t="s">
        <v>3496</v>
      </c>
      <c r="O27" s="3814" t="s">
        <v>3633</v>
      </c>
      <c r="P27" s="3814">
        <v>9585.85</v>
      </c>
      <c r="Q27" s="3814">
        <v>1900</v>
      </c>
      <c r="R27" s="3814" t="s">
        <v>3634</v>
      </c>
      <c r="S27" s="3814">
        <v>9585.85</v>
      </c>
      <c r="T27" s="3814">
        <v>1217</v>
      </c>
      <c r="U27" s="3814">
        <v>0</v>
      </c>
      <c r="V27">
        <f t="shared" si="0"/>
        <v>1825</v>
      </c>
    </row>
    <row r="28" spans="1:23" ht="14.25">
      <c r="A28" s="3814" t="s">
        <v>3635</v>
      </c>
      <c r="B28" s="3814" t="s">
        <v>3418</v>
      </c>
      <c r="C28" s="3814" t="s">
        <v>3636</v>
      </c>
      <c r="D28" s="3814">
        <v>20292</v>
      </c>
      <c r="E28" s="3814">
        <v>40584</v>
      </c>
      <c r="F28" s="3814" t="s">
        <v>2479</v>
      </c>
      <c r="G28" s="3814" t="s">
        <v>3625</v>
      </c>
      <c r="H28" s="3814" t="s">
        <v>3486</v>
      </c>
      <c r="I28" s="3814" t="s">
        <v>3637</v>
      </c>
      <c r="J28" s="3814" t="s">
        <v>3488</v>
      </c>
      <c r="K28" s="3814" t="s">
        <v>3489</v>
      </c>
      <c r="L28" s="3814" t="s">
        <v>3638</v>
      </c>
      <c r="M28" s="3814" t="s">
        <v>3638</v>
      </c>
      <c r="N28" s="3814" t="s">
        <v>3496</v>
      </c>
      <c r="O28" s="3814" t="s">
        <v>3639</v>
      </c>
      <c r="P28" s="3814">
        <v>2317.35</v>
      </c>
      <c r="Q28" s="3814">
        <v>579.34</v>
      </c>
      <c r="R28" s="3814" t="s">
        <v>3640</v>
      </c>
      <c r="S28" s="3814">
        <v>2317.35</v>
      </c>
      <c r="T28" s="3814">
        <v>571</v>
      </c>
      <c r="U28" s="3814">
        <v>0</v>
      </c>
      <c r="V28">
        <f t="shared" si="0"/>
        <v>1142</v>
      </c>
      <c r="W28">
        <f t="shared" ref="W28:W34" si="3">ROUND(T28*$Z$3/$AA$3,0)</f>
        <v>867</v>
      </c>
    </row>
    <row r="29" spans="1:23" ht="14.25">
      <c r="A29" s="3814" t="s">
        <v>3641</v>
      </c>
      <c r="B29" s="3814" t="s">
        <v>3418</v>
      </c>
      <c r="C29" s="3814" t="s">
        <v>3642</v>
      </c>
      <c r="D29" s="3814">
        <v>24855</v>
      </c>
      <c r="E29" s="3814">
        <v>37282.5</v>
      </c>
      <c r="F29" s="3814" t="s">
        <v>2479</v>
      </c>
      <c r="G29" s="3814" t="s">
        <v>3</v>
      </c>
      <c r="H29" s="3814" t="s">
        <v>3486</v>
      </c>
      <c r="I29" s="3814" t="s">
        <v>3643</v>
      </c>
      <c r="J29" s="3814" t="s">
        <v>3488</v>
      </c>
      <c r="K29" s="3814" t="s">
        <v>3489</v>
      </c>
      <c r="L29" s="3814" t="s">
        <v>3644</v>
      </c>
      <c r="M29" s="3814" t="s">
        <v>3644</v>
      </c>
      <c r="N29" s="3814" t="s">
        <v>3496</v>
      </c>
      <c r="O29" s="3814" t="s">
        <v>3645</v>
      </c>
      <c r="P29" s="3814">
        <v>2128.83</v>
      </c>
      <c r="Q29" s="3814">
        <v>532.21</v>
      </c>
      <c r="R29" s="3814" t="s">
        <v>3646</v>
      </c>
      <c r="S29" s="3814">
        <v>2128.83</v>
      </c>
      <c r="T29" s="3814">
        <v>571</v>
      </c>
      <c r="U29" s="3814">
        <v>0</v>
      </c>
      <c r="V29">
        <f t="shared" si="0"/>
        <v>856</v>
      </c>
      <c r="W29">
        <f t="shared" si="3"/>
        <v>867</v>
      </c>
    </row>
    <row r="30" spans="1:23" ht="14.25">
      <c r="A30" s="3814" t="s">
        <v>3647</v>
      </c>
      <c r="B30" s="3814" t="s">
        <v>3418</v>
      </c>
      <c r="C30" s="3814" t="s">
        <v>3648</v>
      </c>
      <c r="D30" s="3814">
        <v>25945.1</v>
      </c>
      <c r="E30" s="3814">
        <v>38917.65</v>
      </c>
      <c r="F30" s="3814" t="s">
        <v>2479</v>
      </c>
      <c r="G30" s="3814" t="s">
        <v>3</v>
      </c>
      <c r="H30" s="3814" t="s">
        <v>3486</v>
      </c>
      <c r="I30" s="3814" t="s">
        <v>3487</v>
      </c>
      <c r="J30" s="3814" t="s">
        <v>3488</v>
      </c>
      <c r="K30" s="3814" t="s">
        <v>3489</v>
      </c>
      <c r="L30" s="3814" t="s">
        <v>3644</v>
      </c>
      <c r="M30" s="3814" t="s">
        <v>3644</v>
      </c>
      <c r="N30" s="3814" t="s">
        <v>3496</v>
      </c>
      <c r="O30" s="3814" t="s">
        <v>3649</v>
      </c>
      <c r="P30" s="3814">
        <v>2222.1999999999998</v>
      </c>
      <c r="Q30" s="3814">
        <v>555.54999999999995</v>
      </c>
      <c r="R30" s="3814" t="s">
        <v>3646</v>
      </c>
      <c r="S30" s="3814">
        <v>2222.1999999999998</v>
      </c>
      <c r="T30" s="3814">
        <v>571</v>
      </c>
      <c r="U30" s="3814">
        <v>0</v>
      </c>
      <c r="V30">
        <f t="shared" si="0"/>
        <v>857</v>
      </c>
      <c r="W30">
        <f t="shared" si="3"/>
        <v>867</v>
      </c>
    </row>
    <row r="31" spans="1:23" ht="14.25">
      <c r="A31" s="3814" t="s">
        <v>3650</v>
      </c>
      <c r="B31" s="3814" t="s">
        <v>3418</v>
      </c>
      <c r="C31" s="3814" t="s">
        <v>3651</v>
      </c>
      <c r="D31" s="3814">
        <v>22492.5</v>
      </c>
      <c r="E31" s="3814">
        <v>33738.75</v>
      </c>
      <c r="F31" s="3814" t="s">
        <v>2479</v>
      </c>
      <c r="G31" s="3814" t="s">
        <v>3</v>
      </c>
      <c r="H31" s="3814" t="s">
        <v>3486</v>
      </c>
      <c r="I31" s="3814" t="s">
        <v>3643</v>
      </c>
      <c r="J31" s="3814" t="s">
        <v>3488</v>
      </c>
      <c r="K31" s="3814" t="s">
        <v>3489</v>
      </c>
      <c r="L31" s="3814" t="s">
        <v>3652</v>
      </c>
      <c r="M31" s="3814" t="s">
        <v>3652</v>
      </c>
      <c r="N31" s="3814" t="s">
        <v>3496</v>
      </c>
      <c r="O31" s="3814" t="s">
        <v>3653</v>
      </c>
      <c r="P31" s="3814" t="s">
        <v>3489</v>
      </c>
      <c r="Q31" s="3814">
        <v>481.62</v>
      </c>
      <c r="R31" s="3814" t="s">
        <v>3489</v>
      </c>
      <c r="S31" s="3814">
        <v>1926.48</v>
      </c>
      <c r="T31" s="3814">
        <v>571</v>
      </c>
      <c r="U31" s="3814">
        <v>0</v>
      </c>
      <c r="V31">
        <f t="shared" si="0"/>
        <v>856</v>
      </c>
      <c r="W31">
        <f t="shared" si="3"/>
        <v>867</v>
      </c>
    </row>
    <row r="32" spans="1:23" ht="14.25">
      <c r="A32" s="3814" t="s">
        <v>3654</v>
      </c>
      <c r="B32" s="3814" t="s">
        <v>3418</v>
      </c>
      <c r="C32" s="3814" t="s">
        <v>3655</v>
      </c>
      <c r="D32" s="3814">
        <v>37965.22</v>
      </c>
      <c r="E32" s="3814">
        <v>75930.44</v>
      </c>
      <c r="F32" s="3814" t="s">
        <v>2479</v>
      </c>
      <c r="G32" s="3814" t="s">
        <v>3</v>
      </c>
      <c r="H32" s="3814" t="s">
        <v>3486</v>
      </c>
      <c r="I32" s="3814" t="s">
        <v>3552</v>
      </c>
      <c r="J32" s="3814" t="s">
        <v>3488</v>
      </c>
      <c r="K32" s="3814" t="s">
        <v>3489</v>
      </c>
      <c r="L32" s="3814" t="s">
        <v>3656</v>
      </c>
      <c r="M32" s="3814" t="s">
        <v>3656</v>
      </c>
      <c r="N32" s="3814" t="s">
        <v>3496</v>
      </c>
      <c r="O32" s="3814" t="s">
        <v>3657</v>
      </c>
      <c r="P32" s="3814">
        <v>4457.12</v>
      </c>
      <c r="Q32" s="3814">
        <v>1114.28</v>
      </c>
      <c r="R32" s="3814" t="s">
        <v>3658</v>
      </c>
      <c r="S32" s="3814">
        <v>4457.12</v>
      </c>
      <c r="T32" s="3814">
        <v>587</v>
      </c>
      <c r="U32" s="3814">
        <v>0</v>
      </c>
      <c r="V32">
        <f t="shared" si="0"/>
        <v>1174</v>
      </c>
      <c r="W32">
        <f t="shared" si="3"/>
        <v>892</v>
      </c>
    </row>
    <row r="33" spans="1:23" ht="14.25">
      <c r="A33" s="3814" t="s">
        <v>3659</v>
      </c>
      <c r="B33" s="3814" t="s">
        <v>3418</v>
      </c>
      <c r="C33" s="3814" t="s">
        <v>3660</v>
      </c>
      <c r="D33" s="3814">
        <v>6837.8</v>
      </c>
      <c r="E33" s="3814">
        <v>5470.24</v>
      </c>
      <c r="F33" s="3814" t="s">
        <v>2479</v>
      </c>
      <c r="G33" s="3814" t="s">
        <v>3661</v>
      </c>
      <c r="H33" s="3814" t="s">
        <v>3486</v>
      </c>
      <c r="I33" s="3814" t="s">
        <v>3662</v>
      </c>
      <c r="J33" s="3814" t="s">
        <v>3488</v>
      </c>
      <c r="K33" s="3814" t="s">
        <v>3489</v>
      </c>
      <c r="L33" s="3814" t="s">
        <v>3663</v>
      </c>
      <c r="M33" s="3814" t="s">
        <v>3663</v>
      </c>
      <c r="N33" s="3814" t="s">
        <v>3496</v>
      </c>
      <c r="O33" s="3814" t="s">
        <v>3664</v>
      </c>
      <c r="P33" s="3814">
        <v>496.42</v>
      </c>
      <c r="Q33" s="3814">
        <v>124.11</v>
      </c>
      <c r="R33" s="3814" t="s">
        <v>3665</v>
      </c>
      <c r="S33" s="3814">
        <v>496.42</v>
      </c>
      <c r="T33" s="3814">
        <v>907</v>
      </c>
      <c r="U33" s="3814">
        <v>0</v>
      </c>
      <c r="V33">
        <f t="shared" si="0"/>
        <v>726</v>
      </c>
      <c r="W33">
        <f t="shared" si="3"/>
        <v>1378</v>
      </c>
    </row>
    <row r="34" spans="1:23" ht="14.25">
      <c r="A34" s="3814" t="s">
        <v>3666</v>
      </c>
      <c r="B34" s="3814" t="s">
        <v>3418</v>
      </c>
      <c r="C34" s="3814" t="s">
        <v>3667</v>
      </c>
      <c r="D34" s="3814">
        <v>420642.53</v>
      </c>
      <c r="E34" s="3814">
        <v>841285.06</v>
      </c>
      <c r="F34" s="3814" t="s">
        <v>2479</v>
      </c>
      <c r="G34" s="3814" t="s">
        <v>2479</v>
      </c>
      <c r="H34" s="3814" t="s">
        <v>3486</v>
      </c>
      <c r="I34" s="3814" t="s">
        <v>3668</v>
      </c>
      <c r="J34" s="3814" t="s">
        <v>3488</v>
      </c>
      <c r="K34" s="3814" t="s">
        <v>3489</v>
      </c>
      <c r="L34" s="3814" t="s">
        <v>3669</v>
      </c>
      <c r="M34" s="3814" t="s">
        <v>3669</v>
      </c>
      <c r="N34" s="3814" t="s">
        <v>3496</v>
      </c>
      <c r="O34" s="3814" t="s">
        <v>3670</v>
      </c>
      <c r="P34" s="3814">
        <v>49383.43</v>
      </c>
      <c r="Q34" s="3814">
        <v>9900</v>
      </c>
      <c r="R34" s="3814" t="s">
        <v>3489</v>
      </c>
      <c r="S34" s="3814">
        <v>49383.43</v>
      </c>
      <c r="T34" s="3814">
        <v>587</v>
      </c>
      <c r="U34" s="3814">
        <v>0</v>
      </c>
      <c r="V34">
        <f t="shared" si="0"/>
        <v>1174</v>
      </c>
      <c r="W34">
        <f t="shared" si="3"/>
        <v>892</v>
      </c>
    </row>
    <row r="35" spans="1:23" s="3472" customFormat="1" ht="14.25" hidden="1">
      <c r="A35" s="3815" t="s">
        <v>3671</v>
      </c>
      <c r="B35" s="3815" t="s">
        <v>3418</v>
      </c>
      <c r="C35" s="3815" t="s">
        <v>3672</v>
      </c>
      <c r="D35" s="3815">
        <v>15343</v>
      </c>
      <c r="E35" s="3815">
        <v>36000</v>
      </c>
      <c r="F35" s="3815" t="s">
        <v>2479</v>
      </c>
      <c r="G35" s="3815" t="s">
        <v>3673</v>
      </c>
      <c r="H35" s="3815" t="s">
        <v>3486</v>
      </c>
      <c r="I35" s="3815" t="s">
        <v>3674</v>
      </c>
      <c r="J35" s="3815" t="s">
        <v>3488</v>
      </c>
      <c r="K35" s="3815" t="s">
        <v>3489</v>
      </c>
      <c r="L35" s="3815" t="s">
        <v>3675</v>
      </c>
      <c r="M35" s="3815" t="s">
        <v>3675</v>
      </c>
      <c r="N35" s="3815" t="s">
        <v>3496</v>
      </c>
      <c r="O35" s="3815" t="s">
        <v>3676</v>
      </c>
      <c r="P35" s="3815">
        <v>11401.2</v>
      </c>
      <c r="Q35" s="3815">
        <v>2290</v>
      </c>
      <c r="R35" s="3815" t="s">
        <v>3489</v>
      </c>
      <c r="S35" s="3815">
        <v>11401.2</v>
      </c>
      <c r="T35" s="3815">
        <v>3167</v>
      </c>
      <c r="U35" s="3815">
        <v>0</v>
      </c>
      <c r="V35" s="3472">
        <f>ROUND(S35/D35*10000,0)</f>
        <v>7431</v>
      </c>
    </row>
    <row r="36" spans="1:23" s="3472" customFormat="1" ht="14.25">
      <c r="A36" s="3815" t="s">
        <v>3677</v>
      </c>
      <c r="B36" s="3815" t="s">
        <v>3418</v>
      </c>
      <c r="C36" s="3815" t="s">
        <v>3678</v>
      </c>
      <c r="D36" s="3815">
        <v>21884.6</v>
      </c>
      <c r="E36" s="3815">
        <v>32826.9</v>
      </c>
      <c r="F36" s="3815" t="s">
        <v>2479</v>
      </c>
      <c r="G36" s="3815" t="s">
        <v>3575</v>
      </c>
      <c r="H36" s="3815" t="s">
        <v>3486</v>
      </c>
      <c r="I36" s="3815" t="s">
        <v>3545</v>
      </c>
      <c r="J36" s="3815" t="s">
        <v>3488</v>
      </c>
      <c r="K36" s="3815" t="s">
        <v>3489</v>
      </c>
      <c r="L36" s="3815" t="s">
        <v>3675</v>
      </c>
      <c r="M36" s="3815" t="s">
        <v>3675</v>
      </c>
      <c r="N36" s="3815" t="s">
        <v>3496</v>
      </c>
      <c r="O36" s="3815" t="s">
        <v>3679</v>
      </c>
      <c r="P36" s="3815">
        <v>3308.95</v>
      </c>
      <c r="Q36" s="3815">
        <v>700</v>
      </c>
      <c r="R36" s="3815" t="s">
        <v>3489</v>
      </c>
      <c r="S36" s="3815">
        <v>3308.95</v>
      </c>
      <c r="T36" s="3815">
        <v>1008</v>
      </c>
      <c r="U36" s="3815">
        <v>0</v>
      </c>
      <c r="V36" s="3472">
        <f t="shared" si="0"/>
        <v>1512</v>
      </c>
      <c r="W36" s="3472">
        <f t="shared" ref="W36:W45" si="4">ROUND(T36*$Z$3/$AA$3,0)</f>
        <v>1531</v>
      </c>
    </row>
    <row r="37" spans="1:23" s="3472" customFormat="1" ht="14.25">
      <c r="A37" s="3815" t="s">
        <v>3680</v>
      </c>
      <c r="B37" s="3815" t="s">
        <v>3418</v>
      </c>
      <c r="C37" s="3815" t="s">
        <v>3681</v>
      </c>
      <c r="D37" s="3815">
        <v>3658.3</v>
      </c>
      <c r="E37" s="3815">
        <v>3900</v>
      </c>
      <c r="F37" s="3815" t="s">
        <v>2479</v>
      </c>
      <c r="G37" s="3815" t="s">
        <v>3575</v>
      </c>
      <c r="H37" s="3815" t="s">
        <v>3682</v>
      </c>
      <c r="I37" s="3815" t="s">
        <v>3683</v>
      </c>
      <c r="J37" s="3815" t="s">
        <v>3488</v>
      </c>
      <c r="K37" s="3815" t="s">
        <v>3489</v>
      </c>
      <c r="L37" s="3815" t="s">
        <v>3675</v>
      </c>
      <c r="M37" s="3815" t="s">
        <v>3675</v>
      </c>
      <c r="N37" s="3815" t="s">
        <v>3496</v>
      </c>
      <c r="O37" s="3815" t="s">
        <v>3679</v>
      </c>
      <c r="P37" s="3815">
        <v>368.94</v>
      </c>
      <c r="Q37" s="3815">
        <v>80</v>
      </c>
      <c r="R37" s="3815" t="s">
        <v>3489</v>
      </c>
      <c r="S37" s="3815">
        <v>368.94</v>
      </c>
      <c r="T37" s="3815">
        <v>946</v>
      </c>
      <c r="U37" s="3815">
        <v>0</v>
      </c>
      <c r="V37" s="3472">
        <f t="shared" si="0"/>
        <v>1009</v>
      </c>
      <c r="W37" s="3472">
        <f>ROUND(T37*$Z$3/$AB$3,0)</f>
        <v>1537</v>
      </c>
    </row>
    <row r="38" spans="1:23" ht="14.25">
      <c r="A38" s="3814" t="s">
        <v>3684</v>
      </c>
      <c r="B38" s="3814" t="s">
        <v>3418</v>
      </c>
      <c r="C38" s="3814" t="s">
        <v>3685</v>
      </c>
      <c r="D38" s="3814">
        <v>25334.799999999999</v>
      </c>
      <c r="E38" s="3814">
        <v>38002.199999999997</v>
      </c>
      <c r="F38" s="3814" t="s">
        <v>2479</v>
      </c>
      <c r="G38" s="3814" t="s">
        <v>3575</v>
      </c>
      <c r="H38" s="3814" t="s">
        <v>3486</v>
      </c>
      <c r="I38" s="3814" t="s">
        <v>3487</v>
      </c>
      <c r="J38" s="3814" t="s">
        <v>3488</v>
      </c>
      <c r="K38" s="3814" t="s">
        <v>3489</v>
      </c>
      <c r="L38" s="3814" t="s">
        <v>3686</v>
      </c>
      <c r="M38" s="3814" t="s">
        <v>3686</v>
      </c>
      <c r="N38" s="3814" t="s">
        <v>3496</v>
      </c>
      <c r="O38" s="3814" t="s">
        <v>3687</v>
      </c>
      <c r="P38" s="3814">
        <v>2169.9299999999998</v>
      </c>
      <c r="Q38" s="3814">
        <v>542.48</v>
      </c>
      <c r="R38" s="3814" t="s">
        <v>3688</v>
      </c>
      <c r="S38" s="3814">
        <v>2169.9299999999998</v>
      </c>
      <c r="T38" s="3814">
        <v>571</v>
      </c>
      <c r="U38" s="3814">
        <v>0</v>
      </c>
      <c r="V38">
        <f t="shared" si="0"/>
        <v>857</v>
      </c>
      <c r="W38">
        <f t="shared" si="4"/>
        <v>867</v>
      </c>
    </row>
    <row r="39" spans="1:23" ht="14.25">
      <c r="A39" s="3814" t="s">
        <v>3689</v>
      </c>
      <c r="B39" s="3814" t="s">
        <v>3418</v>
      </c>
      <c r="C39" s="3814" t="s">
        <v>3690</v>
      </c>
      <c r="D39" s="3814">
        <v>52790.03</v>
      </c>
      <c r="E39" s="3814">
        <v>79185.05</v>
      </c>
      <c r="F39" s="3814" t="s">
        <v>2479</v>
      </c>
      <c r="G39" s="3814" t="s">
        <v>2479</v>
      </c>
      <c r="H39" s="3814" t="s">
        <v>3486</v>
      </c>
      <c r="I39" s="3814" t="s">
        <v>3643</v>
      </c>
      <c r="J39" s="3814" t="s">
        <v>3488</v>
      </c>
      <c r="K39" s="3814" t="s">
        <v>3489</v>
      </c>
      <c r="L39" s="3814" t="s">
        <v>3691</v>
      </c>
      <c r="M39" s="3814" t="s">
        <v>3691</v>
      </c>
      <c r="N39" s="3814" t="s">
        <v>3496</v>
      </c>
      <c r="O39" s="3814" t="s">
        <v>3692</v>
      </c>
      <c r="P39" s="3814">
        <v>9429.41</v>
      </c>
      <c r="Q39" s="3814">
        <v>1900</v>
      </c>
      <c r="R39" s="3814" t="s">
        <v>3693</v>
      </c>
      <c r="S39" s="3814">
        <v>9429.41</v>
      </c>
      <c r="T39" s="3814">
        <v>1191</v>
      </c>
      <c r="U39" s="3814">
        <v>0</v>
      </c>
      <c r="V39">
        <f t="shared" si="0"/>
        <v>1786</v>
      </c>
      <c r="W39">
        <f t="shared" si="4"/>
        <v>1809</v>
      </c>
    </row>
    <row r="40" spans="1:23" ht="14.25">
      <c r="A40" s="3814" t="s">
        <v>3694</v>
      </c>
      <c r="B40" s="3814" t="s">
        <v>3418</v>
      </c>
      <c r="C40" s="3814" t="s">
        <v>3695</v>
      </c>
      <c r="D40" s="3814">
        <v>19670.8</v>
      </c>
      <c r="E40" s="3814">
        <v>29506.2</v>
      </c>
      <c r="F40" s="3814" t="s">
        <v>2479</v>
      </c>
      <c r="G40" s="3814" t="s">
        <v>3696</v>
      </c>
      <c r="H40" s="3814" t="s">
        <v>3486</v>
      </c>
      <c r="I40" s="3814" t="s">
        <v>3487</v>
      </c>
      <c r="J40" s="3814" t="s">
        <v>3488</v>
      </c>
      <c r="K40" s="3814" t="s">
        <v>3489</v>
      </c>
      <c r="L40" s="3814" t="s">
        <v>3697</v>
      </c>
      <c r="M40" s="3814" t="s">
        <v>3697</v>
      </c>
      <c r="N40" s="3814" t="s">
        <v>3496</v>
      </c>
      <c r="O40" s="3814" t="s">
        <v>3698</v>
      </c>
      <c r="P40" s="3814">
        <v>1684.8</v>
      </c>
      <c r="Q40" s="3814">
        <v>421.2</v>
      </c>
      <c r="R40" s="3814" t="s">
        <v>3699</v>
      </c>
      <c r="S40" s="3814">
        <v>1684.8</v>
      </c>
      <c r="T40" s="3814">
        <v>571</v>
      </c>
      <c r="U40" s="3814">
        <v>0</v>
      </c>
      <c r="V40">
        <f t="shared" si="0"/>
        <v>856</v>
      </c>
      <c r="W40">
        <f t="shared" si="4"/>
        <v>867</v>
      </c>
    </row>
    <row r="41" spans="1:23" ht="14.25">
      <c r="A41" s="3814" t="s">
        <v>3700</v>
      </c>
      <c r="B41" s="3814" t="s">
        <v>3418</v>
      </c>
      <c r="C41" s="3814" t="s">
        <v>3701</v>
      </c>
      <c r="D41" s="3814">
        <v>24526.2</v>
      </c>
      <c r="E41" s="3814">
        <v>49052.4</v>
      </c>
      <c r="F41" s="3814" t="s">
        <v>2479</v>
      </c>
      <c r="G41" s="3814" t="s">
        <v>3696</v>
      </c>
      <c r="H41" s="3814" t="s">
        <v>3486</v>
      </c>
      <c r="I41" s="3814" t="s">
        <v>3552</v>
      </c>
      <c r="J41" s="3814" t="s">
        <v>3488</v>
      </c>
      <c r="K41" s="3814" t="s">
        <v>3489</v>
      </c>
      <c r="L41" s="3814" t="s">
        <v>3697</v>
      </c>
      <c r="M41" s="3814" t="s">
        <v>3697</v>
      </c>
      <c r="N41" s="3814" t="s">
        <v>3496</v>
      </c>
      <c r="O41" s="3814" t="s">
        <v>3702</v>
      </c>
      <c r="P41" s="3814">
        <v>2800.89</v>
      </c>
      <c r="Q41" s="3814">
        <v>700.22</v>
      </c>
      <c r="R41" s="3814" t="s">
        <v>3699</v>
      </c>
      <c r="S41" s="3814">
        <v>2800.89</v>
      </c>
      <c r="T41" s="3814">
        <v>571</v>
      </c>
      <c r="U41" s="3814">
        <v>0</v>
      </c>
      <c r="V41">
        <f t="shared" si="0"/>
        <v>1142</v>
      </c>
      <c r="W41">
        <f t="shared" si="4"/>
        <v>867</v>
      </c>
    </row>
    <row r="42" spans="1:23" ht="14.25">
      <c r="A42" s="3814" t="s">
        <v>3703</v>
      </c>
      <c r="B42" s="3814" t="s">
        <v>3418</v>
      </c>
      <c r="C42" s="3814" t="s">
        <v>3704</v>
      </c>
      <c r="D42" s="3814">
        <v>26316.6</v>
      </c>
      <c r="E42" s="3814">
        <v>30264.09</v>
      </c>
      <c r="F42" s="3814" t="s">
        <v>2479</v>
      </c>
      <c r="G42" s="3814" t="s">
        <v>3696</v>
      </c>
      <c r="H42" s="3814" t="s">
        <v>3486</v>
      </c>
      <c r="I42" s="3814" t="s">
        <v>3705</v>
      </c>
      <c r="J42" s="3814" t="s">
        <v>3488</v>
      </c>
      <c r="K42" s="3814" t="s">
        <v>3489</v>
      </c>
      <c r="L42" s="3814" t="s">
        <v>3706</v>
      </c>
      <c r="M42" s="3814" t="s">
        <v>3706</v>
      </c>
      <c r="N42" s="3814" t="s">
        <v>3496</v>
      </c>
      <c r="O42" s="3814" t="s">
        <v>3707</v>
      </c>
      <c r="P42" s="3814">
        <v>1973.22</v>
      </c>
      <c r="Q42" s="3814">
        <v>493.3</v>
      </c>
      <c r="R42" s="3814" t="s">
        <v>3708</v>
      </c>
      <c r="S42" s="3814">
        <v>1973.22</v>
      </c>
      <c r="T42" s="3814">
        <v>652</v>
      </c>
      <c r="U42" s="3814">
        <v>0</v>
      </c>
      <c r="V42">
        <f t="shared" si="0"/>
        <v>750</v>
      </c>
      <c r="W42">
        <f t="shared" si="4"/>
        <v>990</v>
      </c>
    </row>
    <row r="43" spans="1:23" ht="14.25">
      <c r="A43" s="3814" t="s">
        <v>3709</v>
      </c>
      <c r="B43" s="3814" t="s">
        <v>3418</v>
      </c>
      <c r="C43" s="3814" t="s">
        <v>3710</v>
      </c>
      <c r="D43" s="3814">
        <v>10526.1</v>
      </c>
      <c r="E43" s="3814">
        <v>12631.32</v>
      </c>
      <c r="F43" s="3814" t="s">
        <v>2479</v>
      </c>
      <c r="G43" s="3814" t="s">
        <v>3696</v>
      </c>
      <c r="H43" s="3814" t="s">
        <v>3486</v>
      </c>
      <c r="I43" s="3814" t="s">
        <v>3523</v>
      </c>
      <c r="J43" s="3814" t="s">
        <v>3488</v>
      </c>
      <c r="K43" s="3814" t="s">
        <v>3489</v>
      </c>
      <c r="L43" s="3814" t="s">
        <v>3706</v>
      </c>
      <c r="M43" s="3814" t="s">
        <v>3706</v>
      </c>
      <c r="N43" s="3814" t="s">
        <v>3496</v>
      </c>
      <c r="O43" s="3814" t="s">
        <v>3711</v>
      </c>
      <c r="P43" s="3814">
        <v>823.56</v>
      </c>
      <c r="Q43" s="3814">
        <v>205.89</v>
      </c>
      <c r="R43" s="3814" t="s">
        <v>3708</v>
      </c>
      <c r="S43" s="3814">
        <v>823.56</v>
      </c>
      <c r="T43" s="3814">
        <v>652</v>
      </c>
      <c r="U43" s="3814">
        <v>0</v>
      </c>
      <c r="V43">
        <f t="shared" si="0"/>
        <v>782</v>
      </c>
      <c r="W43">
        <f t="shared" si="4"/>
        <v>990</v>
      </c>
    </row>
    <row r="44" spans="1:23" ht="14.25">
      <c r="A44" s="3814" t="s">
        <v>3712</v>
      </c>
      <c r="B44" s="3814" t="s">
        <v>3418</v>
      </c>
      <c r="C44" s="3814" t="s">
        <v>3713</v>
      </c>
      <c r="D44" s="3814">
        <v>15975.8</v>
      </c>
      <c r="E44" s="3814">
        <v>23963.7</v>
      </c>
      <c r="F44" s="3814" t="s">
        <v>2479</v>
      </c>
      <c r="G44" s="3814" t="s">
        <v>3696</v>
      </c>
      <c r="H44" s="3814" t="s">
        <v>3486</v>
      </c>
      <c r="I44" s="3814" t="s">
        <v>3643</v>
      </c>
      <c r="J44" s="3814" t="s">
        <v>3488</v>
      </c>
      <c r="K44" s="3814" t="s">
        <v>3489</v>
      </c>
      <c r="L44" s="3814" t="s">
        <v>3714</v>
      </c>
      <c r="M44" s="3814" t="s">
        <v>3714</v>
      </c>
      <c r="N44" s="3814" t="s">
        <v>3496</v>
      </c>
      <c r="O44" s="3814" t="s">
        <v>3715</v>
      </c>
      <c r="P44" s="3814">
        <v>1368.33</v>
      </c>
      <c r="Q44" s="3814">
        <v>342.08</v>
      </c>
      <c r="R44" s="3814" t="s">
        <v>3716</v>
      </c>
      <c r="S44" s="3814">
        <v>1368.33</v>
      </c>
      <c r="T44" s="3814">
        <v>571</v>
      </c>
      <c r="U44" s="3814">
        <v>0</v>
      </c>
      <c r="V44">
        <f t="shared" si="0"/>
        <v>857</v>
      </c>
      <c r="W44">
        <f t="shared" si="4"/>
        <v>867</v>
      </c>
    </row>
    <row r="45" spans="1:23" ht="14.25">
      <c r="A45" s="3814" t="s">
        <v>3717</v>
      </c>
      <c r="B45" s="3814" t="s">
        <v>3418</v>
      </c>
      <c r="C45" s="3814" t="s">
        <v>3718</v>
      </c>
      <c r="D45" s="3814">
        <v>7506.5</v>
      </c>
      <c r="E45" s="3814">
        <v>11259.75</v>
      </c>
      <c r="F45" s="3814" t="s">
        <v>2479</v>
      </c>
      <c r="G45" s="3814" t="s">
        <v>3696</v>
      </c>
      <c r="H45" s="3814" t="s">
        <v>3486</v>
      </c>
      <c r="I45" s="3814" t="s">
        <v>3643</v>
      </c>
      <c r="J45" s="3814" t="s">
        <v>3488</v>
      </c>
      <c r="K45" s="3814" t="s">
        <v>3489</v>
      </c>
      <c r="L45" s="3814" t="s">
        <v>3714</v>
      </c>
      <c r="M45" s="3814" t="s">
        <v>3714</v>
      </c>
      <c r="N45" s="3814" t="s">
        <v>3496</v>
      </c>
      <c r="O45" s="3814" t="s">
        <v>3719</v>
      </c>
      <c r="P45" s="3814">
        <v>1134.98</v>
      </c>
      <c r="Q45" s="3814">
        <v>283.75</v>
      </c>
      <c r="R45" s="3814" t="s">
        <v>3716</v>
      </c>
      <c r="S45" s="3814">
        <v>1134.98</v>
      </c>
      <c r="T45" s="3814">
        <v>1008</v>
      </c>
      <c r="U45" s="3814">
        <v>0</v>
      </c>
      <c r="V45">
        <f t="shared" si="0"/>
        <v>1512</v>
      </c>
      <c r="W45">
        <f t="shared" si="4"/>
        <v>1531</v>
      </c>
    </row>
    <row r="46" spans="1:23" ht="14.25" hidden="1">
      <c r="A46" s="3814" t="s">
        <v>3720</v>
      </c>
      <c r="B46" s="3814" t="s">
        <v>3418</v>
      </c>
      <c r="C46" s="3814" t="s">
        <v>3721</v>
      </c>
      <c r="D46" s="3814">
        <v>20000</v>
      </c>
      <c r="E46" s="3814">
        <v>20000</v>
      </c>
      <c r="F46" s="3814" t="s">
        <v>2479</v>
      </c>
      <c r="G46" s="3814" t="s">
        <v>2479</v>
      </c>
      <c r="H46" s="3814" t="s">
        <v>3486</v>
      </c>
      <c r="I46" s="3814" t="s">
        <v>3722</v>
      </c>
      <c r="J46" s="3814" t="s">
        <v>3488</v>
      </c>
      <c r="K46" s="3814" t="s">
        <v>3489</v>
      </c>
      <c r="L46" s="3814" t="s">
        <v>3723</v>
      </c>
      <c r="M46" s="3814" t="s">
        <v>3723</v>
      </c>
      <c r="N46" s="3814" t="s">
        <v>3496</v>
      </c>
      <c r="O46" s="3814" t="s">
        <v>3724</v>
      </c>
      <c r="P46" s="3814">
        <v>2284.42</v>
      </c>
      <c r="Q46" s="3814">
        <v>500</v>
      </c>
      <c r="R46" s="3814" t="s">
        <v>3725</v>
      </c>
      <c r="S46" s="3814">
        <v>2284.42</v>
      </c>
      <c r="T46" s="3814">
        <v>1142</v>
      </c>
      <c r="U46" s="3814">
        <v>0</v>
      </c>
      <c r="V46">
        <f t="shared" si="0"/>
        <v>1142</v>
      </c>
    </row>
    <row r="47" spans="1:23" ht="14.25">
      <c r="A47" s="3814" t="s">
        <v>3726</v>
      </c>
      <c r="B47" s="3814" t="s">
        <v>3418</v>
      </c>
      <c r="C47" s="3814" t="s">
        <v>3727</v>
      </c>
      <c r="D47" s="3814">
        <v>113291.7</v>
      </c>
      <c r="E47" s="3814">
        <v>113291.7</v>
      </c>
      <c r="F47" s="3814" t="s">
        <v>2479</v>
      </c>
      <c r="G47" s="3814" t="s">
        <v>3728</v>
      </c>
      <c r="H47" s="3814" t="s">
        <v>3486</v>
      </c>
      <c r="I47" s="3814" t="s">
        <v>3501</v>
      </c>
      <c r="J47" s="3814" t="s">
        <v>3488</v>
      </c>
      <c r="K47" s="3814" t="s">
        <v>3489</v>
      </c>
      <c r="L47" s="3814" t="s">
        <v>3729</v>
      </c>
      <c r="M47" s="3814" t="s">
        <v>3729</v>
      </c>
      <c r="N47" s="3814" t="s">
        <v>3496</v>
      </c>
      <c r="O47" s="3814" t="s">
        <v>3730</v>
      </c>
      <c r="P47" s="3814">
        <v>6650.22</v>
      </c>
      <c r="Q47" s="3814">
        <v>1662.56</v>
      </c>
      <c r="R47" s="3814" t="s">
        <v>3731</v>
      </c>
      <c r="S47" s="3814">
        <v>6650.22</v>
      </c>
      <c r="T47" s="3814">
        <v>587</v>
      </c>
      <c r="U47" s="3814">
        <v>0</v>
      </c>
      <c r="V47">
        <f t="shared" si="0"/>
        <v>587</v>
      </c>
      <c r="W47">
        <f t="shared" ref="W47:W48" si="5">ROUND(T47*$Z$3/$AA$3,0)</f>
        <v>892</v>
      </c>
    </row>
    <row r="48" spans="1:23" ht="14.25">
      <c r="A48" s="3814" t="s">
        <v>3732</v>
      </c>
      <c r="B48" s="3814" t="s">
        <v>3418</v>
      </c>
      <c r="C48" s="3814" t="s">
        <v>3733</v>
      </c>
      <c r="D48" s="3814">
        <v>30589.9</v>
      </c>
      <c r="E48" s="3814">
        <v>45884.85</v>
      </c>
      <c r="F48" s="3814" t="s">
        <v>2479</v>
      </c>
      <c r="G48" s="3814" t="s">
        <v>3734</v>
      </c>
      <c r="H48" s="3814" t="s">
        <v>3486</v>
      </c>
      <c r="I48" s="3814" t="s">
        <v>3643</v>
      </c>
      <c r="J48" s="3814" t="s">
        <v>3488</v>
      </c>
      <c r="K48" s="3814" t="s">
        <v>3489</v>
      </c>
      <c r="L48" s="3814" t="s">
        <v>3729</v>
      </c>
      <c r="M48" s="3814" t="s">
        <v>3729</v>
      </c>
      <c r="N48" s="3814" t="s">
        <v>3496</v>
      </c>
      <c r="O48" s="3814" t="s">
        <v>3735</v>
      </c>
      <c r="P48" s="3814">
        <v>2620.02</v>
      </c>
      <c r="Q48" s="3814">
        <v>655.01</v>
      </c>
      <c r="R48" s="3814" t="s">
        <v>3731</v>
      </c>
      <c r="S48" s="3814">
        <v>2620.02</v>
      </c>
      <c r="T48" s="3814">
        <v>571</v>
      </c>
      <c r="U48" s="3814">
        <v>0</v>
      </c>
      <c r="V48">
        <f t="shared" si="0"/>
        <v>856</v>
      </c>
      <c r="W48">
        <f t="shared" si="5"/>
        <v>867</v>
      </c>
    </row>
    <row r="49" spans="1:23" ht="14.25" hidden="1">
      <c r="A49" s="3814" t="s">
        <v>3736</v>
      </c>
      <c r="B49" s="3814" t="s">
        <v>3418</v>
      </c>
      <c r="C49" s="3814" t="s">
        <v>3737</v>
      </c>
      <c r="D49" s="3814">
        <v>54995.519999999997</v>
      </c>
      <c r="E49" s="3814">
        <v>82493.289999999994</v>
      </c>
      <c r="F49" s="3814" t="s">
        <v>2479</v>
      </c>
      <c r="G49" s="3814" t="s">
        <v>3515</v>
      </c>
      <c r="H49" s="3814" t="s">
        <v>3486</v>
      </c>
      <c r="I49" s="3814" t="s">
        <v>3643</v>
      </c>
      <c r="J49" s="3814" t="s">
        <v>3488</v>
      </c>
      <c r="K49" s="3814" t="s">
        <v>3489</v>
      </c>
      <c r="L49" s="3814" t="s">
        <v>3738</v>
      </c>
      <c r="M49" s="3814" t="s">
        <v>3738</v>
      </c>
      <c r="N49" s="3814" t="s">
        <v>3496</v>
      </c>
      <c r="O49" s="3814" t="s">
        <v>3739</v>
      </c>
      <c r="P49" s="3814">
        <v>8783.01</v>
      </c>
      <c r="Q49" s="3814">
        <v>1800</v>
      </c>
      <c r="R49" s="3814" t="s">
        <v>3740</v>
      </c>
      <c r="S49" s="3814">
        <v>8783.01</v>
      </c>
      <c r="T49" s="3814">
        <v>1065</v>
      </c>
      <c r="U49" s="3814">
        <v>0</v>
      </c>
      <c r="V49">
        <f t="shared" si="0"/>
        <v>1597</v>
      </c>
    </row>
    <row r="50" spans="1:23" ht="14.25">
      <c r="A50" s="3814" t="s">
        <v>3741</v>
      </c>
      <c r="B50" s="3814" t="s">
        <v>3418</v>
      </c>
      <c r="C50" s="3814" t="s">
        <v>3741</v>
      </c>
      <c r="D50" s="3814">
        <v>103092.9</v>
      </c>
      <c r="E50" s="3814">
        <v>175257.93</v>
      </c>
      <c r="F50" s="3814" t="s">
        <v>2479</v>
      </c>
      <c r="G50" s="3814" t="s">
        <v>3728</v>
      </c>
      <c r="H50" s="3814" t="s">
        <v>3486</v>
      </c>
      <c r="I50" s="3814" t="s">
        <v>3742</v>
      </c>
      <c r="J50" s="3814" t="s">
        <v>3488</v>
      </c>
      <c r="K50" s="3814" t="s">
        <v>3489</v>
      </c>
      <c r="L50" s="3814" t="s">
        <v>3743</v>
      </c>
      <c r="M50" s="3814" t="s">
        <v>3743</v>
      </c>
      <c r="N50" s="3814" t="s">
        <v>3496</v>
      </c>
      <c r="O50" s="3814" t="s">
        <v>3744</v>
      </c>
      <c r="P50" s="3814">
        <v>10287.64</v>
      </c>
      <c r="Q50" s="3814">
        <v>2571.91</v>
      </c>
      <c r="R50" s="3814" t="s">
        <v>3745</v>
      </c>
      <c r="S50" s="3814">
        <v>10287.64</v>
      </c>
      <c r="T50" s="3814">
        <v>587</v>
      </c>
      <c r="U50" s="3814">
        <v>0</v>
      </c>
      <c r="V50">
        <f t="shared" si="0"/>
        <v>998</v>
      </c>
      <c r="W50">
        <f t="shared" ref="W50:W51" si="6">ROUND(T50*$Z$3/$AA$3,0)</f>
        <v>892</v>
      </c>
    </row>
    <row r="51" spans="1:23" ht="14.25">
      <c r="A51" s="3814" t="s">
        <v>3746</v>
      </c>
      <c r="B51" s="3814" t="s">
        <v>3418</v>
      </c>
      <c r="C51" s="3814" t="s">
        <v>3747</v>
      </c>
      <c r="D51" s="3814">
        <v>21090.2</v>
      </c>
      <c r="E51" s="3814">
        <v>22144.7</v>
      </c>
      <c r="F51" s="3814" t="s">
        <v>2479</v>
      </c>
      <c r="G51" s="3814" t="s">
        <v>3748</v>
      </c>
      <c r="H51" s="3814" t="s">
        <v>3486</v>
      </c>
      <c r="I51" s="3814" t="s">
        <v>3749</v>
      </c>
      <c r="J51" s="3814" t="s">
        <v>3488</v>
      </c>
      <c r="K51" s="3814" t="s">
        <v>3489</v>
      </c>
      <c r="L51" s="3814" t="s">
        <v>3750</v>
      </c>
      <c r="M51" s="3814" t="s">
        <v>3750</v>
      </c>
      <c r="N51" s="3814" t="s">
        <v>3496</v>
      </c>
      <c r="O51" s="3814" t="s">
        <v>3751</v>
      </c>
      <c r="P51" s="3814">
        <v>2163.09</v>
      </c>
      <c r="Q51" s="3814">
        <v>540.77</v>
      </c>
      <c r="R51" s="3814" t="s">
        <v>3489</v>
      </c>
      <c r="S51" s="3814">
        <v>2163.09</v>
      </c>
      <c r="T51" s="3814">
        <v>977</v>
      </c>
      <c r="U51" s="3814">
        <v>0</v>
      </c>
      <c r="V51">
        <f t="shared" si="0"/>
        <v>1026</v>
      </c>
      <c r="W51">
        <f t="shared" si="6"/>
        <v>1484</v>
      </c>
    </row>
  </sheetData>
  <autoFilter ref="A1:V51">
    <filterColumn colId="6">
      <filters>
        <filter val="M1一类工业用地"/>
        <filter val="M1一类工业用地、S41公用停车场用地"/>
        <filter val="工业"/>
        <filter val="工业(M1)"/>
        <filter val="工业M1"/>
        <filter val="工业厂房"/>
        <filter val="工业用地"/>
        <filter val="工业用地(M1)"/>
        <filter val="一类 工业用地(M1)"/>
        <filter val="一类工业"/>
        <filter val="一类工业 用地 (M1)"/>
        <filter val="一类工业用地"/>
        <filter val="一类工业用地 (M1)"/>
        <filter val="一类工业用地(M1)"/>
      </filters>
    </filterColumn>
    <filterColumn colId="13">
      <filters>
        <filter val="已成交"/>
      </filters>
    </filterColumn>
  </autoFilter>
  <mergeCells count="1071">
    <mergeCell ref="R51"/>
    <mergeCell ref="S51"/>
    <mergeCell ref="T51"/>
    <mergeCell ref="U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49"/>
    <mergeCell ref="S49"/>
    <mergeCell ref="T49"/>
    <mergeCell ref="U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R47"/>
    <mergeCell ref="S47"/>
    <mergeCell ref="T47"/>
    <mergeCell ref="U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U48"/>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S45"/>
    <mergeCell ref="T45"/>
    <mergeCell ref="U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U46"/>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3"/>
    <mergeCell ref="S43"/>
    <mergeCell ref="T43"/>
    <mergeCell ref="U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1"/>
    <mergeCell ref="S41"/>
    <mergeCell ref="T41"/>
    <mergeCell ref="U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S39"/>
    <mergeCell ref="T39"/>
    <mergeCell ref="U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U40"/>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7"/>
    <mergeCell ref="S37"/>
    <mergeCell ref="T37"/>
    <mergeCell ref="U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5"/>
    <mergeCell ref="S35"/>
    <mergeCell ref="T35"/>
    <mergeCell ref="U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S33"/>
    <mergeCell ref="T33"/>
    <mergeCell ref="U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1"/>
    <mergeCell ref="S31"/>
    <mergeCell ref="T31"/>
    <mergeCell ref="U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29"/>
    <mergeCell ref="S29"/>
    <mergeCell ref="T29"/>
    <mergeCell ref="U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S27"/>
    <mergeCell ref="T27"/>
    <mergeCell ref="U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5"/>
    <mergeCell ref="S25"/>
    <mergeCell ref="T25"/>
    <mergeCell ref="U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3"/>
    <mergeCell ref="S23"/>
    <mergeCell ref="T23"/>
    <mergeCell ref="U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S21"/>
    <mergeCell ref="T21"/>
    <mergeCell ref="U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19"/>
    <mergeCell ref="S19"/>
    <mergeCell ref="T19"/>
    <mergeCell ref="U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7"/>
    <mergeCell ref="S17"/>
    <mergeCell ref="T17"/>
    <mergeCell ref="U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S15"/>
    <mergeCell ref="T15"/>
    <mergeCell ref="U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3"/>
    <mergeCell ref="S13"/>
    <mergeCell ref="T13"/>
    <mergeCell ref="U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1"/>
    <mergeCell ref="S11"/>
    <mergeCell ref="T11"/>
    <mergeCell ref="U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S9"/>
    <mergeCell ref="T9"/>
    <mergeCell ref="U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7"/>
    <mergeCell ref="S7"/>
    <mergeCell ref="T7"/>
    <mergeCell ref="U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5"/>
    <mergeCell ref="S5"/>
    <mergeCell ref="T5"/>
    <mergeCell ref="U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3"/>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2"/>
    <mergeCell ref="T2"/>
    <mergeCell ref="U2"/>
    <mergeCell ref="A1"/>
    <mergeCell ref="B1"/>
    <mergeCell ref="C1"/>
    <mergeCell ref="D1"/>
    <mergeCell ref="E1"/>
    <mergeCell ref="F1"/>
    <mergeCell ref="G1"/>
    <mergeCell ref="S4"/>
    <mergeCell ref="T4"/>
    <mergeCell ref="U4"/>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H1"/>
    <mergeCell ref="I1"/>
    <mergeCell ref="J1"/>
    <mergeCell ref="K1"/>
    <mergeCell ref="L1"/>
    <mergeCell ref="M1"/>
    <mergeCell ref="N1"/>
    <mergeCell ref="O1"/>
    <mergeCell ref="P1"/>
    <mergeCell ref="Q1"/>
    <mergeCell ref="R1"/>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54" t="s">
        <v>925</v>
      </c>
      <c r="E3" s="854" t="s">
        <v>931</v>
      </c>
      <c r="F3" s="854" t="s">
        <v>925</v>
      </c>
      <c r="G3" s="854" t="s">
        <v>926</v>
      </c>
      <c r="H3" s="854" t="s">
        <v>925</v>
      </c>
      <c r="I3" s="854" t="s">
        <v>926</v>
      </c>
    </row>
    <row r="4" spans="1:9" ht="15">
      <c r="A4" s="1505" t="str">
        <f>项目基本情况!S2</f>
        <v>北京市房地产</v>
      </c>
      <c r="B4" s="854">
        <f>项目基本情况!C17</f>
        <v>86219.39</v>
      </c>
      <c r="C4" s="854">
        <f>项目基本情况!C18</f>
        <v>76950.100000000006</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6" t="s">
        <v>927</v>
      </c>
      <c r="B5" s="3486"/>
      <c r="C5" s="3486"/>
      <c r="D5" s="3486" t="e">
        <f ca="1">结果表!D119</f>
        <v>#REF!</v>
      </c>
      <c r="E5" s="3486"/>
      <c r="F5" s="3486" t="e">
        <f ca="1">结果表!F119</f>
        <v>#REF!</v>
      </c>
      <c r="G5" s="3486"/>
      <c r="H5" s="3486" t="e">
        <f ca="1">结果表!H119</f>
        <v>#REF!</v>
      </c>
      <c r="I5" s="3486"/>
    </row>
    <row r="6" spans="1:9" ht="15.75">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房地产抵押价值</v>
      </c>
      <c r="B8" s="3487"/>
      <c r="C8" s="3487"/>
      <c r="D8" s="3487" t="e">
        <f ca="1">结果表!D122</f>
        <v>#REF!</v>
      </c>
      <c r="E8" s="3487"/>
      <c r="F8" s="3487"/>
      <c r="G8" s="3487"/>
      <c r="H8" s="3487"/>
      <c r="I8" s="3487"/>
    </row>
    <row r="9" spans="1:9" ht="15">
      <c r="A9" s="3486" t="s">
        <v>927</v>
      </c>
      <c r="B9" s="3486"/>
      <c r="C9" s="3486"/>
      <c r="D9" s="3486" t="e">
        <f ca="1">结果表!D123</f>
        <v>#REF!</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7" t="s">
        <v>956</v>
      </c>
      <c r="B15" s="3502" t="s">
        <v>109</v>
      </c>
      <c r="C15" s="3503"/>
    </row>
    <row r="16" spans="1:7" ht="13.5">
      <c r="A16" s="3508"/>
      <c r="B16" s="3502" t="s">
        <v>42</v>
      </c>
      <c r="C16" s="3503"/>
    </row>
    <row r="17" spans="1:3" ht="13.5">
      <c r="A17" s="3508"/>
      <c r="B17" s="3505" t="s">
        <v>957</v>
      </c>
      <c r="C17" s="1532" t="s">
        <v>956</v>
      </c>
    </row>
    <row r="18" spans="1:3" ht="13.5">
      <c r="A18" s="3508"/>
      <c r="B18" s="3505"/>
      <c r="C18" s="1532" t="s">
        <v>958</v>
      </c>
    </row>
    <row r="19" spans="1:3" ht="13.5">
      <c r="A19" s="3508"/>
      <c r="B19" s="3505"/>
      <c r="C19" s="1532" t="s">
        <v>959</v>
      </c>
    </row>
    <row r="20" spans="1:3" ht="13.5">
      <c r="A20" s="3509"/>
      <c r="B20" s="3504" t="s">
        <v>960</v>
      </c>
      <c r="C20" s="3503"/>
    </row>
    <row r="21" spans="1:3" ht="13.5">
      <c r="A21" s="1533" t="s">
        <v>961</v>
      </c>
      <c r="B21" s="1534"/>
      <c r="C21" s="1535"/>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2" t="s">
        <v>967</v>
      </c>
    </row>
    <row r="26" spans="1:3" ht="13.5">
      <c r="A26" s="3506"/>
      <c r="B26" s="3505"/>
      <c r="C26" s="1532" t="s">
        <v>968</v>
      </c>
    </row>
    <row r="27" spans="1:3" ht="13.5">
      <c r="A27" s="3506"/>
      <c r="B27" s="3505"/>
      <c r="C27" s="1532" t="s">
        <v>969</v>
      </c>
    </row>
    <row r="28" spans="1:3" ht="13.5">
      <c r="A28" s="3506"/>
      <c r="B28" s="3505"/>
      <c r="C28" s="1532" t="s">
        <v>970</v>
      </c>
    </row>
    <row r="29" spans="1:3" ht="13.5">
      <c r="A29" s="3506"/>
      <c r="B29" s="3505"/>
      <c r="C29" s="1532" t="s">
        <v>971</v>
      </c>
    </row>
    <row r="30" spans="1:3" ht="13.5">
      <c r="A30" s="3506"/>
      <c r="B30" s="3505"/>
      <c r="C30" s="1532" t="s">
        <v>972</v>
      </c>
    </row>
    <row r="31" spans="1:3" ht="13.5">
      <c r="A31" s="3506"/>
      <c r="B31" s="3505"/>
      <c r="C31" s="1532" t="s">
        <v>973</v>
      </c>
    </row>
    <row r="32" spans="1:3" ht="13.5">
      <c r="A32" s="3506"/>
      <c r="B32" s="3505"/>
      <c r="C32" s="1532" t="s">
        <v>974</v>
      </c>
    </row>
    <row r="33" spans="1:3" ht="13.5">
      <c r="A33" s="3506"/>
      <c r="B33" s="350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45768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面积信息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2025-04-21T09:19:22Z</dcterms:modified>
</cp:coreProperties>
</file>