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95" windowWidth="21840" windowHeight="56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I13" i="3"/>
  <c r="D38" i="43" l="1"/>
  <c r="N6" i="1"/>
  <c r="N19" i="1"/>
  <c r="G19" i="6"/>
  <c r="B17" i="3"/>
  <c r="Q72" i="81" l="1"/>
  <c r="Q59" i="81"/>
  <c r="K59" i="81"/>
  <c r="P74" i="81" s="1"/>
  <c r="F59" i="81"/>
  <c r="Q58" i="81"/>
  <c r="Q51" i="81"/>
  <c r="J50" i="81"/>
  <c r="M47" i="81"/>
  <c r="D46" i="81"/>
  <c r="F34" i="81"/>
  <c r="F62" i="81" s="1"/>
  <c r="F33" i="81"/>
  <c r="F61" i="81" s="1"/>
  <c r="F31" i="81"/>
  <c r="F23" i="81"/>
  <c r="D24" i="81" s="1"/>
  <c r="F21" i="81"/>
  <c r="M20" i="81"/>
  <c r="F20" i="81"/>
  <c r="M19" i="81"/>
  <c r="F18" i="81"/>
  <c r="M17" i="81"/>
  <c r="F17" i="81"/>
  <c r="F15" i="81"/>
  <c r="Y6" i="1"/>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L24" i="80"/>
  <c r="D22" i="80"/>
  <c r="F22" i="80"/>
  <c r="G22" i="80" s="1"/>
  <c r="E22" i="80"/>
  <c r="D22" i="81" l="1"/>
  <c r="D23" i="81"/>
  <c r="O33" i="80"/>
  <c r="P61" i="81"/>
  <c r="N21" i="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G8" i="1" s="1"/>
  <c r="A7" i="1"/>
  <c r="B7" i="1" s="1"/>
  <c r="E7" i="1" s="1"/>
  <c r="A8" i="1"/>
  <c r="B8" i="1" s="1"/>
  <c r="E8" i="1" s="1"/>
  <c r="A9" i="1"/>
  <c r="A10" i="1"/>
  <c r="A11" i="1"/>
  <c r="B11" i="1" s="1"/>
  <c r="A12" i="1"/>
  <c r="A13" i="1"/>
  <c r="A6" i="1"/>
  <c r="G1" i="81"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24" i="81"/>
  <c r="F37" i="81"/>
  <c r="F26" i="81"/>
  <c r="F40" i="81"/>
  <c r="M6" i="15"/>
  <c r="F3" i="73"/>
  <c r="M24" i="67"/>
  <c r="F4" i="73"/>
  <c r="F9" i="67"/>
  <c r="F16" i="15"/>
  <c r="F36" i="15"/>
  <c r="B8" i="76"/>
  <c r="B9" i="76"/>
  <c r="F16" i="81"/>
  <c r="F6" i="81"/>
  <c r="F8" i="81"/>
  <c r="L47" i="15"/>
  <c r="D7" i="73"/>
  <c r="E9" i="76"/>
  <c r="L48" i="81"/>
  <c r="F7" i="67"/>
  <c r="F8" i="67"/>
  <c r="B7" i="76"/>
  <c r="L47" i="67"/>
  <c r="F26" i="67"/>
  <c r="E13" i="76"/>
  <c r="F38" i="81"/>
  <c r="M23" i="81"/>
  <c r="M28" i="81"/>
  <c r="M22" i="67"/>
  <c r="F9" i="15"/>
  <c r="F37" i="67"/>
  <c r="F20" i="31"/>
  <c r="J15" i="15"/>
  <c r="M23" i="15"/>
  <c r="M24" i="15"/>
  <c r="M23" i="67"/>
  <c r="F8" i="15"/>
  <c r="M6" i="67"/>
  <c r="F13" i="81"/>
  <c r="F9" i="81"/>
  <c r="F7" i="73"/>
  <c r="F43" i="67"/>
  <c r="M8" i="15"/>
  <c r="F13" i="15"/>
  <c r="M26" i="67"/>
  <c r="E2" i="69"/>
  <c r="E10" i="76"/>
  <c r="M9" i="67"/>
  <c r="F6" i="67"/>
  <c r="F16" i="67"/>
  <c r="F40" i="15"/>
  <c r="M6" i="81"/>
  <c r="C76" i="81"/>
  <c r="M29" i="81"/>
  <c r="M28" i="15"/>
  <c r="M29" i="67"/>
  <c r="F13" i="67"/>
  <c r="F6" i="15"/>
  <c r="D6" i="73"/>
  <c r="M9" i="15"/>
  <c r="F42" i="67"/>
  <c r="F7" i="15"/>
  <c r="B13" i="76"/>
  <c r="B11" i="76"/>
  <c r="J15" i="81"/>
  <c r="M22" i="81"/>
  <c r="F7" i="81"/>
  <c r="F5" i="73"/>
  <c r="F36" i="67"/>
  <c r="E7" i="76"/>
  <c r="F26" i="15"/>
  <c r="F38" i="67"/>
  <c r="F42" i="15"/>
  <c r="D5" i="73"/>
  <c r="E12" i="76"/>
  <c r="F6" i="73"/>
  <c r="F36" i="81"/>
  <c r="M26" i="81"/>
  <c r="F42" i="81"/>
  <c r="F43" i="81"/>
  <c r="F37" i="15"/>
  <c r="D3" i="73"/>
  <c r="F40" i="67"/>
  <c r="M8" i="67"/>
  <c r="B12" i="76"/>
  <c r="AO13" i="1"/>
  <c r="C76" i="67"/>
  <c r="E8" i="76"/>
  <c r="M8" i="81"/>
  <c r="M9" i="81"/>
  <c r="L47" i="81"/>
  <c r="D4" i="73"/>
  <c r="F38" i="15"/>
  <c r="M28" i="67"/>
  <c r="E11" i="76"/>
  <c r="J15" i="67"/>
  <c r="M29" i="15"/>
  <c r="F43" i="15"/>
  <c r="M22" i="15"/>
  <c r="M26" i="15"/>
  <c r="C76" i="15"/>
  <c r="B69" i="43" l="1"/>
  <c r="B54" i="43"/>
  <c r="C15" i="39"/>
  <c r="B41" i="1"/>
  <c r="F32" i="81" s="1"/>
  <c r="F60" i="81" s="1"/>
  <c r="D93" i="9"/>
  <c r="F48" i="9"/>
  <c r="O52" i="9" s="1"/>
  <c r="F28" i="81"/>
  <c r="F51" i="81"/>
  <c r="F68" i="81"/>
  <c r="Q71" i="81"/>
  <c r="C27" i="81"/>
  <c r="F66" i="81"/>
  <c r="F65" i="81"/>
  <c r="F64" i="81"/>
  <c r="F71" i="81"/>
  <c r="F50" i="81"/>
  <c r="C49" i="81" s="1"/>
  <c r="C61" i="81" s="1"/>
  <c r="M7" i="81"/>
  <c r="J6" i="81" s="1"/>
  <c r="J19" i="81" s="1"/>
  <c r="C6" i="81"/>
  <c r="C33" i="81" s="1"/>
  <c r="M7" i="1"/>
  <c r="C28" i="81"/>
  <c r="J51" i="15"/>
  <c r="L59" i="81"/>
  <c r="N59" i="81"/>
  <c r="M59" i="81"/>
  <c r="F6" i="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L48" i="67"/>
  <c r="C16" i="67"/>
  <c r="C16" i="81"/>
  <c r="G1" i="73"/>
  <c r="C16" i="15"/>
  <c r="L48" i="15"/>
  <c r="J57" i="67" l="1"/>
  <c r="J55" i="67" s="1"/>
  <c r="J58" i="67" s="1"/>
  <c r="Q50" i="67" s="1"/>
  <c r="I54" i="67"/>
  <c r="J53" i="67"/>
  <c r="Q52" i="67" s="1"/>
  <c r="L56" i="67"/>
  <c r="L58" i="67"/>
  <c r="Q73" i="67" s="1"/>
  <c r="I24" i="43"/>
  <c r="C24" i="43" s="1"/>
  <c r="M18" i="81"/>
  <c r="J18" i="81" s="1"/>
  <c r="F30" i="11"/>
  <c r="F31" i="12"/>
  <c r="C31" i="12" s="1"/>
  <c r="M18" i="67"/>
  <c r="F30" i="69"/>
  <c r="M18" i="15"/>
  <c r="D68" i="9"/>
  <c r="F30" i="68"/>
  <c r="F28" i="67"/>
  <c r="C28" i="67" s="1"/>
  <c r="F52" i="9"/>
  <c r="F32" i="67"/>
  <c r="F60" i="67" s="1"/>
  <c r="F32" i="15"/>
  <c r="F60" i="15" s="1"/>
  <c r="F28" i="15"/>
  <c r="C28" i="15" s="1"/>
  <c r="F54" i="9"/>
  <c r="C32" i="81"/>
  <c r="O7" i="1"/>
  <c r="P7" i="1" s="1"/>
  <c r="Q74" i="81"/>
  <c r="Q61" i="81"/>
  <c r="J57" i="15"/>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F1" i="67"/>
  <c r="Q61" i="67"/>
  <c r="Q74" i="67"/>
  <c r="Q74" i="15"/>
  <c r="Q61" i="15"/>
  <c r="AE11" i="1"/>
  <c r="AE9" i="1"/>
  <c r="F27" i="68"/>
  <c r="AE8" i="1"/>
  <c r="AE12" i="1"/>
  <c r="AE10" i="1"/>
  <c r="AE7" i="1"/>
  <c r="F48" i="68" l="1"/>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J24" i="81"/>
  <c r="C53" i="81"/>
  <c r="C48" i="81" s="1"/>
  <c r="C10" i="81"/>
  <c r="C5" i="81" s="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81"/>
  <c r="F41" i="81"/>
  <c r="AE6" i="1"/>
  <c r="F41" i="67" s="1"/>
  <c r="U10" i="40" l="1"/>
  <c r="W10" i="40"/>
  <c r="AC10" i="39"/>
  <c r="F69" i="81"/>
  <c r="F69" i="67"/>
  <c r="AG6" i="1"/>
  <c r="O36" i="43"/>
  <c r="N36" i="43"/>
  <c r="M36" i="43"/>
  <c r="Q36" i="43"/>
  <c r="C66" i="81"/>
  <c r="C60" i="81"/>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M27" i="67"/>
  <c r="M27" i="15"/>
  <c r="C17" i="67"/>
  <c r="C14" i="67"/>
  <c r="C17" i="81"/>
  <c r="C17" i="15"/>
  <c r="C25" i="11" l="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14" i="81"/>
  <c r="B6" i="76"/>
  <c r="C15" i="81" l="1"/>
  <c r="C18" i="81"/>
  <c r="C19" i="81"/>
  <c r="E2" i="70"/>
  <c r="D7" i="74"/>
  <c r="D8" i="7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D9" i="71"/>
  <c r="I63" i="40"/>
  <c r="H65" i="40"/>
  <c r="I58" i="21"/>
  <c r="J58" i="21" s="1"/>
  <c r="K58" i="21" s="1"/>
  <c r="L58" i="21" s="1"/>
  <c r="M58" i="21" s="1"/>
  <c r="N58" i="21" s="1"/>
  <c r="O58" i="21" s="1"/>
  <c r="H7" i="21" s="1"/>
  <c r="J48" i="35"/>
  <c r="F7" i="21" l="1"/>
  <c r="C20" i="81"/>
  <c r="C26" i="81" s="1"/>
  <c r="H26" i="43"/>
  <c r="J26" i="43"/>
  <c r="E26" i="43"/>
  <c r="N94" i="46"/>
  <c r="F26" i="43"/>
  <c r="G26" i="43"/>
  <c r="N370" i="46"/>
  <c r="Z7" i="43"/>
  <c r="B116" i="43"/>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S7" i="21"/>
  <c r="AA7" i="21"/>
  <c r="R48" i="21" s="1"/>
  <c r="J63" i="40"/>
  <c r="I65" i="40"/>
  <c r="K48" i="35"/>
  <c r="L48" i="35" s="1"/>
  <c r="M48" i="35" s="1"/>
  <c r="N48" i="35" s="1"/>
  <c r="O48" i="35" s="1"/>
  <c r="H7" i="35" s="1"/>
  <c r="W7" i="21"/>
  <c r="C23" i="81" l="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M21" i="67"/>
  <c r="F35" i="81"/>
  <c r="M21" i="81"/>
  <c r="F35" i="67"/>
  <c r="F35" i="15"/>
  <c r="M21" i="15"/>
  <c r="C57" i="81" l="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6" i="69"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C7" i="69" l="1"/>
  <c r="C5" i="69" s="1"/>
  <c r="J13" i="8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C23" i="69" l="1"/>
  <c r="C20" i="69"/>
  <c r="J16" i="81"/>
  <c r="J25" i="81" s="1"/>
  <c r="J26" i="81" s="1"/>
  <c r="J29" i="81" s="1"/>
  <c r="Q69" i="81"/>
  <c r="Q68" i="81" s="1"/>
  <c r="C80" i="81"/>
  <c r="C79" i="81" s="1"/>
  <c r="C40" i="81"/>
  <c r="C46" i="81" s="1"/>
  <c r="Q67" i="81"/>
  <c r="C43" i="81"/>
  <c r="C23" i="68"/>
  <c r="C20"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C28" i="69"/>
  <c r="C27" i="69" s="1"/>
  <c r="C25" i="69"/>
  <c r="C22" i="69" s="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E2" i="68"/>
  <c r="L51" i="15"/>
  <c r="D2" i="35"/>
  <c r="D2" i="36"/>
  <c r="D2" i="37"/>
  <c r="C31" i="69" l="1"/>
  <c r="C52" i="69" s="1"/>
  <c r="B2" i="69" s="1"/>
  <c r="B3" i="69" s="1"/>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AO7" i="1"/>
  <c r="AO12" i="1"/>
  <c r="AO9" i="1"/>
  <c r="AO11" i="1"/>
  <c r="AO6" i="1"/>
  <c r="C57" i="69" l="1"/>
  <c r="C56" i="69" s="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20" i="9"/>
  <c r="D19" i="9"/>
  <c r="D35" i="9"/>
  <c r="D21" i="9" l="1"/>
  <c r="D102" i="9"/>
  <c r="D22" i="9"/>
  <c r="G19" i="9"/>
  <c r="G21" i="9" s="1"/>
  <c r="B3" i="70"/>
  <c r="C103" i="9"/>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E14" i="74"/>
  <c r="D14" i="74" s="1"/>
  <c r="D118" i="9"/>
  <c r="D4" i="52" s="1"/>
  <c r="B47" i="72" s="1"/>
  <c r="H118" i="9" l="1"/>
  <c r="H101" i="9" s="1"/>
  <c r="F118" i="9"/>
  <c r="F4" i="52" s="1"/>
  <c r="B51" i="72" s="1"/>
  <c r="C104" i="9"/>
  <c r="G14" i="74"/>
  <c r="B6" i="74" s="1"/>
  <c r="D6" i="74" s="1"/>
  <c r="I118" i="9"/>
  <c r="D119" i="9"/>
  <c r="D5" i="52" s="1"/>
  <c r="B49" i="72" s="1"/>
  <c r="H4" i="52"/>
  <c r="H119" i="9"/>
  <c r="H5" i="52" s="1"/>
  <c r="G118" i="9" l="1"/>
  <c r="G4" i="52" s="1"/>
  <c r="B52" i="72" s="1"/>
  <c r="F119" i="9"/>
  <c r="F5" i="52" s="1"/>
  <c r="B53" i="72" s="1"/>
  <c r="F14" i="74"/>
  <c r="B5" i="74"/>
  <c r="D5" i="74" s="1"/>
  <c r="D45" i="9"/>
  <c r="M48" i="9"/>
  <c r="H107" i="9"/>
  <c r="D5" i="53"/>
  <c r="C105" i="9"/>
  <c r="I4" i="52"/>
  <c r="H102" i="9"/>
  <c r="E118" i="9"/>
  <c r="E4" i="52" s="1"/>
  <c r="B48" i="72" s="1"/>
  <c r="D7" i="53" l="1"/>
  <c r="B21" i="72" s="1"/>
  <c r="C5" i="74"/>
  <c r="D122" i="9"/>
  <c r="H108" i="9"/>
  <c r="D13" i="53"/>
  <c r="D53" i="9"/>
  <c r="D52" i="9"/>
  <c r="C72" i="9"/>
  <c r="C85" i="9"/>
  <c r="C64" i="9"/>
  <c r="C63" i="9" s="1"/>
  <c r="C67" i="9" s="1"/>
  <c r="C78" i="9"/>
  <c r="C73" i="9" s="1"/>
  <c r="C93" i="9"/>
  <c r="C86" i="9" s="1"/>
  <c r="D55" i="9"/>
  <c r="M53" i="9" s="1"/>
  <c r="B20" i="72"/>
  <c r="D6" i="53"/>
  <c r="B22" i="72" s="1"/>
  <c r="C95" i="9" l="1"/>
  <c r="C96" i="9" s="1"/>
  <c r="E96" i="9" s="1"/>
  <c r="E97" i="9" s="1"/>
  <c r="D14" i="53"/>
  <c r="B32" i="72" s="1"/>
  <c r="B30" i="72"/>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<sst xmlns="http://schemas.openxmlformats.org/spreadsheetml/2006/main" count="8293" uniqueCount="3468">
  <si>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</si>
  <si>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</si>
  <si>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</si>
  <si>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</si>
  <si>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</si>
  <si>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</si>
  <si>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</si>
  <si>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</si>
  <si>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</si>
  <si>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</si>
  <si>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</si>
  <si>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</si>
  <si>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</si>
  <si>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</si>
  <si>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</si>
  <si>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</si>
  <si>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</si>
  <si>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</si>
  <si>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</si>
  <si>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</si>
  <si>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</si>
  <si>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</si>
  <si>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</si>
  <si>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</si>
  <si>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</si>
  <si>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</si>
  <si>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</si>
  <si>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</si>
  <si>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</si>
  <si>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</si>
  <si>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</si>
  <si>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</si>
  <si>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</si>
  <si>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</si>
  <si>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</si>
  <si>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</si>
  <si>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</si>
  <si>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</si>
  <si>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</si>
  <si>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</si>
  <si>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</si>
  <si>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</si>
  <si>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</si>
  <si>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</si>
  <si>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</si>
  <si>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</si>
  <si>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</si>
  <si>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</si>
  <si>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</si>
  <si>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</si>
  <si>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</si>
  <si>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</si>
  <si>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</si>
  <si>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</si>
  <si>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</si>
  <si>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</si>
  <si>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</si>
  <si>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</si>
  <si>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</si>
  <si>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</si>
  <si>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</si>
  <si>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</si>
  <si>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</si>
  <si>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</si>
  <si>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</si>
  <si>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</si>
  <si>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</si>
  <si>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</si>
  <si>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</si>
  <si>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</si>
  <si>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</si>
  <si>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</si>
  <si>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</si>
  <si>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</si>
  <si>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</si>
  <si>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</si>
  <si>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</si>
  <si>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</si>
  <si>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</si>
  <si>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</si>
  <si>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</si>
  <si>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</si>
  <si>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</si>
  <si>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</si>
  <si>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</si>
  <si>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</si>
  <si>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</si>
  <si>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</si>
  <si>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</si>
  <si>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</si>
  <si>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</si>
  <si>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</si>
  <si>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</si>
  <si>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</si>
  <si>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</si>
  <si>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</si>
  <si>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</si>
  <si>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</si>
  <si>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</si>
  <si>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</si>
  <si>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</si>
  <si>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</si>
  <si>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</si>
  <si>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</si>
  <si>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</si>
  <si>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</si>
  <si>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</si>
  <si>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</si>
  <si>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</si>
  <si>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</si>
  <si>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</si>
  <si>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</si>
  <si>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</si>
  <si>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</si>
  <si>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</si>
  <si>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</si>
  <si>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</si>
  <si>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</si>
  <si>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</si>
  <si>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</si>
  <si>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</si>
  <si>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</si>
  <si>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</si>
  <si>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</si>
  <si>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</si>
  <si>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</si>
  <si>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</si>
  <si>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</si>
  <si>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</si>
  <si>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</si>
  <si>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</si>
  <si>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</si>
  <si>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</si>
  <si>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</si>
  <si>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</si>
  <si>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</si>
  <si>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</si>
  <si>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</si>
  <si>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</si>
  <si>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</si>
  <si>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</si>
  <si>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</si>
  <si>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</si>
  <si>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</si>
  <si>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</si>
  <si>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</si>
  <si>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</si>
  <si>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</si>
  <si>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</si>
  <si>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</si>
  <si>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</si>
  <si>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</si>
  <si>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</si>
  <si>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</si>
  <si>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</si>
  <si>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</si>
  <si>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</si>
  <si>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</si>
  <si>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</si>
  <si>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</si>
  <si>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</si>
  <si>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</si>
  <si>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</si>
  <si>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</si>
  <si>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</si>
  <si>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</si>
  <si>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</si>
  <si>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</si>
  <si>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</si>
  <si>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</si>
  <si>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</si>
  <si>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</si>
  <si>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</si>
  <si>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</si>
  <si>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</si>
  <si>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</si>
  <si>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</si>
  <si>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</si>
  <si>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</si>
  <si>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</si>
  <si>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</si>
  <si>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</si>
  <si>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</si>
  <si>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</si>
  <si>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</si>
  <si>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</si>
  <si>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</si>
  <si>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</si>
  <si>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</si>
  <si>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</si>
  <si>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</si>
  <si>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</si>
  <si>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</si>
  <si>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</si>
  <si>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</si>
  <si>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</si>
  <si>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</si>
  <si>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</si>
  <si>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</si>
  <si>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</si>
  <si>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</si>
  <si>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</si>
  <si>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</si>
  <si>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</si>
  <si>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</si>
  <si>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</si>
  <si>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</si>
  <si>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</si>
  <si>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</si>
  <si>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</si>
  <si>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</si>
  <si>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</si>
  <si>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</si>
  <si>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</si>
  <si>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</si>
  <si>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</si>
  <si>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</si>
  <si>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</si>
  <si>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</si>
  <si>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</si>
  <si>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</si>
  <si>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</si>
  <si>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</si>
  <si>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</si>
  <si>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</si>
  <si>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</si>
  <si>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</si>
  <si>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</si>
  <si>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</si>
  <si>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</si>
  <si>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</si>
  <si>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</si>
  <si>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</si>
  <si>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</si>
  <si>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</si>
  <si>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</si>
  <si>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</si>
  <si>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</si>
  <si>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</si>
  <si>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</si>
  <si>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</si>
  <si>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</si>
  <si>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</si>
  <si>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</si>
  <si>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</si>
  <si>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</si>
  <si>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</si>
  <si>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</si>
  <si>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</si>
  <si>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</si>
  <si>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</si>
  <si>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</si>
  <si>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</si>
  <si>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</si>
  <si>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</si>
  <si>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</si>
  <si>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</si>
  <si>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</si>
  <si>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</si>
  <si>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</si>
  <si>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</si>
  <si>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</si>
  <si>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</si>
  <si>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</si>
  <si>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</si>
  <si>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</si>
  <si>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</si>
  <si>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</si>
  <si>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</si>
  <si>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</si>
  <si>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</si>
  <si>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</si>
  <si>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</si>
  <si>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</si>
  <si>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</si>
  <si>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</si>
  <si>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</si>
  <si>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</si>
  <si>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</si>
  <si>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</si>
  <si>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</si>
  <si>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</si>
  <si>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</si>
  <si>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</si>
  <si>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</si>
  <si>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</si>
  <si>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</si>
  <si>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</si>
  <si>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</si>
  <si>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</si>
  <si>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</si>
  <si>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</si>
  <si>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</si>
  <si>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</si>
  <si>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</si>
  <si>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</si>
  <si>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</si>
  <si>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</si>
  <si>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</si>
  <si>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</si>
  <si>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</si>
  <si>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</si>
  <si>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</si>
  <si>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</si>
  <si>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</si>
  <si>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</si>
  <si>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</si>
  <si>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</si>
  <si>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</si>
  <si>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</si>
  <si>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</si>
  <si>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</si>
  <si>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</si>
  <si>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</si>
  <si>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</si>
  <si>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</si>
  <si>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</si>
  <si>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</si>
  <si>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</si>
  <si>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</si>
  <si>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</si>
  <si>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</si>
  <si>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</si>
  <si>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</si>
  <si>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</si>
  <si>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</si>
  <si>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</si>
  <si>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</si>
  <si>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</si>
  <si>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</si>
  <si>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</si>
  <si>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</si>
  <si>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</si>
  <si>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</si>
  <si>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</si>
  <si>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</si>
  <si>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</si>
  <si>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</si>
  <si>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</si>
  <si>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</si>
  <si>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</si>
  <si>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</si>
  <si>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</si>
  <si>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</si>
  <si>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</si>
  <si>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</si>
  <si>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</si>
  <si>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</si>
  <si>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</si>
  <si>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</si>
  <si>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</si>
  <si>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</si>
  <si>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</si>
  <si>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</si>
  <si>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</si>
  <si>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</si>
  <si>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</si>
  <si>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</si>
  <si>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</si>
  <si>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</si>
  <si>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</si>
  <si>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</si>
  <si>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</si>
  <si>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</si>
  <si>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</si>
  <si>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</si>
  <si>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</si>
  <si>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</si>
  <si>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</si>
  <si>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</si>
  <si>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</si>
  <si>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</si>
  <si>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</si>
  <si>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</si>
  <si>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</si>
  <si>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</si>
  <si>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</si>
  <si>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</si>
  <si>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</si>
  <si>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</si>
  <si>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</si>
  <si>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</si>
  <si>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</si>
  <si>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</si>
  <si>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</si>
  <si>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</si>
  <si>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</si>
  <si>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</si>
  <si>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</si>
  <si>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</si>
  <si>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</si>
  <si>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</si>
  <si>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</si>
  <si>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</si>
  <si>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</si>
  <si>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</si>
  <si>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</si>
  <si>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</si>
  <si>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</si>
  <si>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</si>
  <si>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</si>
  <si>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</si>
  <si>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</si>
  <si>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</si>
  <si>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</si>
  <si>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</si>
  <si>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</si>
  <si>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</si>
  <si>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</si>
  <si>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</si>
  <si>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</si>
  <si>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</si>
  <si>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</si>
  <si>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</si>
  <si>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</si>
  <si>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</si>
  <si>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</si>
  <si>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</si>
  <si>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</si>
  <si>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</si>
  <si>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</si>
  <si>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</si>
  <si>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</si>
  <si>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</si>
  <si>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</si>
  <si>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</si>
  <si>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</si>
  <si>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</si>
  <si>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</si>
  <si>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</si>
  <si>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</si>
  <si>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</si>
  <si>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</si>
  <si>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</si>
  <si>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</si>
  <si>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</si>
  <si>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</si>
  <si>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</si>
  <si>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</si>
  <si>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</si>
  <si>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</si>
  <si>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</si>
  <si>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</si>
  <si>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</si>
  <si>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</si>
  <si>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</si>
  <si>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</si>
  <si>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</si>
  <si>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</si>
  <si>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</si>
  <si>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</si>
  <si>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</si>
  <si>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</si>
  <si>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</si>
  <si>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</si>
  <si>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</si>
  <si>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</si>
  <si>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</si>
  <si>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</si>
  <si>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</si>
  <si>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</si>
  <si>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</si>
  <si>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</si>
  <si>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</si>
  <si>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</si>
  <si>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</si>
  <si>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</si>
  <si>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</si>
  <si>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</si>
  <si>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</si>
  <si>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</si>
  <si>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</si>
  <si>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</si>
  <si>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</si>
  <si>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</si>
  <si>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</si>
  <si>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</si>
  <si>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</si>
  <si>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</si>
  <si>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</si>
  <si>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</si>
  <si>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</si>
  <si>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</si>
  <si>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</si>
  <si>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</si>
  <si>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</si>
  <si>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</si>
  <si>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</si>
  <si>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</si>
  <si>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</si>
  <si>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</si>
  <si>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</si>
  <si>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</si>
  <si>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</si>
  <si>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</si>
  <si>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</si>
  <si>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</si>
  <si>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</si>
  <si>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</si>
  <si>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</si>
  <si>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</si>
  <si>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</si>
  <si>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</si>
  <si>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</si>
  <si>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</si>
  <si>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</si>
  <si>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</si>
  <si>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</si>
  <si>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</si>
  <si>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</si>
  <si>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</si>
  <si>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</si>
  <si>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</si>
  <si>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</si>
  <si>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</si>
  <si>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</si>
  <si>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</si>
  <si>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</si>
  <si>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</si>
  <si>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</si>
  <si>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</si>
  <si>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</si>
  <si>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</si>
  <si>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</si>
  <si>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</si>
  <si>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</si>
  <si>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</si>
  <si>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</si>
  <si>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</si>
  <si>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</si>
  <si>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</si>
  <si>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</si>
  <si>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</si>
  <si>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</si>
  <si>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</si>
  <si>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</si>
  <si>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</si>
  <si>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</si>
  <si>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</si>
  <si>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</si>
  <si>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</si>
  <si>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</si>
  <si>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</si>
  <si>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</si>
  <si>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</si>
  <si>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</si>
  <si>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</si>
  <si>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</si>
  <si>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</si>
  <si>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</si>
  <si>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</si>
  <si>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</si>
  <si>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</si>
  <si>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</si>
  <si>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</si>
  <si>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</si>
  <si>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</si>
  <si>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</si>
  <si>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</si>
  <si>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</si>
  <si>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</si>
  <si>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</si>
  <si>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</si>
  <si>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</si>
  <si>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</si>
  <si>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</si>
  <si>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</si>
  <si>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</si>
  <si>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</si>
  <si>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</si>
  <si>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</si>
  <si>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</si>
  <si>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</si>
  <si>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</si>
  <si>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</si>
  <si>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</si>
  <si>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</si>
  <si>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</si>
  <si>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</si>
  <si>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</si>
  <si>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</si>
  <si>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</si>
  <si>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</si>
  <si>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</si>
  <si>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</si>
  <si>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</si>
  <si>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</si>
  <si>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</si>
  <si>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</si>
  <si>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</si>
  <si>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</si>
  <si>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</si>
  <si>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</si>
  <si>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</si>
  <si>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</si>
  <si>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</si>
  <si>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</si>
  <si>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</si>
  <si>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</si>
  <si>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</si>
  <si>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</si>
  <si>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</si>
  <si>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</si>
  <si>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</si>
  <si>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</si>
  <si>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</si>
  <si>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</si>
  <si>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</si>
  <si>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</si>
  <si>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</si>
  <si>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</si>
  <si>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</si>
  <si>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</si>
  <si>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</si>
  <si>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</si>
  <si>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</si>
  <si>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</si>
  <si>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</si>
  <si>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</si>
  <si>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</si>
  <si>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</si>
  <si>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</si>
  <si>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</si>
  <si>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</si>
  <si>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</si>
  <si>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</si>
  <si>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</si>
  <si>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</si>
  <si>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</si>
  <si>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</si>
  <si>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</si>
  <si>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</si>
  <si>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</si>
  <si>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</si>
  <si>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</si>
  <si>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</si>
  <si>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</si>
  <si>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</si>
  <si>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</si>
  <si>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</si>
  <si>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</si>
  <si>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</si>
  <si>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</si>
  <si>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</si>
  <si>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</si>
  <si>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</si>
  <si>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</si>
  <si>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</si>
  <si>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</si>
  <si>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</si>
  <si>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</si>
  <si>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</si>
  <si>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</si>
  <si>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</si>
  <si>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</si>
  <si>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</si>
  <si>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</si>
  <si>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</si>
  <si>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</si>
  <si>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</si>
  <si>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</si>
  <si>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</si>
  <si>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</si>
  <si>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</si>
  <si>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</si>
  <si>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</si>
  <si>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</si>
  <si>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</si>
  <si>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</si>
  <si>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</si>
  <si>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</si>
  <si>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</si>
  <si>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</si>
  <si>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</si>
  <si>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</si>
  <si>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</si>
  <si>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</si>
  <si>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</si>
  <si>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</si>
  <si>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</si>
  <si>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</si>
  <si>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</si>
  <si>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</si>
  <si>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</si>
  <si>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</si>
  <si>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</si>
  <si>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</si>
  <si>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</si>
  <si>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</si>
  <si>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</si>
  <si>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</si>
  <si>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</si>
  <si>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</si>
  <si>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</si>
  <si>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</si>
  <si>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</si>
  <si>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</si>
  <si>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</si>
  <si>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</si>
  <si>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</si>
  <si>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</si>
  <si>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</si>
  <si>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</si>
  <si>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</si>
  <si>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</si>
  <si>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</si>
  <si>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</si>
  <si>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</si>
  <si>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</si>
  <si>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</si>
  <si>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</si>
  <si>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</si>
  <si>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</si>
  <si>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</si>
  <si>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</si>
  <si>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</si>
  <si>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</si>
  <si>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</si>
  <si>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</si>
  <si>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</si>
  <si>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</si>
  <si>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</si>
  <si>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</si>
  <si>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</si>
  <si>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</si>
  <si>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</si>
  <si>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</si>
  <si>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</si>
  <si>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</si>
  <si>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</si>
  <si>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</si>
  <si>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</si>
  <si>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</si>
  <si>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</si>
  <si>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</si>
  <si>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</si>
  <si>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</si>
  <si>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</si>
  <si>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</si>
  <si>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</si>
  <si>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</si>
  <si>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</si>
  <si>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</si>
  <si>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</si>
  <si>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</si>
  <si>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</si>
  <si>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</si>
  <si>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</si>
  <si>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</si>
  <si>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</si>
  <si>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</si>
  <si>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</si>
  <si>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</si>
  <si>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</si>
  <si>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</si>
  <si>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</si>
  <si>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</si>
  <si>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</si>
  <si>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</si>
  <si>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</si>
  <si>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</si>
  <si>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</si>
  <si>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</si>
  <si>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</si>
  <si>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</si>
  <si>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</si>
  <si>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</si>
  <si>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</si>
  <si>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</si>
  <si>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</si>
  <si>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</si>
  <si>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</si>
  <si>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</si>
  <si>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</si>
  <si>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</si>
  <si>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</si>
  <si>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</si>
  <si>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</si>
  <si>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</si>
  <si>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</si>
  <si>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</si>
  <si>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</si>
  <si>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</si>
  <si>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</si>
  <si>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</si>
  <si>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</si>
  <si>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</si>
  <si>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</si>
  <si>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</si>
  <si>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</si>
  <si>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</si>
  <si>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</si>
  <si>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</si>
  <si>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</si>
  <si>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</si>
  <si>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</si>
  <si>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</si>
  <si>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</si>
  <si>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</si>
  <si>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</si>
  <si>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</si>
  <si>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</si>
  <si>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</si>
  <si>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</si>
  <si>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</si>
  <si>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</si>
  <si>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</si>
  <si>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</si>
  <si>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</si>
  <si>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</si>
  <si>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</si>
  <si>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</si>
  <si>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</si>
  <si>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</si>
  <si>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</si>
  <si>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</si>
  <si>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</si>
  <si>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</si>
  <si>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</si>
  <si>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</si>
  <si>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</si>
  <si>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</si>
  <si>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</si>
  <si>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</si>
  <si>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</si>
  <si>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</si>
  <si>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</si>
  <si>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</si>
  <si>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</si>
  <si>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</si>
  <si>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</si>
  <si>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</si>
  <si>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</si>
  <si>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</si>
  <si>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</si>
  <si>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</si>
  <si>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</si>
  <si>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</si>
  <si>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</si>
  <si>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</si>
  <si>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</si>
  <si>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</si>
  <si>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</si>
  <si>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</si>
  <si>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</si>
  <si>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</si>
  <si>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</si>
  <si>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</si>
  <si>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</si>
  <si>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</si>
  <si>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</si>
  <si>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</si>
  <si>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</si>
  <si>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</si>
  <si>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</si>
  <si>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</si>
  <si>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</si>
  <si>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</si>
  <si>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</si>
  <si>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</si>
  <si>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</si>
  <si>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</si>
  <si>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</si>
  <si>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</si>
  <si>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</si>
  <si>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</si>
  <si>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</si>
  <si>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</si>
  <si>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</si>
  <si>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</si>
  <si>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</si>
  <si>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</si>
  <si>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</si>
  <si>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</si>
  <si>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</si>
  <si>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</si>
  <si>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</si>
  <si>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</si>
  <si>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</si>
  <si>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</si>
  <si>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</si>
  <si>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</si>
  <si>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</si>
  <si>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</si>
  <si>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</si>
  <si>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</si>
  <si>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</si>
  <si>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</si>
  <si>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</si>
  <si>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</si>
  <si>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</si>
  <si>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</si>
  <si>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</si>
  <si>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</si>
  <si>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</si>
  <si>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</si>
  <si>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</si>
  <si>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</si>
  <si>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</si>
  <si>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</si>
  <si>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</si>
  <si>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</si>
  <si>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</si>
  <si>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</si>
  <si>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</si>
  <si>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</si>
  <si>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</si>
  <si>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</si>
  <si>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</si>
  <si>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</si>
  <si>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</si>
  <si>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</si>
  <si>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</si>
  <si>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</si>
  <si>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</si>
  <si>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</si>
  <si>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</si>
  <si>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</si>
  <si>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</si>
  <si>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</si>
  <si>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</si>
  <si>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</si>
  <si>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</si>
  <si>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</si>
  <si>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</si>
  <si>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</si>
  <si>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</si>
  <si>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</si>
  <si>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</si>
  <si>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</si>
  <si>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</si>
  <si>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</si>
  <si>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</si>
  <si>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</si>
  <si>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</si>
  <si>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</si>
  <si>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</si>
  <si>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</si>
  <si>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</si>
  <si>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</si>
  <si>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</si>
  <si>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</si>
  <si>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</si>
  <si>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</si>
  <si>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</si>
  <si>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</si>
  <si>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</si>
  <si>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</si>
  <si>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</si>
  <si>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</si>
  <si>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</si>
  <si>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</si>
  <si>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</si>
  <si>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</si>
  <si>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</si>
  <si>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</si>
  <si>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</si>
  <si>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</si>
  <si>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</si>
  <si>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</si>
  <si>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</si>
  <si>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</si>
  <si>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</si>
  <si>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</si>
  <si>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</si>
  <si>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</si>
  <si>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</si>
  <si>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</si>
  <si>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</si>
  <si>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</si>
  <si>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</si>
  <si>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</si>
  <si>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</si>
  <si>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</si>
  <si>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</si>
  <si>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</si>
  <si>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</si>
  <si>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</si>
  <si>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</si>
  <si>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</si>
  <si>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</si>
  <si>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</si>
  <si>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</si>
  <si>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</si>
  <si>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</si>
  <si>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</si>
  <si>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</si>
  <si>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</si>
  <si>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</si>
  <si>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</si>
  <si>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</si>
  <si>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</si>
  <si>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</si>
  <si>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</si>
  <si>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</si>
  <si>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</si>
  <si>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</si>
  <si>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</si>
  <si>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</si>
  <si>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</si>
  <si>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</si>
  <si>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</si>
  <si>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</si>
  <si>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</si>
  <si>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</si>
  <si>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</si>
  <si>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</si>
  <si>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</si>
  <si>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</si>
  <si>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</si>
  <si>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</si>
  <si>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</si>
  <si>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</si>
  <si>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</si>
  <si>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</si>
  <si>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</si>
  <si>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</si>
  <si>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</si>
  <si>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</si>
  <si>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</si>
  <si>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</si>
  <si>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</si>
  <si>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</si>
  <si>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</si>
  <si>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</si>
  <si>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</si>
  <si>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</si>
  <si>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</si>
  <si>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</si>
  <si>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</si>
  <si>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</si>
  <si>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</si>
  <si>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</si>
  <si>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</si>
  <si>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</si>
  <si>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</si>
  <si>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</si>
  <si>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</si>
  <si>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</si>
  <si>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</si>
  <si>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</si>
  <si>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</si>
  <si>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</si>
  <si>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</si>
  <si>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</si>
  <si>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</si>
  <si>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</si>
  <si>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</si>
  <si>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</si>
  <si>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</si>
  <si>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</si>
  <si>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</si>
  <si>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</si>
  <si>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</si>
  <si>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</si>
  <si>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</si>
  <si>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</si>
  <si>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</si>
  <si>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</si>
  <si>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</si>
  <si>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</si>
  <si>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</si>
  <si>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</si>
  <si>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</si>
  <si>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</si>
  <si>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</si>
  <si>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</si>
  <si>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</si>
  <si>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</si>
  <si>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</si>
  <si>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</si>
  <si>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</si>
  <si>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</si>
  <si>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</si>
  <si>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</si>
  <si>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</si>
  <si>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</si>
  <si>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</si>
  <si>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</si>
  <si>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</si>
  <si>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</si>
  <si>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</si>
  <si>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</si>
  <si>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</si>
  <si>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</si>
  <si>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</si>
  <si>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</si>
  <si>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</si>
  <si>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</si>
  <si>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</si>
  <si>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</si>
  <si>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</si>
  <si>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</si>
  <si>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</si>
  <si>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</si>
  <si>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</si>
  <si>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</si>
  <si>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</si>
  <si>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</si>
  <si>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</si>
  <si>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</si>
  <si>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</si>
  <si>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</si>
  <si>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</si>
  <si>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</si>
  <si>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</si>
  <si>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</si>
  <si>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</si>
  <si>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</si>
  <si>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</si>
  <si>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</si>
  <si>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</si>
  <si>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</si>
  <si>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</si>
  <si>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</si>
  <si>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</si>
  <si>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</si>
  <si>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</si>
  <si>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</si>
  <si>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</si>
  <si>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</si>
  <si>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</si>
  <si>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</si>
  <si>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</si>
  <si>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</si>
  <si>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</si>
  <si>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</si>
  <si>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</si>
  <si>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</si>
  <si>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</si>
  <si>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</si>
  <si>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</si>
  <si>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</si>
  <si>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</si>
  <si>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</si>
  <si>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</si>
  <si>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</si>
  <si>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</si>
  <si>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</si>
  <si>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</si>
  <si>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</si>
  <si>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</si>
  <si>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</si>
  <si>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</si>
  <si>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</si>
  <si>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</si>
  <si>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</si>
  <si>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</si>
  <si>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</si>
  <si>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</si>
  <si>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</si>
  <si>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</si>
  <si>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</si>
  <si>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</si>
  <si>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</si>
  <si>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</si>
  <si>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</si>
  <si>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</si>
  <si>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</si>
  <si>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</si>
  <si>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</si>
  <si>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</si>
  <si>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</si>
  <si>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</si>
  <si>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</si>
  <si>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</si>
  <si>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</si>
  <si>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</si>
  <si>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</si>
  <si>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</si>
  <si>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</si>
  <si>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</si>
  <si>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</si>
  <si>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</si>
  <si>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</si>
  <si>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</si>
  <si>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</si>
  <si>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</si>
  <si>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</si>
  <si>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</si>
  <si>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</si>
  <si>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</si>
  <si>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</si>
  <si>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</si>
  <si>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</si>
  <si>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</si>
  <si>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</si>
  <si>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</si>
  <si>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</si>
  <si>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</si>
  <si>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</si>
  <si>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</si>
  <si>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</si>
  <si>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</si>
  <si>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</si>
  <si>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</si>
  <si>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</si>
  <si>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</si>
  <si>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</si>
  <si>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</si>
  <si>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</si>
  <si>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</si>
  <si>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</si>
  <si>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</si>
  <si>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</si>
  <si>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</si>
  <si>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</si>
  <si>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</si>
  <si>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</si>
  <si>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</si>
  <si>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</si>
  <si>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</si>
  <si>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</si>
  <si>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</si>
  <si>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</si>
  <si>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</si>
  <si>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</si>
  <si>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</si>
  <si>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</si>
  <si>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</si>
  <si>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</si>
  <si>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</si>
  <si>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</si>
  <si>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</si>
  <si>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</si>
  <si>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</si>
  <si>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</si>
  <si>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</si>
  <si>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</si>
  <si>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</si>
  <si>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</si>
  <si>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</si>
  <si>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</si>
  <si>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</si>
  <si>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</si>
  <si>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</si>
  <si>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</si>
  <si>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</si>
  <si>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</si>
  <si>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</si>
  <si>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</si>
  <si>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</si>
  <si>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</si>
  <si>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</si>
  <si>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</si>
  <si>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</si>
  <si>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</si>
  <si>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</si>
  <si>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</si>
  <si>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</si>
  <si>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</si>
  <si>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</si>
  <si>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</si>
  <si>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</si>
  <si>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</si>
  <si>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</si>
  <si>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</si>
  <si>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</si>
  <si>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</si>
  <si>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</si>
  <si>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</si>
  <si>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</si>
  <si>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</si>
  <si>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</si>
  <si>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</si>
  <si>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</si>
  <si>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</si>
  <si>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</si>
  <si>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</si>
  <si>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</si>
  <si>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</si>
  <si>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</si>
  <si>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</si>
  <si>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</si>
  <si>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</si>
  <si>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</si>
  <si>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</si>
  <si>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</si>
  <si>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</si>
  <si>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</si>
  <si>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</si>
  <si>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</si>
  <si>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</si>
  <si>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</si>
  <si>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</si>
  <si>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</si>
  <si>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</si>
  <si>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</si>
  <si>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</si>
  <si>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</si>
  <si>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</si>
  <si>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</si>
  <si>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</si>
  <si>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</si>
  <si>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</si>
  <si>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</si>
  <si>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</si>
  <si>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</si>
  <si>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</si>
  <si>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</si>
  <si>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</si>
  <si>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</si>
  <si>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</si>
  <si>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</si>
  <si>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</si>
  <si>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</si>
  <si>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</si>
  <si>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</si>
  <si>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</si>
  <si>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</si>
  <si>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</si>
  <si>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</si>
  <si>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</si>
  <si>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</si>
  <si>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</si>
  <si>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</si>
  <si>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</si>
  <si>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</si>
  <si>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</si>
  <si>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</si>
  <si>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</si>
  <si>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</si>
  <si>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</si>
  <si>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</si>
  <si>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</si>
  <si>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</si>
  <si>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</si>
  <si>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</si>
  <si>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</si>
  <si>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</si>
  <si>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</si>
  <si>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</si>
  <si>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</si>
  <si>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</si>
  <si>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</si>
  <si>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</si>
  <si>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</si>
  <si>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</si>
  <si>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</si>
  <si>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</si>
  <si>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</si>
  <si>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</si>
  <si>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</si>
  <si>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</si>
  <si>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</si>
  <si>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</si>
  <si>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</si>
  <si>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</si>
  <si>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</si>
  <si>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</si>
  <si>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</si>
  <si>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</si>
  <si>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</si>
  <si>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</si>
  <si>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</si>
  <si>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</si>
  <si>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</si>
  <si>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</si>
  <si>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</si>
  <si>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</si>
  <si>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</si>
  <si>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</si>
  <si>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</si>
  <si>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</si>
  <si>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</si>
  <si>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</si>
  <si>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</si>
  <si>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</si>
  <si>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</si>
  <si>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</si>
  <si>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</si>
  <si>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</si>
  <si>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</si>
  <si>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</si>
  <si>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</si>
  <si>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</si>
  <si>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</si>
  <si>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</si>
  <si>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</si>
  <si>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</si>
  <si>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</si>
  <si>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</si>
  <si>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</si>
  <si>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</si>
  <si>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</si>
  <si>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</si>
  <si>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</si>
  <si>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</si>
  <si>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</si>
  <si>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</si>
  <si>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</si>
  <si>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</si>
  <si>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</si>
  <si>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</si>
  <si>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</si>
  <si>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</si>
  <si>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</si>
  <si>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</si>
  <si>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</si>
  <si>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</si>
  <si>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</si>
  <si>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</si>
  <si>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</si>
  <si>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</si>
  <si>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</si>
  <si>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</si>
  <si>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</si>
  <si>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</si>
  <si>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</si>
  <si>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</si>
  <si>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</si>
  <si>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</si>
  <si>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</si>
  <si>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</si>
  <si>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</si>
  <si>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</si>
  <si>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</si>
  <si>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</si>
  <si>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</si>
  <si>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</si>
  <si>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</si>
  <si>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</si>
  <si>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</si>
  <si>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</si>
  <si>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</si>
  <si>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</si>
  <si>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</si>
  <si>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</si>
  <si>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</si>
  <si>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</si>
  <si>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</si>
  <si>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</si>
  <si>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</si>
  <si>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</si>
  <si>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</si>
  <si>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</si>
  <si>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</si>
  <si>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</si>
  <si>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</si>
  <si>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</si>
  <si>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</si>
  <si>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</si>
  <si>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</si>
  <si>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</si>
  <si>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</si>
  <si>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</si>
  <si>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</si>
  <si>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</si>
  <si>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</si>
  <si>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</si>
  <si>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</si>
  <si>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</si>
  <si>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</si>
  <si>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</si>
  <si>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</si>
  <si>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</si>
  <si>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</si>
  <si>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</si>
  <si>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</si>
  <si>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</si>
  <si>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</si>
  <si>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</si>
  <si>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</si>
  <si>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</si>
  <si>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</si>
  <si>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</si>
  <si>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</si>
  <si>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</si>
  <si>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</si>
  <si>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</si>
  <si>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</si>
  <si>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</si>
  <si>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</si>
  <si>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</si>
  <si>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</si>
  <si>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</si>
  <si>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</si>
  <si>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</si>
  <si>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</si>
  <si>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</si>
  <si>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</si>
  <si>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</si>
  <si>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</si>
  <si>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</si>
  <si>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</si>
  <si>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</si>
  <si>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</si>
  <si>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</si>
  <si>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</si>
  <si>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</si>
  <si>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</si>
  <si>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</si>
  <si>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</si>
  <si>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</si>
  <si>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</si>
  <si>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</si>
  <si>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</si>
  <si>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</si>
  <si>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</si>
  <si>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</si>
  <si>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</si>
  <si>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</si>
  <si>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</si>
  <si>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</si>
  <si>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</si>
  <si>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</si>
  <si>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</si>
  <si>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</si>
  <si>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</si>
  <si>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</si>
  <si>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</si>
  <si>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</si>
  <si>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</si>
  <si>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</si>
  <si>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</si>
  <si>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</si>
  <si>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</si>
  <si>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</si>
  <si>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</si>
  <si>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</si>
  <si>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</si>
  <si>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</si>
  <si>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</si>
  <si>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</si>
  <si>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</si>
  <si>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</si>
  <si>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</si>
  <si>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</si>
  <si>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</si>
  <si>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</si>
  <si>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</si>
  <si>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</si>
  <si>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</si>
  <si>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</si>
  <si>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</si>
  <si>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</si>
  <si>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</si>
  <si>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</si>
  <si>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</si>
  <si>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</si>
  <si>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</si>
  <si>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</si>
  <si>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</si>
  <si>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</si>
  <si>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</si>
  <si>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</si>
  <si>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</si>
  <si>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</si>
  <si>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</si>
  <si>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</si>
  <si>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</si>
  <si>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</si>
  <si>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</si>
  <si>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</si>
  <si>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</si>
  <si>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</si>
  <si>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</si>
  <si>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</si>
  <si>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</si>
  <si>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</si>
  <si>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</si>
  <si>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</si>
  <si>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</si>
  <si>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</si>
  <si>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</si>
  <si>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</si>
  <si>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</si>
  <si>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</si>
  <si>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</si>
  <si>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</si>
  <si>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</si>
  <si>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</si>
  <si>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</si>
  <si>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</si>
  <si>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</si>
  <si>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</si>
  <si>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</si>
  <si>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</si>
  <si>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</si>
  <si>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</si>
  <si>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</si>
  <si>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</si>
  <si>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</si>
  <si>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</si>
  <si>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</si>
  <si>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</si>
  <si>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</si>
  <si>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</si>
  <si>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</si>
  <si>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</si>
  <si>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</si>
  <si>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</si>
  <si>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</si>
  <si>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</si>
  <si>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</si>
  <si>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</si>
  <si>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</si>
  <si>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</si>
  <si>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</si>
  <si>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</si>
  <si>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</si>
  <si>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</si>
  <si>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</si>
  <si>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</si>
  <si>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</si>
  <si>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</si>
  <si>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</si>
  <si>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</si>
  <si>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</si>
  <si>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</si>
  <si>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</si>
  <si>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</si>
  <si>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</si>
  <si>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</si>
  <si>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</si>
  <si>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</si>
  <si>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</si>
  <si>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</si>
  <si>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</si>
  <si>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</si>
  <si>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</si>
  <si>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</si>
  <si>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</si>
  <si>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</si>
  <si>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</si>
  <si>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</si>
  <si>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</si>
  <si>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</si>
  <si>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</si>
  <si>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</si>
  <si>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</si>
  <si>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</si>
  <si>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</si>
  <si>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</si>
  <si>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</si>
  <si>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</si>
  <si>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</si>
  <si>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</si>
  <si>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</si>
  <si>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</si>
  <si>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</si>
  <si>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</si>
  <si>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</si>
  <si>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</si>
  <si>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</si>
  <si>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</si>
  <si>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</si>
  <si>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</si>
  <si>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</si>
  <si>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</si>
  <si>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</si>
  <si>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</si>
  <si>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</si>
  <si>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</si>
  <si>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</si>
  <si>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</si>
  <si>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</si>
  <si>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</si>
  <si>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</si>
  <si>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</si>
  <si>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</si>
  <si>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</si>
  <si>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</si>
  <si>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</si>
  <si>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</si>
  <si>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</si>
  <si>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</si>
  <si>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</si>
  <si>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</si>
  <si>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</si>
  <si>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</si>
  <si>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</si>
  <si>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</si>
  <si>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</si>
  <si>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</si>
  <si>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</si>
  <si>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</si>
  <si>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</si>
  <si>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</si>
  <si>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</si>
  <si>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</si>
  <si>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</si>
  <si>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</si>
  <si>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</si>
  <si>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</si>
  <si>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</si>
  <si>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</si>
  <si>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</si>
  <si>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</si>
  <si>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</si>
  <si>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</si>
  <si>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</si>
  <si>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</si>
  <si>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</si>
  <si>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</si>
  <si>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</si>
  <si>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</si>
  <si>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</si>
  <si>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</si>
  <si>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</si>
  <si>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</si>
  <si>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</si>
  <si>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</si>
  <si>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</si>
  <si>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</si>
  <si>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</si>
  <si>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</si>
  <si>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</si>
  <si>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</si>
  <si>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</si>
  <si>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</si>
  <si>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</si>
  <si>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</si>
  <si>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</si>
  <si>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</si>
  <si>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</si>
  <si>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</si>
  <si>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</si>
  <si>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</si>
  <si>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</si>
  <si>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</si>
  <si>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</si>
  <si>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</si>
  <si>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</si>
  <si>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</si>
  <si>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</si>
  <si>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</si>
  <si>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</si>
  <si>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</si>
  <si>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</si>
  <si>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</si>
  <si>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</si>
  <si>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</si>
  <si>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</si>
  <si>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</si>
  <si>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</si>
  <si>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</si>
  <si>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</si>
  <si>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</si>
  <si>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</si>
  <si>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</si>
  <si>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</si>
  <si>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</si>
  <si>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</si>
  <si>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</si>
  <si>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</si>
  <si>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</si>
  <si>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</si>
  <si>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</si>
  <si>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</si>
  <si>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</si>
  <si>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</si>
  <si>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</si>
  <si>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</si>
  <si>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</si>
  <si>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</si>
  <si>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</si>
  <si>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</si>
  <si>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</si>
  <si>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</si>
  <si>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</si>
  <si>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</si>
  <si>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</si>
  <si>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</si>
  <si>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</si>
  <si>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</si>
  <si>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</si>
  <si>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</si>
  <si>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</si>
  <si>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</si>
  <si>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</si>
  <si>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</si>
  <si>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</si>
  <si>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</si>
  <si>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</si>
  <si>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</si>
  <si>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</si>
  <si>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</si>
  <si>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</si>
  <si>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</si>
  <si>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</si>
  <si>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</si>
  <si>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</si>
  <si>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</si>
  <si>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</si>
  <si>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</si>
  <si>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</si>
  <si>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</si>
  <si>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</si>
  <si>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</si>
  <si>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</si>
  <si>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</si>
  <si>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</si>
  <si>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</si>
  <si>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</si>
  <si>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</si>
  <si>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</si>
  <si>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</si>
  <si>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</si>
  <si>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</si>
  <si>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</si>
  <si>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</si>
  <si>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</si>
  <si>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</si>
  <si>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</si>
  <si>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</si>
  <si>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</si>
  <si>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</si>
  <si>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</si>
  <si>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</si>
  <si>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</si>
  <si>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</si>
  <si>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</si>
  <si>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</si>
  <si>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</si>
  <si>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</si>
  <si>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</si>
  <si>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</si>
  <si>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</si>
  <si>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</si>
  <si>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</si>
  <si>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</si>
  <si>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</si>
  <si>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</si>
  <si>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</si>
  <si>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</si>
  <si>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</si>
  <si>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</si>
  <si>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</si>
  <si>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</si>
  <si>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</si>
  <si>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</si>
  <si>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</si>
  <si>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</si>
  <si>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</si>
  <si>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</si>
  <si>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</si>
  <si>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</si>
  <si>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</si>
  <si>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</si>
  <si>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</si>
  <si>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</si>
  <si>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</si>
  <si>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</si>
  <si>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</si>
  <si>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</si>
  <si>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</si>
  <si>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</si>
  <si>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</si>
  <si>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</si>
  <si>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</si>
  <si>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</si>
  <si>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</si>
  <si>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</si>
  <si>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</si>
  <si>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</si>
  <si>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</si>
  <si>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</si>
  <si>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</si>
  <si>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</si>
  <si>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</si>
  <si>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</si>
  <si>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</si>
  <si>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</si>
  <si>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</si>
  <si>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</si>
  <si>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</si>
  <si>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</si>
  <si>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</si>
  <si>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</si>
  <si>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</si>
  <si>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</si>
  <si>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</si>
  <si>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</si>
  <si>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</si>
  <si>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</si>
  <si>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</si>
  <si>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</si>
  <si>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</si>
  <si>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</si>
  <si>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</si>
  <si>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</si>
  <si>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</si>
  <si>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</si>
  <si>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</si>
  <si>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</si>
  <si>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</si>
  <si>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</si>
  <si>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</si>
  <si>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</si>
  <si>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</si>
  <si>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</si>
  <si>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</si>
  <si>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</si>
  <si>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</si>
  <si>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</si>
  <si>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</si>
  <si>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</si>
  <si>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</si>
  <si>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</si>
  <si>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</si>
  <si>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</si>
  <si>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</si>
  <si>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</si>
  <si>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</si>
  <si>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</si>
  <si>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</si>
  <si>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</si>
  <si>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</si>
  <si>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</si>
  <si>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</si>
  <si>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</si>
  <si>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</si>
  <si>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</si>
  <si>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</si>
  <si>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</si>
  <si>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</si>
  <si>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</si>
  <si>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</si>
  <si>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</si>
  <si>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</si>
  <si>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</si>
  <si>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</si>
  <si>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</si>
  <si>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</si>
  <si>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</si>
  <si>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</si>
  <si>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</si>
  <si>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</si>
  <si>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</si>
  <si>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</si>
  <si>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</si>
  <si>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</si>
  <si>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</si>
  <si>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</si>
  <si>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</si>
  <si>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</si>
  <si>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</si>
  <si>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</si>
  <si>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</si>
  <si>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</si>
  <si>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</si>
  <si>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</si>
  <si>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</si>
  <si>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</si>
  <si>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</si>
  <si>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</si>
  <si>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</si>
  <si>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</si>
  <si>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</si>
  <si>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</si>
  <si>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</si>
  <si>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</si>
  <si>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</si>
  <si>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</si>
  <si>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</si>
  <si>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</si>
  <si>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</si>
  <si>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</si>
  <si>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</si>
  <si>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</si>
  <si>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</si>
  <si>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</si>
  <si>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</si>
  <si>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</si>
  <si>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</si>
  <si>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</si>
  <si>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</si>
  <si>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</si>
  <si>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</si>
  <si>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</si>
  <si>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</si>
  <si>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</si>
  <si>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</si>
  <si>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</si>
  <si>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</si>
  <si>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</si>
  <si>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</si>
  <si>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</si>
  <si>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</si>
  <si>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</si>
  <si>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</si>
  <si>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</si>
  <si>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</si>
  <si>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</si>
  <si>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</si>
  <si>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</si>
  <si>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</si>
  <si>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</si>
  <si>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</si>
  <si>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</si>
  <si>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</si>
  <si>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</si>
  <si>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</si>
  <si>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</si>
  <si>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</si>
  <si>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</si>
  <si>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</si>
  <si>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</si>
  <si>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</si>
  <si>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</si>
  <si>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</si>
  <si>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</si>
  <si>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</si>
  <si>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</si>
  <si>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</si>
  <si>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</si>
  <si>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</si>
  <si>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</si>
  <si>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</si>
  <si>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</si>
  <si>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</si>
  <si>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</si>
  <si>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</si>
  <si>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</si>
  <si>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</si>
  <si>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</si>
  <si>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</si>
  <si>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</si>
  <si>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</si>
  <si>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</si>
  <si>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</si>
  <si>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</si>
  <si>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</si>
  <si>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</si>
  <si>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</si>
  <si>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</si>
  <si>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</si>
  <si>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</si>
  <si>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</si>
  <si>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</si>
  <si>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</si>
  <si>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</si>
  <si>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</si>
  <si>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</si>
  <si>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</si>
  <si>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</si>
  <si>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</si>
  <si>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</si>
  <si>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</si>
  <si>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</si>
  <si>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</si>
  <si>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</si>
  <si>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</si>
  <si>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</si>
  <si>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</si>
  <si>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</si>
  <si>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</si>
  <si>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</si>
  <si>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</si>
  <si>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</si>
  <si>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</si>
  <si>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</si>
  <si>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</si>
  <si>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</si>
  <si>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</si>
  <si>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</si>
  <si>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</si>
  <si>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</si>
  <si>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</si>
  <si>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</si>
  <si>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</si>
  <si>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</si>
  <si>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</si>
  <si>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</si>
  <si>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</si>
  <si>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</si>
  <si>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</si>
  <si>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</si>
  <si>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</si>
  <si>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</si>
  <si>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</si>
  <si>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</si>
  <si>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</si>
  <si>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</si>
  <si>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</si>
  <si>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</si>
  <si>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</si>
  <si>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</si>
  <si>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</si>
  <si>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</si>
  <si>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</si>
  <si>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</si>
  <si>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</si>
  <si>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</si>
  <si>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</si>
  <si>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</si>
  <si>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</si>
  <si>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</si>
  <si>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</si>
  <si>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</si>
  <si>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</si>
  <si>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</si>
  <si>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</si>
  <si>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</si>
  <si>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</si>
  <si>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</si>
  <si>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</si>
  <si>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</si>
  <si>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</si>
  <si>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</si>
  <si>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</si>
  <si>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</si>
  <si>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</si>
  <si>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</si>
  <si>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</si>
  <si>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</si>
  <si>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</si>
  <si>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</si>
  <si>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</si>
  <si>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</si>
  <si>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</si>
  <si>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</si>
  <si>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</si>
  <si>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</si>
  <si>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</si>
  <si>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</si>
  <si>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</si>
  <si>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</si>
  <si>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</si>
  <si>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</si>
  <si>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</si>
  <si>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</si>
  <si>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</si>
  <si>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</si>
  <si>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</si>
  <si>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</si>
  <si>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</si>
  <si>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</si>
  <si>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</si>
  <si>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</si>
  <si>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</si>
  <si>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</si>
  <si>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</si>
  <si>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</si>
  <si>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</si>
  <si>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</si>
  <si>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</si>
  <si>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</si>
  <si>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</si>
  <si>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</si>
  <si>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</si>
  <si>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</si>
  <si>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</si>
  <si>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</si>
  <si>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</si>
  <si>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</si>
  <si>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</si>
  <si>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</si>
  <si>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</si>
  <si>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</si>
  <si>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</si>
  <si>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</si>
  <si>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</si>
  <si>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</si>
  <si>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</si>
  <si>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</si>
  <si>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</si>
  <si>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</si>
  <si>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</si>
  <si>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</si>
  <si>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</si>
  <si>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</si>
  <si>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</si>
  <si>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</si>
  <si>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</si>
  <si>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</si>
  <si>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</si>
  <si>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</si>
  <si>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</si>
  <si>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</si>
  <si>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</si>
  <si>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</si>
  <si>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</si>
  <si>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</si>
  <si>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</si>
  <si>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</si>
  <si>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</si>
  <si>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</si>
  <si>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</si>
  <si>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</si>
  <si>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</si>
  <si>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</si>
  <si>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</si>
  <si>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</si>
  <si>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</si>
  <si>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</si>
  <si>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</si>
  <si>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</si>
  <si>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</si>
  <si>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</si>
  <si>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</si>
  <si>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</si>
  <si>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</si>
  <si>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</si>
  <si>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</si>
  <si>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</si>
  <si>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</si>
  <si>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</si>
  <si>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</si>
  <si>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</si>
  <si>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</si>
  <si>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</si>
  <si>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</si>
  <si>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</si>
  <si>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</si>
  <si>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</si>
  <si>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</si>
  <si>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</si>
  <si>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</si>
  <si>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</si>
  <si>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</si>
  <si>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</si>
  <si>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</si>
  <si>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</si>
  <si>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</si>
  <si>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</si>
  <si>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</si>
  <si>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</si>
  <si>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</si>
  <si>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</si>
  <si>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</si>
  <si>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</si>
  <si>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</si>
  <si>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</si>
  <si>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</si>
  <si>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</si>
  <si>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</si>
  <si>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</si>
  <si>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</si>
  <si>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</si>
  <si>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</si>
  <si>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</si>
  <si>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</si>
  <si>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</si>
  <si>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</si>
  <si>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</si>
  <si>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</si>
  <si>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</si>
  <si>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</si>
  <si>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</si>
  <si>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</si>
  <si>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</si>
  <si>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</si>
  <si>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</si>
  <si>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</si>
  <si>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</si>
  <si>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</si>
  <si>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</si>
  <si>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</si>
  <si>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</si>
  <si>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</si>
  <si>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</si>
  <si>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</si>
  <si>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</si>
  <si>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</si>
  <si>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</si>
  <si>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</si>
  <si>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</si>
  <si>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</si>
  <si>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</si>
  <si>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</si>
  <si>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</si>
  <si>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</si>
  <si>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</si>
  <si>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</si>
  <si>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</si>
  <si>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</si>
  <si>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</si>
  <si>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</si>
  <si>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</si>
  <si>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</si>
  <si>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</si>
  <si>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</si>
  <si>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</si>
  <si>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</si>
  <si>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</si>
  <si>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</si>
  <si>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</si>
  <si>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</si>
  <si>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</si>
  <si>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</si>
  <si>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</si>
  <si>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</si>
  <si>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</si>
  <si>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</si>
  <si>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</si>
  <si>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</si>
  <si>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</si>
  <si>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</si>
  <si>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</si>
  <si>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</si>
  <si>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</si>
  <si>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</si>
  <si>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</si>
  <si>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</si>
  <si>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</si>
  <si>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</si>
  <si>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</si>
  <si>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</si>
  <si>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</si>
  <si>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</si>
  <si>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</si>
  <si>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</si>
  <si>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</si>
  <si>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</si>
  <si>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</si>
  <si>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</si>
  <si>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</si>
  <si>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</si>
  <si>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</si>
  <si>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</si>
  <si>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</si>
  <si>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</si>
  <si>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</si>
  <si>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</si>
  <si>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</si>
  <si>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</si>
  <si>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</si>
  <si>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</si>
  <si>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</si>
  <si>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</si>
  <si>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</si>
  <si>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</si>
  <si>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</si>
  <si>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</si>
  <si>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</si>
  <si>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</si>
  <si>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</si>
  <si>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</si>
  <si>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</si>
  <si>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</si>
  <si>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</si>
  <si>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</si>
  <si>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</si>
  <si>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</si>
  <si>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</si>
  <si>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</si>
  <si>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</si>
  <si>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</si>
  <si>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</si>
  <si>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</si>
  <si>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</si>
  <si>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</si>
  <si>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</si>
  <si>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</si>
  <si>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</si>
  <si>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</si>
  <si>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</si>
  <si>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</si>
  <si>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</si>
  <si>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</si>
  <si>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</si>
  <si>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</si>
  <si>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</si>
  <si>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</si>
  <si>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</si>
  <si>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</si>
  <si>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</si>
  <si>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</si>
  <si>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</si>
  <si>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</si>
  <si>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</si>
  <si>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</si>
  <si>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</si>
  <si>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</si>
  <si>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</si>
  <si>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</si>
  <si>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</si>
  <si>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</si>
  <si>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</si>
  <si>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</si>
  <si>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</si>
  <si>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</si>
  <si>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</si>
  <si>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</si>
  <si>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</si>
  <si>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</si>
  <si>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</si>
  <si>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</si>
  <si>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</si>
  <si>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</si>
  <si>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</si>
  <si>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</si>
  <si>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</si>
  <si>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</si>
  <si>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</si>
  <si>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</si>
  <si>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</si>
  <si>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</si>
  <si>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</si>
  <si>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</si>
  <si>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</si>
  <si>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</si>
  <si>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</si>
  <si>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</si>
  <si>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</si>
  <si>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</si>
  <si>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</si>
  <si>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</si>
  <si>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</si>
  <si>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</si>
  <si>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</si>
  <si>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</si>
  <si>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</si>
  <si>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</si>
  <si>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</si>
  <si>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</si>
  <si>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</si>
  <si>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</si>
  <si>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</si>
  <si>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</si>
  <si>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</si>
  <si>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</si>
  <si>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</si>
  <si>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</si>
  <si>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</si>
  <si>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</si>
  <si>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</si>
  <si>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</si>
  <si>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</si>
  <si>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</si>
  <si>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</si>
  <si>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</si>
  <si>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</si>
  <si>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</si>
  <si>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</si>
  <si>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</si>
  <si>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</si>
  <si>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</si>
  <si>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</si>
  <si>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</si>
  <si>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</si>
  <si>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</si>
  <si>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</si>
  <si>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</si>
  <si>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</si>
  <si>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</si>
  <si>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</si>
  <si>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</si>
  <si>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</si>
  <si>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</si>
  <si>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</si>
  <si>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</si>
  <si>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</si>
  <si>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</si>
  <si>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</si>
  <si>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</si>
  <si>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</si>
  <si>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</si>
  <si>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</si>
  <si>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</si>
  <si>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</si>
  <si>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</si>
  <si>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</si>
  <si>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</si>
  <si>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</si>
  <si>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</si>
  <si>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</si>
  <si>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</si>
  <si>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</si>
  <si>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</si>
  <si>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</si>
  <si>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</si>
  <si>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</si>
  <si>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</si>
  <si>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</si>
  <si>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</si>
  <si>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</si>
  <si>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</si>
  <si>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</si>
  <si>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</si>
  <si>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</si>
  <si>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</si>
  <si>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</si>
  <si>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</si>
  <si>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</si>
  <si>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</si>
  <si>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</si>
  <si>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</si>
  <si>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</si>
  <si>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</si>
  <si>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</si>
  <si>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</si>
  <si>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</si>
  <si>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</si>
  <si>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</si>
  <si>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</si>
  <si>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</si>
  <si>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</si>
  <si>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</si>
  <si>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</si>
  <si>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</si>
  <si>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</si>
  <si>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</si>
  <si>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</si>
  <si>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</si>
  <si>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</si>
  <si>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</si>
  <si>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</si>
  <si>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</si>
  <si>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</si>
  <si>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</si>
  <si>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</si>
  <si>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</si>
  <si>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</si>
  <si>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</si>
  <si>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</si>
  <si>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</si>
  <si>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</si>
  <si>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</si>
  <si>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</si>
  <si>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</si>
  <si>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</si>
  <si>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</si>
  <si>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</si>
  <si>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</si>
  <si>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</si>
  <si>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</si>
  <si>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</si>
  <si>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</si>
  <si>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</si>
  <si>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</si>
  <si>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</si>
  <si>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</si>
  <si>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</si>
  <si>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</si>
  <si>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</si>
  <si>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</si>
  <si>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</si>
  <si>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</si>
  <si>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</si>
  <si>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</si>
  <si>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</si>
  <si>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</si>
  <si>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</si>
  <si>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</si>
  <si>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</si>
  <si>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</si>
  <si>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</si>
  <si>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</si>
  <si>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</si>
  <si>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</si>
  <si>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</si>
  <si>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</si>
  <si>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</si>
  <si>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</si>
  <si>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</si>
  <si>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</si>
  <si>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</si>
  <si>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</si>
  <si>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</si>
  <si>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</si>
  <si>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</si>
  <si>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</si>
  <si>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</si>
  <si>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</si>
  <si>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</si>
  <si>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</si>
  <si>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</si>
  <si>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</si>
  <si>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</si>
  <si>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</si>
  <si>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</si>
  <si>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</si>
  <si>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</si>
  <si>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</si>
  <si>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</si>
  <si>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</si>
  <si>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</si>
  <si>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</si>
  <si>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</si>
  <si>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</si>
  <si>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</si>
  <si>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</si>
  <si>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</si>
  <si>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</si>
  <si>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</si>
  <si>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</si>
  <si>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</si>
  <si>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</si>
  <si>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</si>
  <si>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</si>
  <si>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</si>
  <si>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</si>
  <si>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</si>
  <si>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</si>
  <si>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</si>
  <si>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</si>
  <si>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</si>
  <si>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</si>
  <si>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</si>
  <si>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</si>
  <si>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</si>
  <si>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</si>
  <si>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</si>
  <si>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</si>
  <si>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</si>
  <si>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</si>
  <si>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</si>
  <si>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</si>
  <si>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</si>
  <si>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</si>
  <si>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</si>
  <si>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</si>
  <si>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</si>
  <si>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</si>
  <si>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</si>
  <si>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</si>
  <si>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</si>
  <si>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</si>
  <si>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</si>
  <si>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</si>
  <si>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</si>
  <si>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</si>
  <si>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</si>
  <si>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</si>
  <si>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</si>
  <si>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</si>
  <si>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</si>
  <si>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</si>
  <si>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</si>
  <si>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</si>
  <si>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</si>
  <si>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</si>
  <si>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</si>
  <si>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</si>
  <si>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</si>
  <si>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</si>
  <si>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</si>
  <si>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</si>
  <si>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</si>
  <si>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</si>
  <si>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</si>
  <si>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</si>
  <si>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</si>
  <si>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</si>
  <si>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</si>
  <si>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</si>
  <si>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</si>
  <si>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</si>
  <si>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</si>
  <si>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</si>
  <si>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</si>
  <si>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</si>
  <si>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</si>
  <si>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</si>
  <si>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</si>
  <si>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</si>
  <si>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</si>
  <si>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</si>
  <si>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</si>
  <si>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</si>
  <si>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</si>
  <si>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</si>
  <si>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</si>
  <si>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</si>
  <si>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</si>
  <si>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</si>
  <si>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</si>
  <si>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</si>
  <si>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</si>
  <si>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</si>
  <si>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</si>
  <si>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</si>
  <si>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</si>
  <si>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</si>
  <si>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</si>
  <si>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</si>
  <si>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</si>
  <si>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</si>
  <si>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</si>
  <si>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</si>
  <si>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</si>
  <si>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</si>
  <si>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</si>
  <si>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</si>
  <si>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</si>
  <si>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</si>
  <si>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</si>
  <si>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</si>
  <si>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</si>
  <si>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</si>
  <si>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</si>
  <si>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</si>
  <si>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</si>
  <si>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</si>
  <si>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</si>
  <si>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</si>
  <si>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</si>
  <si>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</si>
  <si>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</si>
  <si>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</si>
  <si>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</si>
  <si>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</si>
  <si>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</si>
  <si>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</si>
  <si>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</si>
  <si>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</si>
  <si>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</si>
  <si>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</si>
  <si>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</si>
  <si>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</si>
  <si>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</si>
  <si>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</si>
  <si>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</si>
  <si>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</si>
  <si>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</si>
  <si>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</si>
  <si>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</si>
  <si>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</si>
  <si>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</si>
  <si>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</si>
  <si>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</si>
  <si>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</si>
  <si>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</si>
  <si>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</si>
  <si>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</si>
  <si>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</si>
  <si>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</si>
  <si>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</si>
  <si>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</si>
  <si>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</si>
  <si>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</si>
  <si>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</si>
  <si>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</si>
  <si>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</si>
  <si>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</si>
  <si>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</si>
  <si>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</si>
  <si>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</si>
  <si>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</si>
  <si>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</si>
  <si>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</si>
  <si>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</si>
  <si>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</si>
  <si>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</si>
  <si>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</si>
  <si>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</si>
  <si>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</si>
  <si>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</si>
  <si>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</si>
  <si>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</si>
  <si>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</si>
  <si>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</si>
  <si>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</si>
  <si>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</si>
  <si>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</si>
  <si>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</si>
  <si>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</si>
  <si>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</si>
  <si>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</si>
  <si>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</si>
  <si>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</si>
  <si>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</si>
  <si>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</si>
  <si>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</si>
  <si>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</si>
  <si>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</si>
  <si>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</si>
  <si>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</si>
  <si>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</si>
  <si>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</si>
  <si>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</si>
  <si>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</si>
  <si>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</si>
  <si>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</si>
  <si>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</si>
  <si>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</si>
  <si>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</si>
  <si>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</si>
  <si>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</si>
  <si>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</si>
  <si>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</si>
  <si>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</si>
  <si>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</si>
  <si>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</si>
  <si>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</si>
  <si>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</si>
  <si>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</si>
  <si>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</si>
  <si>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</si>
  <si>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</si>
  <si>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</si>
  <si>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</si>
  <si>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</si>
  <si>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</si>
  <si>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</si>
  <si>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</si>
  <si>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</si>
  <si>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</si>
  <si>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</si>
  <si>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</si>
  <si>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</si>
  <si>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</si>
  <si>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</si>
  <si>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</si>
  <si>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</si>
  <si>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</si>
  <si>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</si>
  <si>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</si>
  <si>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</si>
  <si>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</si>
  <si>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</si>
  <si>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</si>
  <si>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</si>
  <si>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</si>
  <si>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</si>
  <si>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</si>
  <si>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</si>
  <si>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</si>
  <si>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</si>
  <si>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</si>
  <si>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</si>
  <si>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</si>
  <si>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</si>
  <si>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</si>
  <si>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</si>
  <si>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</si>
  <si>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</si>
  <si>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</si>
  <si>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</si>
  <si>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</si>
  <si>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</si>
  <si>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</si>
  <si>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</si>
  <si>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</si>
  <si>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</si>
  <si>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</si>
  <si>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</si>
  <si>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</si>
  <si>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</si>
  <si>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</si>
  <si>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</si>
  <si>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</si>
  <si>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</si>
  <si>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</si>
  <si>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</si>
  <si>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</si>
  <si>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</si>
  <si>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</si>
  <si>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</si>
  <si>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</si>
  <si>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</si>
  <si>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</si>
  <si>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</si>
  <si>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</si>
  <si>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</si>
  <si>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</si>
  <si>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</si>
  <si>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</si>
  <si>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</si>
  <si>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</si>
  <si>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</si>
  <si>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</si>
  <si>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</si>
  <si>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</si>
  <si>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</si>
  <si>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</si>
  <si>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</si>
  <si>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</si>
  <si>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</si>
  <si>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</si>
  <si>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</si>
  <si>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</si>
  <si>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</si>
  <si>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</si>
  <si>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</si>
  <si>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</si>
  <si>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</si>
  <si>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</si>
  <si>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</si>
  <si>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</si>
  <si>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</si>
  <si>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</si>
  <si>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</si>
  <si>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</si>
  <si>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</si>
  <si>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</si>
  <si>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</si>
  <si>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</si>
  <si>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</si>
  <si>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</si>
  <si>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</si>
  <si>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</si>
  <si>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</si>
  <si>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</si>
  <si>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</si>
  <si>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</si>
  <si>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</si>
  <si>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</si>
  <si>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</si>
  <si>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</si>
  <si>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</si>
  <si>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</si>
  <si>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</si>
  <si>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</si>
  <si>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</si>
  <si>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</si>
  <si>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</si>
  <si>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</si>
  <si>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</si>
  <si>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</si>
  <si>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</si>
  <si>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</si>
  <si>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</si>
  <si>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</si>
  <si>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</si>
  <si>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</si>
  <si>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</si>
  <si>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</si>
  <si>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</si>
  <si>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</si>
  <si>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</si>
  <si>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</si>
  <si>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</si>
  <si>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</si>
  <si>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</si>
  <si>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</si>
  <si>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</si>
  <si>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</si>
  <si>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</si>
  <si>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</si>
  <si>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</si>
  <si>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</si>
  <si>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</si>
  <si>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</si>
  <si>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</si>
  <si>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</si>
  <si>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</si>
  <si>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</si>
  <si>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</si>
  <si>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</si>
  <si>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</si>
  <si>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</si>
  <si>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</si>
  <si>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</si>
  <si>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</si>
  <si>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</si>
  <si>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</si>
  <si>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</si>
  <si>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</si>
  <si>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</si>
  <si>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</si>
  <si>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</si>
  <si>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</si>
  <si>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</si>
  <si>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</si>
  <si>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</si>
  <si>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</si>
  <si>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</si>
  <si>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</si>
  <si>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</si>
  <si>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</si>
  <si>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</si>
  <si>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</si>
  <si>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</si>
  <si>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</si>
  <si>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</si>
  <si>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</si>
  <si>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</si>
  <si>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</si>
  <si>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</si>
  <si>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</si>
  <si>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</si>
  <si>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</si>
  <si>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</si>
  <si>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</si>
  <si>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</si>
  <si>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</si>
  <si>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</si>
  <si>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</si>
  <si>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</si>
  <si>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</si>
  <si>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</si>
  <si>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</si>
  <si>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</si>
  <si>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</si>
  <si>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</si>
  <si>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</si>
  <si>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</si>
  <si>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</si>
  <si>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</si>
  <si>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</si>
  <si>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</si>
  <si>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</si>
  <si>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</si>
  <si>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</si>
  <si>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</si>
  <si>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</si>
  <si>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</si>
  <si>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</si>
  <si>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</si>
  <si>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</si>
  <si>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</si>
  <si>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</si>
  <si>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</si>
  <si>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</si>
  <si>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</si>
  <si>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</si>
  <si>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</si>
  <si>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</si>
  <si>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</si>
  <si>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</si>
  <si>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</si>
  <si>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</si>
  <si>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</si>
  <si>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</si>
  <si>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</si>
  <si>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</si>
  <si>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</si>
  <si>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</si>
  <si>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</si>
  <si>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</si>
  <si>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</si>
  <si>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</si>
  <si>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</si>
  <si>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</si>
  <si>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</si>
  <si>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</si>
  <si>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</si>
  <si>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</si>
  <si>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</si>
  <si>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</si>
  <si>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</si>
  <si>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</si>
  <si>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</si>
  <si>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</si>
  <si>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</si>
  <si>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</si>
  <si>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</si>
  <si>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</si>
  <si>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</si>
  <si>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</si>
  <si>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</si>
  <si>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</si>
  <si>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</si>
  <si>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</si>
  <si>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</si>
  <si>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</si>
  <si>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</si>
  <si>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</si>
  <si>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</si>
  <si>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</si>
  <si>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</si>
  <si>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</si>
  <si>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</si>
  <si>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</si>
  <si>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</si>
  <si>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</si>
  <si>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</si>
  <si>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</si>
  <si>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</si>
  <si>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</si>
  <si>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</si>
  <si>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</si>
  <si>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</si>
  <si>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</si>
  <si>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</si>
  <si>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</si>
  <si>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</si>
  <si>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</si>
  <si>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</si>
  <si>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</si>
  <si>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</si>
  <si>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</si>
  <si>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</si>
  <si>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</si>
  <si>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</si>
  <si>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</si>
  <si>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</si>
  <si>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</si>
  <si>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</si>
  <si>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</si>
  <si>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</si>
  <si>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</si>
  <si>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</si>
  <si>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</si>
  <si>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</si>
  <si>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</si>
  <si>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</si>
  <si>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</si>
  <si>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</si>
  <si>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</si>
  <si>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</si>
  <si>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</si>
  <si>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</si>
  <si>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</si>
  <si>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</si>
  <si>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</si>
  <si>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</si>
  <si>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</si>
  <si>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</si>
  <si>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</si>
  <si>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</si>
  <si>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</si>
  <si>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</si>
  <si>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</si>
  <si>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</si>
  <si>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</si>
  <si>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</si>
  <si>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</si>
  <si>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</si>
  <si>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</si>
  <si>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</si>
  <si>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</si>
  <si>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</si>
  <si>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</si>
  <si>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</si>
  <si>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</si>
  <si>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</si>
  <si>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</si>
  <si>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</si>
  <si>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</si>
  <si>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</si>
  <si>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</si>
  <si>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</si>
  <si>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</si>
  <si>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</si>
  <si>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</si>
  <si>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</si>
  <si>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</si>
  <si>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</si>
  <si>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</si>
  <si>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</si>
  <si>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</si>
  <si>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</si>
  <si>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</si>
  <si>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</si>
  <si>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</si>
  <si>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</si>
  <si>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</si>
  <si>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</si>
  <si>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</si>
  <si>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</si>
  <si>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</si>
  <si>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</si>
  <si>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</si>
  <si>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</si>
  <si>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</si>
  <si>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</si>
  <si>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</si>
  <si>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</si>
  <si>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</si>
  <si>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</si>
  <si>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</si>
  <si>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</si>
  <si>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</si>
  <si>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</si>
  <si>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</si>
  <si>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</si>
  <si>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</si>
  <si>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</si>
  <si>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</si>
  <si>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</si>
  <si>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</si>
  <si>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</si>
  <si>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</si>
  <si>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</si>
  <si>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</si>
  <si>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</si>
  <si>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</si>
  <si>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</si>
  <si>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</si>
  <si>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</si>
  <si>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</si>
  <si>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</si>
  <si>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</si>
  <si>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</si>
  <si>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</si>
  <si>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</si>
  <si>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</si>
  <si>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</si>
  <si>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</si>
  <si>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</si>
  <si>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</si>
  <si>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</si>
  <si>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</si>
  <si>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</si>
  <si>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</si>
  <si>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</si>
  <si>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</si>
  <si>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</si>
  <si>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</si>
  <si>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</si>
  <si>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</si>
  <si>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</si>
  <si>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</si>
  <si>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</si>
  <si>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</si>
  <si>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</si>
  <si>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</si>
  <si>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</si>
  <si>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</si>
  <si>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</si>
  <si>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</si>
  <si>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</si>
  <si>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</si>
  <si>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</si>
  <si>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</si>
  <si>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</si>
  <si>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</si>
  <si>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</si>
  <si>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</si>
  <si>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</si>
  <si>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</si>
  <si>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</si>
  <si>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</si>
  <si>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</si>
  <si>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</si>
  <si>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</si>
  <si>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</si>
  <si>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</si>
  <si>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</si>
  <si>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</si>
  <si>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</si>
  <si>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</si>
  <si>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</si>
  <si>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</si>
  <si>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</si>
  <si>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</si>
  <si>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</si>
  <si>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</si>
  <si>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</si>
  <si>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</si>
  <si>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</si>
  <si>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</si>
  <si>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</si>
  <si>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</si>
  <si>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</si>
  <si>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</si>
  <si>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</si>
  <si>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</si>
  <si>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</si>
  <si>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</si>
  <si>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</si>
  <si>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</si>
  <si>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</si>
  <si>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</si>
  <si>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</si>
  <si>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</si>
  <si>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</si>
  <si>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</si>
  <si>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</si>
  <si>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</si>
  <si>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</si>
  <si>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</si>
  <si>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</si>
  <si>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</si>
  <si>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</si>
  <si>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</si>
  <si>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</si>
  <si>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</si>
  <si>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</si>
  <si>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</si>
  <si>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</si>
  <si>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</si>
  <si>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</si>
  <si>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</si>
  <si>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</si>
  <si>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</si>
  <si>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</si>
  <si>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</si>
  <si>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</si>
  <si>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</si>
  <si>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</si>
  <si>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</si>
  <si>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</si>
  <si>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</si>
  <si>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</si>
  <si>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</si>
  <si>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</si>
  <si>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</si>
  <si>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</si>
  <si>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</si>
  <si>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</si>
  <si>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</si>
  <si>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</si>
  <si>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</si>
  <si>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</si>
  <si>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</si>
  <si>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</si>
  <si>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</si>
  <si>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</si>
  <si>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</si>
  <si>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</si>
  <si>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</si>
  <si>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</si>
  <si>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</si>
  <si>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</si>
  <si>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</si>
  <si>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</si>
  <si>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</si>
  <si>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</si>
  <si>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</si>
  <si>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</si>
  <si>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</si>
  <si>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</si>
  <si>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</si>
  <si>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</si>
  <si>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</si>
  <si>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</si>
  <si>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</si>
  <si>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</si>
  <si>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</si>
  <si>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</si>
  <si>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</si>
  <si>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</si>
  <si>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</si>
  <si>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</si>
  <si>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</si>
  <si>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</si>
  <si>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</si>
  <si>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</si>
  <si>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</si>
  <si>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</si>
  <si>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</si>
  <si>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</si>
  <si>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</si>
  <si>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</si>
  <si>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</si>
  <si>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</si>
  <si>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</si>
  <si>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</si>
  <si>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</si>
  <si>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</si>
  <si>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</si>
  <si>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</si>
  <si>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</si>
  <si>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</si>
  <si>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</si>
  <si>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</si>
  <si>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</si>
  <si>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</si>
  <si>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</si>
  <si>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</si>
  <si>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</si>
  <si>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</si>
  <si>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</si>
  <si>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</si>
  <si>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</si>
  <si>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</si>
  <si>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</si>
  <si>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</si>
  <si>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</si>
  <si>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</si>
  <si>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</si>
  <si>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</si>
  <si>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</si>
  <si>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</si>
  <si>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</si>
  <si>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</si>
  <si>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</si>
  <si>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</si>
  <si>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</si>
  <si>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</si>
  <si>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</si>
  <si>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</si>
  <si>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</si>
  <si>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</si>
  <si>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</si>
  <si>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</si>
  <si>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</si>
  <si>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</si>
  <si>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</si>
  <si>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</si>
  <si>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</si>
  <si>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</si>
  <si>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</si>
  <si>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</si>
  <si>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</si>
  <si>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</si>
  <si>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</si>
  <si>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</si>
  <si>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</si>
  <si>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</si>
  <si>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</si>
  <si>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</si>
  <si>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</si>
  <si>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</si>
  <si>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</si>
  <si>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</si>
  <si>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</si>
  <si>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</si>
  <si>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</si>
  <si>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</si>
  <si>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</si>
  <si>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</si>
  <si>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</si>
  <si>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</si>
  <si>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</si>
  <si>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</si>
  <si>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</si>
  <si>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</si>
  <si>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</si>
  <si>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</si>
  <si>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</si>
  <si>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</si>
  <si>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</si>
  <si>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</si>
  <si>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</si>
  <si>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</si>
  <si>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</si>
  <si>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</si>
  <si>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</si>
  <si>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</si>
  <si>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</si>
  <si>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</si>
  <si>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</si>
  <si>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</si>
  <si>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</si>
  <si>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</si>
  <si>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</si>
  <si>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</si>
  <si>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</si>
  <si>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</si>
  <si>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</si>
  <si>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</si>
  <si>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</si>
  <si>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</si>
  <si>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</si>
  <si>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</si>
  <si>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</si>
  <si>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</si>
  <si>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</si>
  <si>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</si>
  <si>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</si>
  <si>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</si>
  <si>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</si>
  <si>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</si>
  <si>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</si>
  <si>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</si>
  <si>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</si>
  <si>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</si>
  <si>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</si>
  <si>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</si>
  <si>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</si>
  <si>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</si>
  <si>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</si>
  <si>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</si>
  <si>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</si>
  <si>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</si>
  <si>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</si>
  <si>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</si>
  <si>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</si>
  <si>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</si>
  <si>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</si>
  <si>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</si>
  <si>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</si>
  <si>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</si>
  <si>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</si>
  <si>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</si>
  <si>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</si>
  <si>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</si>
  <si>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</si>
  <si>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</si>
  <si>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</si>
  <si>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</si>
  <si>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</si>
  <si>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</si>
  <si>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</si>
  <si>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</si>
  <si>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</si>
  <si>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</si>
  <si>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</si>
  <si>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</si>
  <si>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</si>
  <si>
    <t>昌平区平西府东路1号院一区1号楼1层4-29</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</si>
</sst>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北京市昌平区平西府东路1号院一区1号楼1层4-29房地产抵押价值预评估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受贵公司委托，我公司对北京市昌平区平西府东路1号院一区1号楼1层4-29房地产抵押价值进行了预评估。</v>
      </c>
    </row>
    <row r="7" spans="1:2" s="1203" customFormat="1">
      <c r="A7" s="1201" t="s">
        <v>566</v>
      </c>
      <c r="B7" s="1202" t="str">
        <f>'预评函-1'!A7</f>
        <v>估价对象为北京市昌平区平西府东路1号院一区1号楼1层4-29房地产，为所有。根据《国有土地使用证》[]，估价对象（分摊）出让国有建设用地使用权面积为0平方米，建筑面积为52.28平方米。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1号楼1层4-29房地产,为开发建设的综合项目（商业、办公），该项目尚在开发建设中。根据《国有土地使用证》[]，估价对象（分摊）出让国有建设用地使用权面积为0平方米，规划建筑面积为52.28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136</v>
      </c>
    </row>
    <row r="21" spans="1:2" s="1203" customFormat="1">
      <c r="A21" s="1201" t="s">
        <v>537</v>
      </c>
      <c r="B21" s="1202">
        <f ca="1">'预评函-2'!D7</f>
        <v>26014</v>
      </c>
    </row>
    <row r="22" spans="1:2" s="1203" customFormat="1">
      <c r="A22" s="1201" t="s">
        <v>538</v>
      </c>
      <c r="B22" s="1202" t="str">
        <f ca="1">'预评函-2'!D6</f>
        <v>壹佰叁拾陆万元整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136</v>
      </c>
    </row>
    <row r="31" spans="1:2" s="1203" customFormat="1">
      <c r="A31" s="1201" t="s">
        <v>576</v>
      </c>
      <c r="B31" s="1202">
        <f ca="1">'预评函-2'!D15</f>
        <v>26014</v>
      </c>
    </row>
    <row r="32" spans="1:2" s="1203" customFormat="1">
      <c r="A32" s="1201" t="s">
        <v>543</v>
      </c>
      <c r="B32" s="1202" t="str">
        <f ca="1">'预评函-2'!D14</f>
        <v>壹佰叁拾陆万元整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北京市昌平区平西府东路1号院一区1号楼1层4-29房地产</v>
      </c>
    </row>
    <row r="42" spans="1:2" s="1203" customFormat="1">
      <c r="A42" s="1201" t="s">
        <v>590</v>
      </c>
      <c r="B42" s="1202" t="str">
        <f>'预评函-3'!B2</f>
        <v>建筑面积</v>
      </c>
    </row>
    <row r="43" spans="1:2" s="1203" customFormat="1">
      <c r="A43" s="1201" t="s">
        <v>591</v>
      </c>
      <c r="B43" s="1202">
        <f>'预评函-3'!B4</f>
        <v>52.28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107</v>
      </c>
    </row>
    <row r="48" spans="1:2" s="1203" customFormat="1">
      <c r="A48" s="1201" t="s">
        <v>549</v>
      </c>
      <c r="B48" s="1202">
        <f ca="1">'预评函-3'!E4</f>
        <v>20467</v>
      </c>
    </row>
    <row r="49" spans="1:2" s="1203" customFormat="1">
      <c r="A49" s="1201" t="s">
        <v>550</v>
      </c>
      <c r="B49" s="1202" t="str">
        <f ca="1">'预评函-3'!D5</f>
        <v>壹佰零柒万元整</v>
      </c>
    </row>
    <row r="50" spans="1:2" s="1203" customFormat="1">
      <c r="A50" s="1201" t="s">
        <v>574</v>
      </c>
      <c r="B50" s="1202" t="str">
        <f>'预评函-3'!F2</f>
        <v>在建建筑物价值</v>
      </c>
    </row>
    <row r="51" spans="1:2" s="1203" customFormat="1">
      <c r="A51" s="1201" t="s">
        <v>551</v>
      </c>
      <c r="B51" s="1202">
        <f ca="1">'预评函-3'!F4</f>
        <v>29</v>
      </c>
    </row>
    <row r="52" spans="1:2" s="1203" customFormat="1">
      <c r="A52" s="1201" t="s">
        <v>552</v>
      </c>
      <c r="B52" s="1202">
        <f ca="1">'预评函-3'!G4</f>
        <v>5547</v>
      </c>
    </row>
    <row r="53" spans="1:2" s="1203" customFormat="1">
      <c r="A53" s="1201" t="s">
        <v>580</v>
      </c>
      <c r="B53" s="1202" t="str">
        <f ca="1">'预评函-3'!F5</f>
        <v>贰拾玖万元整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9" t="s">
        <v>2578</v>
      </c>
      <c r="J2" s="3529"/>
      <c r="K2" s="3529"/>
      <c r="L2" s="3529"/>
      <c r="M2" s="3529"/>
      <c r="N2" s="3529"/>
      <c r="O2" s="3529"/>
      <c r="P2" s="3529"/>
      <c r="Q2" s="3529"/>
      <c r="R2" s="3529"/>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1" sqref="I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0" t="str">
        <f>IF(B10="北京市","北京市",C10)&amp;F10&amp;IF(结果表!G1="在建","出让国有建设用地使用权及在建建筑物",IF(结果表!G1="土地","出让国有建设用地使用权",))&amp;B9&amp;"预评估"</f>
        <v>北京市昌平区平西府东路1号院一区1号楼1层4-29房地产抵押价值预评估</v>
      </c>
      <c r="C1" s="3531"/>
      <c r="D1" s="3531"/>
      <c r="E1" s="3531"/>
      <c r="F1" s="3531"/>
      <c r="G1" s="3531"/>
      <c r="H1" s="3531"/>
      <c r="I1" s="353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北京市昌平区平西府东路1号院一区1号楼1层4-29房地产抵押价值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北京市昌平区平西府东路1号院一区1号楼1层4-29房地产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33"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34"/>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6" t="s">
        <v>3467</v>
      </c>
      <c r="G10" s="2664"/>
      <c r="H10" s="2665"/>
      <c r="I10" s="2666"/>
      <c r="J10" s="2437"/>
      <c r="K10" s="2614"/>
      <c r="L10" s="2611"/>
      <c r="M10" s="2611"/>
      <c r="N10" s="2437"/>
      <c r="O10" s="2448"/>
      <c r="P10" s="2437"/>
      <c r="Q10" s="2437"/>
      <c r="R10" s="2437"/>
    </row>
    <row r="11" spans="1:30" ht="19.5" customHeight="1">
      <c r="A11" s="2400" t="s">
        <v>2180</v>
      </c>
      <c r="B11" s="2401" t="s">
        <v>3376</v>
      </c>
      <c r="C11" s="3448"/>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7">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0"/>
      <c r="C16" s="3541"/>
      <c r="D16" s="3542"/>
      <c r="E16" s="2411" t="s">
        <v>2193</v>
      </c>
      <c r="F16" s="3543"/>
      <c r="G16" s="3544"/>
      <c r="H16" s="3544"/>
      <c r="I16" s="3545"/>
      <c r="J16" s="2437"/>
      <c r="K16" s="2615"/>
      <c r="L16" s="2449"/>
      <c r="M16" s="2449"/>
      <c r="N16" s="2507"/>
      <c r="O16" s="2449"/>
      <c r="P16" s="2507"/>
      <c r="Q16" s="2437"/>
      <c r="R16" s="2437"/>
    </row>
    <row r="17" spans="1:28">
      <c r="A17" s="313" t="s">
        <v>2194</v>
      </c>
      <c r="B17" s="302" t="s">
        <v>2195</v>
      </c>
      <c r="C17" s="8">
        <f>'数据-汇总表'!E3</f>
        <v>52.28</v>
      </c>
      <c r="D17" s="2322" t="s">
        <v>2196</v>
      </c>
      <c r="E17" s="3546" t="s">
        <v>2197</v>
      </c>
      <c r="F17" s="3547"/>
      <c r="G17" s="3547"/>
      <c r="H17" s="3547"/>
      <c r="I17" s="354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49" t="s">
        <v>2201</v>
      </c>
      <c r="F18" s="3550"/>
      <c r="G18" s="3550"/>
      <c r="H18" s="3550"/>
      <c r="I18" s="355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6" t="s">
        <v>2205</v>
      </c>
      <c r="C20" s="3537"/>
      <c r="D20" s="3538" t="s">
        <v>2206</v>
      </c>
      <c r="E20" s="3539"/>
      <c r="F20" s="2645" t="s">
        <v>1056</v>
      </c>
      <c r="G20" s="2662"/>
      <c r="H20" s="2662"/>
      <c r="I20" s="2662"/>
      <c r="J20" s="2437"/>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3"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4"/>
      <c r="B30" s="302" t="s">
        <v>2217</v>
      </c>
      <c r="C30" s="3555"/>
      <c r="D30" s="3556"/>
      <c r="E30" s="2662"/>
      <c r="F30" s="2662"/>
      <c r="G30" s="2662"/>
      <c r="H30" s="2662"/>
      <c r="I30" s="2662"/>
      <c r="J30" s="2437"/>
      <c r="K30" s="2614"/>
      <c r="L30" s="2611"/>
      <c r="M30" s="2611"/>
      <c r="N30" s="2437"/>
      <c r="O30" s="2448"/>
      <c r="P30" s="2437"/>
      <c r="Q30" s="2437"/>
      <c r="R30" s="2437"/>
      <c r="S30" s="2437"/>
      <c r="T30" s="2437"/>
      <c r="U30" s="2437"/>
      <c r="V30" s="2437"/>
    </row>
    <row r="31" spans="1:28">
      <c r="A31" s="355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52" t="s">
        <v>2227</v>
      </c>
      <c r="T34" s="2426" t="str">
        <f>NUMBERSTRING(7-K34,1)&amp;"通"</f>
        <v>七通</v>
      </c>
      <c r="U34" s="2437"/>
      <c r="V34" s="2437"/>
    </row>
    <row r="35" spans="1:30">
      <c r="A35" s="2427"/>
      <c r="B35" s="3559" t="s">
        <v>2228</v>
      </c>
      <c r="C35" s="3559"/>
      <c r="D35" s="3559"/>
      <c r="E35" s="355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2"/>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52.28</v>
      </c>
      <c r="H5" s="13">
        <f t="shared" ref="H5:AT5" si="0">SUM(H13:H656)</f>
        <v>52.28</v>
      </c>
      <c r="I5" s="13">
        <f t="shared" si="0"/>
        <v>52.28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52.28</v>
      </c>
      <c r="BA5" s="15">
        <f t="shared" si="1"/>
        <v>52.28</v>
      </c>
      <c r="BB5" s="15">
        <f t="shared" si="1"/>
        <v>52.28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3456</v>
      </c>
      <c r="C13" s="1051"/>
      <c r="D13" s="1625" t="s">
        <v>3378</v>
      </c>
      <c r="E13" s="13">
        <f>IF($C$3="是",ROUND($A$3*G13/$B$3,2),ROUND($A$3*(G13-AT13)/$B$3,2))</f>
        <v>0</v>
      </c>
      <c r="F13" s="29"/>
      <c r="G13" s="30">
        <f>H13+AC13+AT13</f>
        <v>52.28</v>
      </c>
      <c r="H13" s="17">
        <f>SUMIF(I$12:AB$12,"总值",I13:AB13)</f>
        <v>52.28</v>
      </c>
      <c r="I13" s="1626">
        <f>B16</f>
        <v>52.28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52.28</v>
      </c>
      <c r="BA13" s="13">
        <f>SUM(BB13:BK13)</f>
        <v>52.28</v>
      </c>
      <c r="BB13" s="13">
        <f>IF($D13="是",I13-J13,0)</f>
        <v>52.28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3457</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3458</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3459</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9" t="s">
        <v>1130</v>
      </c>
      <c r="B2" s="3569"/>
      <c r="C2" s="3569"/>
      <c r="D2" s="796" t="s">
        <v>1106</v>
      </c>
      <c r="E2" s="1639" t="s">
        <v>1107</v>
      </c>
      <c r="F2" s="2657"/>
      <c r="G2" s="2648"/>
      <c r="H2" s="2649"/>
      <c r="I2" s="2325" t="s">
        <v>1131</v>
      </c>
      <c r="J2" s="2657"/>
      <c r="K2" s="2657"/>
      <c r="L2" s="2657"/>
      <c r="M2" s="2657"/>
      <c r="N2" s="2659"/>
      <c r="O2" s="2657"/>
      <c r="P2" s="2657"/>
    </row>
    <row r="3" spans="1:16" ht="15.75" thickBot="1">
      <c r="A3" s="3570" t="s">
        <v>1104</v>
      </c>
      <c r="B3" s="3570"/>
      <c r="C3" s="3570"/>
      <c r="D3" s="43">
        <f>'数据-基础表'!AY6</f>
        <v>0</v>
      </c>
      <c r="E3" s="43">
        <f>'数据-基础表'!AZ5</f>
        <v>52.28</v>
      </c>
      <c r="F3" s="2657"/>
      <c r="G3" s="1145"/>
      <c r="H3" s="1026" t="s">
        <v>1105</v>
      </c>
      <c r="I3" s="855" t="e">
        <f>ROUND('数据-基础表'!B3/'数据-基础表'!A3,2)</f>
        <v>#DIV/0!</v>
      </c>
      <c r="J3" s="2657"/>
      <c r="K3" s="2657"/>
      <c r="L3" s="2657"/>
      <c r="M3" s="2657"/>
      <c r="N3" s="2659"/>
      <c r="O3" s="2657"/>
      <c r="P3" s="2657"/>
    </row>
    <row r="4" spans="1:16" ht="15">
      <c r="A4" s="3571"/>
      <c r="B4" s="3572"/>
      <c r="C4" s="3573"/>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4" t="s">
        <v>1109</v>
      </c>
      <c r="C5" s="3574"/>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4" t="s">
        <v>1110</v>
      </c>
      <c r="C6" s="3574"/>
      <c r="D6" s="45">
        <f>ROUND($D$3*E6/$E$3,2)</f>
        <v>0</v>
      </c>
      <c r="E6" s="46">
        <f>E3-E5</f>
        <v>52.28</v>
      </c>
      <c r="F6" s="2657"/>
      <c r="G6" s="2651" t="s">
        <v>1111</v>
      </c>
      <c r="H6" s="1146" t="s">
        <v>1112</v>
      </c>
      <c r="I6" s="2652" t="e">
        <f>ROUND(F31/D31,2)</f>
        <v>#DIV/0!</v>
      </c>
      <c r="J6" s="2657"/>
      <c r="K6" s="2657"/>
      <c r="L6" s="2657"/>
      <c r="M6" s="2657"/>
      <c r="N6" s="2657"/>
      <c r="O6" s="2657"/>
      <c r="P6" s="2657"/>
    </row>
    <row r="7" spans="1:16" ht="15.75" thickBot="1">
      <c r="A7" s="3566"/>
      <c r="B7" s="3567"/>
      <c r="C7" s="3568"/>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52.28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52.28</v>
      </c>
      <c r="F16" s="2657"/>
      <c r="G16" s="2658"/>
      <c r="H16" s="1648" t="s">
        <v>1134</v>
      </c>
      <c r="I16" s="1649"/>
      <c r="J16" s="1139"/>
      <c r="K16" s="3563" t="s">
        <v>1134</v>
      </c>
      <c r="L16" s="3564"/>
      <c r="M16" s="3564"/>
      <c r="N16" s="3564"/>
      <c r="O16" s="3564"/>
      <c r="P16" s="3565"/>
    </row>
    <row r="17" spans="1:19" ht="15">
      <c r="A17" s="1650" t="s">
        <v>1135</v>
      </c>
      <c r="B17" s="1651" t="s">
        <v>1136</v>
      </c>
      <c r="C17" s="1652" t="s">
        <v>1137</v>
      </c>
      <c r="D17" s="1653" t="s">
        <v>1125</v>
      </c>
      <c r="E17" s="1654" t="s">
        <v>1126</v>
      </c>
      <c r="F17" s="1655"/>
      <c r="G17" s="1656"/>
      <c r="H17" s="1657" t="s">
        <v>1138</v>
      </c>
      <c r="I17" s="1658" t="s">
        <v>1123</v>
      </c>
      <c r="J17" s="1139"/>
      <c r="K17" s="3560" t="s">
        <v>1139</v>
      </c>
      <c r="L17" s="3561"/>
      <c r="M17" s="3562"/>
      <c r="N17" s="3560" t="s">
        <v>1140</v>
      </c>
      <c r="O17" s="3561"/>
      <c r="P17" s="356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3461</v>
      </c>
      <c r="D19" s="45">
        <f>ROUND($D$3*E19/$E$3,2)</f>
        <v>0</v>
      </c>
      <c r="E19" s="53">
        <f t="shared" ref="E19:E26" si="1">SUM(F19:G19)</f>
        <v>52.28</v>
      </c>
      <c r="F19" s="3483">
        <f>'数据-基础表'!I13</f>
        <v>52.28</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52.28</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52.28</v>
      </c>
      <c r="F27" s="1140">
        <f>IF(SUM(F19:F26)=E8,SUM(F19:F26),"地上面积有误")</f>
        <v>52.28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52.28</v>
      </c>
      <c r="F31" s="677">
        <f>F27+F30</f>
        <v>52.28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2" sqref="K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732">
        <v>0.05</v>
      </c>
      <c r="I6" s="732">
        <v>5.5E-2</v>
      </c>
      <c r="J6" s="66">
        <v>7.0000000000000007E-2</v>
      </c>
      <c r="K6" s="1030">
        <f>SUMIF('数据-汇总表'!C$19:C$33,A6,'数据-汇总表'!E$19:E$33)</f>
        <v>52.28</v>
      </c>
      <c r="L6" s="733">
        <v>4000</v>
      </c>
      <c r="M6" s="67">
        <f t="shared" ref="M6:M14" si="0">ROUND(K6*L6/10000,0)</f>
        <v>21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5</v>
      </c>
      <c r="V6" s="3485">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0.01</v>
      </c>
      <c r="AL6" s="79">
        <v>1E-3</v>
      </c>
      <c r="AM6" s="80">
        <v>0.01</v>
      </c>
      <c r="AN6" s="1715" t="s">
        <v>3464</v>
      </c>
      <c r="AO6" s="52">
        <f ca="1">SUMIF(INDIRECT("'"&amp;AN6&amp;"'"&amp;"!A:A"),"总价",INDIRECT("'"&amp;AN6&amp;"'"&amp;"!B:B"))</f>
        <v>141.10069999999999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52.28</v>
      </c>
      <c r="L16" s="93">
        <f>ROUND(M16*10000/SUM(K6:K14),0)</f>
        <v>4017</v>
      </c>
      <c r="M16" s="93">
        <f>SUM(M6:M14)</f>
        <v>21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5" t="s">
        <v>2281</v>
      </c>
      <c r="B1" s="3576"/>
      <c r="C1" s="3576"/>
      <c r="D1" s="3576"/>
      <c r="E1" s="3576"/>
      <c r="F1" s="3576"/>
      <c r="G1" s="35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8" sqref="L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52.28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136</v>
      </c>
      <c r="C5" s="2510">
        <f ca="1">IF(B5=D14,结果表!H102,ROUND(B5*10000/$B$1,0))</f>
        <v>26014</v>
      </c>
      <c r="D5" s="2510" t="e">
        <f ca="1">ROUND(B5*10000/$B$2,0)</f>
        <v>#DIV/0!</v>
      </c>
      <c r="E5" s="2683"/>
      <c r="F5" s="2684"/>
      <c r="G5" s="2684"/>
      <c r="H5" s="2685"/>
      <c r="I5" s="2685"/>
      <c r="J5" s="2685"/>
      <c r="K5" s="2685"/>
    </row>
    <row r="6" spans="1:11" ht="16.5">
      <c r="A6" s="2510" t="s">
        <v>656</v>
      </c>
      <c r="B6" s="2510">
        <f ca="1">SUM(G14:G23)</f>
        <v>136</v>
      </c>
      <c r="C6" s="2510">
        <f ca="1">IF(B6=G14,结果表!H108,ROUND(B6*10000/$B$1,0))</f>
        <v>26014</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52.28</v>
      </c>
      <c r="C14" s="2516">
        <f>结果表!C118</f>
        <v>0</v>
      </c>
      <c r="D14" s="2516">
        <f ca="1">ROUND(E14*B14/10000,0)</f>
        <v>136</v>
      </c>
      <c r="E14" s="2516">
        <f ca="1">结果表!G20</f>
        <v>25953</v>
      </c>
      <c r="F14" s="2516" t="e">
        <f ca="1">ROUND(D14*10000/C14,0)</f>
        <v>#DIV/0!</v>
      </c>
      <c r="G14" s="2516">
        <f ca="1">D14</f>
        <v>136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44" t="str">
        <f>项目基本情况!S2</f>
        <v>北京市昌平区平西府东路1号院一区1号楼1层4-29房地产</v>
      </c>
      <c r="B2" s="3645"/>
      <c r="C2" s="3645"/>
      <c r="D2" s="3645"/>
      <c r="E2" s="3645"/>
      <c r="F2" s="3645"/>
      <c r="G2" s="3645"/>
      <c r="H2" s="3645"/>
      <c r="I2" s="3646"/>
    </row>
    <row r="3" spans="1:12" ht="12.75">
      <c r="A3" s="3648" t="s">
        <v>1263</v>
      </c>
      <c r="B3" s="3649"/>
      <c r="C3" s="3649"/>
      <c r="D3" s="3649"/>
      <c r="E3" s="3649"/>
      <c r="F3" s="3649"/>
      <c r="G3" s="3649"/>
      <c r="H3" s="3649"/>
      <c r="I3" s="3649"/>
    </row>
    <row r="4" spans="1:12" ht="14.25">
      <c r="A4" s="1754" t="s">
        <v>1264</v>
      </c>
      <c r="B4" s="1755" t="s">
        <v>1265</v>
      </c>
      <c r="C4" s="1756" t="s">
        <v>3465</v>
      </c>
      <c r="D4" s="1756" t="s">
        <v>3464</v>
      </c>
      <c r="E4" s="3653" t="s">
        <v>1266</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1267</v>
      </c>
      <c r="B5" s="3647">
        <v>25</v>
      </c>
      <c r="C5" s="3650"/>
      <c r="D5" s="3638"/>
      <c r="E5" s="131" t="s">
        <v>1268</v>
      </c>
      <c r="F5" s="1757"/>
      <c r="G5" s="1757"/>
      <c r="H5" s="1757"/>
      <c r="I5" s="1373"/>
    </row>
    <row r="6" spans="1:12" ht="12.75">
      <c r="A6" s="3592"/>
      <c r="B6" s="3647"/>
      <c r="C6" s="3652"/>
      <c r="D6" s="3638"/>
      <c r="E6" s="131" t="s">
        <v>1269</v>
      </c>
      <c r="F6" s="1757"/>
      <c r="G6" s="1757"/>
      <c r="H6" s="1757"/>
      <c r="I6" s="1373"/>
    </row>
    <row r="7" spans="1:12" ht="12.75">
      <c r="A7" s="3592"/>
      <c r="B7" s="3647"/>
      <c r="C7" s="3651"/>
      <c r="D7" s="3638"/>
      <c r="E7" s="131" t="s">
        <v>1270</v>
      </c>
      <c r="F7" s="1757"/>
      <c r="G7" s="1757"/>
      <c r="H7" s="1757"/>
      <c r="I7" s="1373"/>
    </row>
    <row r="8" spans="1:12" ht="12.75">
      <c r="A8" s="3592" t="s">
        <v>1271</v>
      </c>
      <c r="B8" s="3647">
        <v>15</v>
      </c>
      <c r="C8" s="3650"/>
      <c r="D8" s="3638"/>
      <c r="E8" s="131" t="s">
        <v>1272</v>
      </c>
      <c r="F8" s="1757"/>
      <c r="G8" s="1757"/>
      <c r="H8" s="1757"/>
      <c r="I8" s="1373"/>
    </row>
    <row r="9" spans="1:12" ht="12.75">
      <c r="A9" s="3592"/>
      <c r="B9" s="3647"/>
      <c r="C9" s="3651"/>
      <c r="D9" s="3638"/>
      <c r="E9" s="131" t="s">
        <v>1273</v>
      </c>
      <c r="F9" s="1757"/>
      <c r="G9" s="1757"/>
      <c r="H9" s="1757"/>
      <c r="I9" s="1373"/>
    </row>
    <row r="10" spans="1:12" ht="12.75">
      <c r="A10" s="3592" t="s">
        <v>1274</v>
      </c>
      <c r="B10" s="3647">
        <v>15</v>
      </c>
      <c r="C10" s="3650"/>
      <c r="D10" s="3638"/>
      <c r="E10" s="131" t="s">
        <v>1275</v>
      </c>
      <c r="F10" s="1757"/>
      <c r="G10" s="1757"/>
      <c r="H10" s="1757"/>
      <c r="I10" s="1373"/>
    </row>
    <row r="11" spans="1:12" ht="12.75">
      <c r="A11" s="3592"/>
      <c r="B11" s="3647"/>
      <c r="C11" s="3651"/>
      <c r="D11" s="3638"/>
      <c r="E11" s="131" t="s">
        <v>1276</v>
      </c>
      <c r="F11" s="1757"/>
      <c r="G11" s="1757"/>
      <c r="H11" s="1757"/>
      <c r="I11" s="1373"/>
    </row>
    <row r="12" spans="1:12" ht="12.75">
      <c r="A12" s="3592" t="s">
        <v>1277</v>
      </c>
      <c r="B12" s="3647">
        <v>15</v>
      </c>
      <c r="C12" s="3650"/>
      <c r="D12" s="3638"/>
      <c r="E12" s="131" t="s">
        <v>1278</v>
      </c>
      <c r="F12" s="1757"/>
      <c r="G12" s="1757"/>
      <c r="H12" s="1757"/>
      <c r="I12" s="1373"/>
    </row>
    <row r="13" spans="1:12" ht="12.75">
      <c r="A13" s="3592"/>
      <c r="B13" s="3647"/>
      <c r="C13" s="3651"/>
      <c r="D13" s="3638"/>
      <c r="E13" s="131" t="s">
        <v>1279</v>
      </c>
      <c r="F13" s="1757"/>
      <c r="G13" s="1757"/>
      <c r="H13" s="1757"/>
      <c r="I13" s="1373"/>
    </row>
    <row r="14" spans="1:12" ht="12.75">
      <c r="A14" s="3592" t="s">
        <v>1280</v>
      </c>
      <c r="B14" s="3647">
        <v>30</v>
      </c>
      <c r="C14" s="3650">
        <v>5</v>
      </c>
      <c r="D14" s="3638">
        <v>5</v>
      </c>
      <c r="E14" s="131" t="s">
        <v>1281</v>
      </c>
      <c r="F14" s="1757"/>
      <c r="G14" s="1757"/>
      <c r="H14" s="1757"/>
      <c r="I14" s="1373"/>
    </row>
    <row r="15" spans="1:12" ht="12.75">
      <c r="A15" s="3592"/>
      <c r="B15" s="3647"/>
      <c r="C15" s="3652"/>
      <c r="D15" s="3638"/>
      <c r="E15" s="131" t="s">
        <v>1282</v>
      </c>
      <c r="F15" s="1757"/>
      <c r="G15" s="1757"/>
      <c r="H15" s="1757"/>
      <c r="I15" s="1373"/>
    </row>
    <row r="16" spans="1:12" ht="12.75">
      <c r="A16" s="3592"/>
      <c r="B16" s="3647"/>
      <c r="C16" s="3651"/>
      <c r="D16" s="3638"/>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69" t="s">
        <v>2130</v>
      </c>
      <c r="F18" s="3670"/>
      <c r="G18" s="3670"/>
      <c r="H18" s="3670"/>
      <c r="I18" s="3670"/>
      <c r="K18" s="302" t="s">
        <v>1288</v>
      </c>
      <c r="L18" s="302">
        <f>IF(C1="",'数据-汇总表'!E3,SUMIF(项目类型,C1,'数据-汇总表'!E17:E26)+SUMIF(项目类型,C1,'数据-汇总表'!I17:I26))</f>
        <v>52.28</v>
      </c>
      <c r="M18" s="302">
        <f>IF(C1="",'数据-汇总表'!E3,SUMIF(项目类型,C1,'数据-汇总表'!E17:E26))</f>
        <v>52.28</v>
      </c>
    </row>
    <row r="19" spans="1:36" ht="15">
      <c r="A19" s="1761" t="s">
        <v>1289</v>
      </c>
      <c r="B19" s="1762" t="s">
        <v>1290</v>
      </c>
      <c r="C19" s="134">
        <f ca="1">SUMIF(INDIRECT("'"&amp;C4&amp;"'"&amp;"!A:A"),结果表!B19,INDIRECT("'"&amp;C4&amp;"'"&amp;"!B:B"))</f>
        <v>130.26220000000001</v>
      </c>
      <c r="D19" s="135">
        <f ca="1">SUMIF(INDIRECT("'"&amp;D4&amp;"'"&amp;"!A:A"),结果表!B19,INDIRECT("'"&amp;D4&amp;"'"&amp;"!B:B"))</f>
        <v>141.10069999999999</v>
      </c>
      <c r="E19" s="1761" t="s">
        <v>1291</v>
      </c>
      <c r="F19" s="1762" t="s">
        <v>1290</v>
      </c>
      <c r="G19" s="136">
        <f ca="1">ROUND(C19*$C$18+D19*$D$18,0)</f>
        <v>136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24916</v>
      </c>
      <c r="D20" s="138">
        <f ca="1">SUMIF(INDIRECT("'"&amp;D4&amp;"'"&amp;"!A:A"),结果表!B20,INDIRECT("'"&amp;D4&amp;"'"&amp;"!B:B"))</f>
        <v>26989</v>
      </c>
      <c r="E20" s="1764"/>
      <c r="F20" s="1026" t="s">
        <v>1294</v>
      </c>
      <c r="G20" s="139">
        <f ca="1">ROUND(C20*$C$18+D20*$D$18,0)</f>
        <v>25953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8.3205258317454955E-2</v>
      </c>
      <c r="E22" s="129"/>
      <c r="F22" s="129"/>
      <c r="G22" s="129"/>
      <c r="H22" s="129"/>
      <c r="I22" s="129"/>
    </row>
    <row r="23" spans="1:36" ht="13.5" thickBot="1">
      <c r="A23" s="1747"/>
      <c r="B23" s="1747"/>
      <c r="C23" s="1747"/>
      <c r="D23" s="1747"/>
      <c r="E23" s="129"/>
      <c r="F23" s="129"/>
      <c r="G23" s="129"/>
      <c r="H23" s="129"/>
      <c r="I23" s="129"/>
    </row>
    <row r="24" spans="1:36" ht="14.25">
      <c r="A24" s="3662" t="s">
        <v>1298</v>
      </c>
      <c r="B24" s="1762" t="s">
        <v>1290</v>
      </c>
      <c r="C24" s="136">
        <f>IF(B30=0,0,D30)</f>
        <v>0</v>
      </c>
      <c r="D24" s="1769"/>
      <c r="E24" s="129"/>
      <c r="F24" s="129"/>
      <c r="G24" s="129"/>
      <c r="H24" s="129"/>
      <c r="I24" s="129"/>
    </row>
    <row r="25" spans="1:36" ht="14.25">
      <c r="A25" s="36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136</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107</v>
      </c>
      <c r="D34" s="861">
        <f ca="1">IF(C33="自定义",ROUND(C34/C32,3),IF(C33="收益比率",SUMIF(INDIRECT("'"&amp;D33&amp;"'"&amp;"!b:b"),"土地收益比率",INDIRECT("'"&amp;D33&amp;"'"&amp;"!c:c")),SUMIF(INDIRECT("'"&amp;D33&amp;"'"&amp;"!b:b"),"土地成本比率",INDIRECT("'"&amp;D33&amp;"'"&amp;"!c:c"))))</f>
        <v>0.78700000000000003</v>
      </c>
      <c r="E34" s="1783" t="s">
        <v>1308</v>
      </c>
      <c r="F34" s="1330"/>
      <c r="G34" s="129"/>
      <c r="H34" s="129"/>
      <c r="I34" s="129"/>
    </row>
    <row r="35" spans="1:15" ht="15.75" thickBot="1">
      <c r="A35" s="1784"/>
      <c r="B35" s="1785" t="s">
        <v>1309</v>
      </c>
      <c r="C35" s="1170">
        <f ca="1">IF(C33="自定义",F35,ROUND(C32*D35,0))</f>
        <v>29</v>
      </c>
      <c r="D35" s="1171">
        <f ca="1">IF(C33="自定义",ROUND(C35/C32,3),IF(C33="收益比率",SUMIF(INDIRECT("'"&amp;D33&amp;"'"&amp;"!b:b"),"建筑物收益比率",INDIRECT("'"&amp;D33&amp;"'"&amp;"!c:c")),SUMIF(INDIRECT("'"&amp;D33&amp;"'"&amp;"!b:b"),"建筑物成本比率",INDIRECT("'"&amp;D33&amp;"'"&amp;"!c:c"))))</f>
        <v>0.21299999999999999</v>
      </c>
      <c r="E35" s="1786" t="s">
        <v>1310</v>
      </c>
      <c r="F35" s="154"/>
      <c r="G35" s="129"/>
      <c r="H35" s="129"/>
      <c r="I35" s="129"/>
    </row>
    <row r="36" spans="1:15" ht="15.75" thickBot="1">
      <c r="A36" s="3639" t="s">
        <v>1311</v>
      </c>
      <c r="B36" s="1787" t="s">
        <v>1312</v>
      </c>
      <c r="C36" s="145"/>
      <c r="D36" s="1788"/>
      <c r="E36" s="1789"/>
      <c r="F36" s="1790"/>
      <c r="G36" s="129"/>
      <c r="H36" s="129"/>
      <c r="I36" s="129"/>
    </row>
    <row r="37" spans="1:15" ht="15.75" thickBot="1">
      <c r="A37" s="3640"/>
      <c r="B37" s="1674" t="s">
        <v>1313</v>
      </c>
      <c r="C37" s="147"/>
      <c r="D37" s="1139"/>
      <c r="E37" s="1139"/>
      <c r="F37" s="1790"/>
      <c r="G37" s="129"/>
      <c r="H37" s="129"/>
      <c r="I37" s="129"/>
    </row>
    <row r="38" spans="1:15" ht="15.75" thickBot="1">
      <c r="A38" s="364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9" t="s">
        <v>1325</v>
      </c>
      <c r="B45" s="3660"/>
      <c r="C45" s="3661"/>
      <c r="D45" s="155">
        <f ca="1">ROUND(H101*F45,0)</f>
        <v>136</v>
      </c>
      <c r="E45" s="156" t="s">
        <v>1326</v>
      </c>
      <c r="F45" s="157">
        <v>1</v>
      </c>
      <c r="G45" s="158" t="s">
        <v>1327</v>
      </c>
      <c r="H45" s="129"/>
      <c r="I45" s="129"/>
      <c r="J45" s="3579" t="s">
        <v>1328</v>
      </c>
      <c r="K45" s="3579"/>
      <c r="L45" s="3579"/>
      <c r="M45" s="3579"/>
      <c r="N45" s="3579"/>
      <c r="O45" s="3579"/>
    </row>
    <row r="46" spans="1:15" ht="14.25" customHeight="1">
      <c r="A46" s="3656" t="s">
        <v>1329</v>
      </c>
      <c r="B46" s="3657"/>
      <c r="C46" s="3657"/>
      <c r="D46" s="3657"/>
      <c r="E46" s="3657"/>
      <c r="F46" s="3657"/>
      <c r="G46" s="3658"/>
      <c r="H46" s="1806"/>
      <c r="I46" s="159"/>
      <c r="J46" s="2521">
        <v>1</v>
      </c>
      <c r="K46" s="3580" t="s">
        <v>1330</v>
      </c>
      <c r="L46" s="3580"/>
      <c r="M46" s="3581"/>
      <c r="N46" s="3581"/>
      <c r="O46" s="3581"/>
    </row>
    <row r="47" spans="1:15" ht="12" customHeight="1">
      <c r="A47" s="160" t="s">
        <v>1331</v>
      </c>
      <c r="B47" s="161"/>
      <c r="C47" s="162"/>
      <c r="D47" s="1087" t="s">
        <v>1332</v>
      </c>
      <c r="E47" s="302" t="s">
        <v>1333</v>
      </c>
      <c r="F47" s="163" t="s">
        <v>1334</v>
      </c>
      <c r="G47" s="2544" t="s">
        <v>1335</v>
      </c>
      <c r="H47" s="2545"/>
      <c r="I47" s="159"/>
      <c r="J47" s="2521">
        <v>2</v>
      </c>
      <c r="K47" s="3580" t="s">
        <v>1336</v>
      </c>
      <c r="L47" s="3580"/>
      <c r="M47" s="3582">
        <f>'数据-取费表'!B2</f>
        <v>45095</v>
      </c>
      <c r="N47" s="3582"/>
      <c r="O47" s="3582"/>
    </row>
    <row r="48" spans="1:15" ht="25.5">
      <c r="A48" s="3642" t="s">
        <v>1337</v>
      </c>
      <c r="B48" s="3643"/>
      <c r="C48" s="364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80" t="s">
        <v>1339</v>
      </c>
      <c r="L48" s="3580"/>
      <c r="M48" s="3583">
        <f ca="1">H101</f>
        <v>136</v>
      </c>
      <c r="N48" s="3583"/>
      <c r="O48" s="3583"/>
    </row>
    <row r="49" spans="1:35" ht="25.5" customHeight="1">
      <c r="A49" s="2333" t="s">
        <v>1340</v>
      </c>
      <c r="B49" s="3628" t="s">
        <v>1341</v>
      </c>
      <c r="C49" s="3628"/>
      <c r="D49" s="1590">
        <v>0</v>
      </c>
      <c r="E49" s="324" t="s">
        <v>1342</v>
      </c>
      <c r="F49" s="2422" t="s">
        <v>28</v>
      </c>
      <c r="G49" s="3611"/>
      <c r="H49" s="2310" t="s">
        <v>2133</v>
      </c>
      <c r="I49" s="2311"/>
      <c r="J49" s="2521">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49"/>
      <c r="B50" s="3628" t="s">
        <v>1343</v>
      </c>
      <c r="C50" s="3628"/>
      <c r="D50" s="2550"/>
      <c r="E50" s="332"/>
      <c r="F50" s="2422"/>
      <c r="G50" s="3612"/>
      <c r="H50" s="2312" t="s">
        <v>2134</v>
      </c>
      <c r="I50" s="2311"/>
      <c r="J50" s="3579" t="s">
        <v>1344</v>
      </c>
      <c r="K50" s="3579"/>
      <c r="L50" s="3579"/>
      <c r="M50" s="3579"/>
      <c r="N50" s="3579"/>
      <c r="O50" s="3579"/>
    </row>
    <row r="51" spans="1:35" ht="20.45" customHeight="1">
      <c r="A51" s="2551"/>
      <c r="B51" s="3628" t="s">
        <v>1345</v>
      </c>
      <c r="C51" s="3628"/>
      <c r="D51" s="1087"/>
      <c r="E51" s="327"/>
      <c r="F51" s="2422"/>
      <c r="G51" s="3613"/>
      <c r="H51" s="2312" t="s">
        <v>2135</v>
      </c>
      <c r="I51" s="2311"/>
      <c r="J51" s="2522" t="s">
        <v>1346</v>
      </c>
      <c r="K51" s="3580" t="s">
        <v>1347</v>
      </c>
      <c r="L51" s="3580"/>
      <c r="M51" s="2522" t="s">
        <v>1348</v>
      </c>
      <c r="N51" s="2522" t="s">
        <v>1349</v>
      </c>
      <c r="O51" s="2522" t="s">
        <v>1350</v>
      </c>
    </row>
    <row r="52" spans="1:35" ht="24" customHeight="1">
      <c r="A52" s="2335" t="s">
        <v>1351</v>
      </c>
      <c r="B52" s="3628" t="s">
        <v>1352</v>
      </c>
      <c r="C52" s="3628"/>
      <c r="D52" s="1087">
        <f ca="1">ROUND(D45*'数据-取费表'!B41/(1+'数据-取费表'!C42),0)</f>
        <v>7</v>
      </c>
      <c r="E52" s="2334" t="s">
        <v>1353</v>
      </c>
      <c r="F52" s="2552">
        <f>'数据-取费表'!B41</f>
        <v>5.5000000000000007E-2</v>
      </c>
      <c r="G52" s="2553"/>
      <c r="H52" s="2542"/>
      <c r="I52" s="1807"/>
      <c r="J52" s="2521">
        <v>1</v>
      </c>
      <c r="K52" s="3605" t="s">
        <v>1354</v>
      </c>
      <c r="L52" s="3605"/>
      <c r="M52" s="2523" t="b">
        <f>D48</f>
        <v>0</v>
      </c>
      <c r="N52" s="2521" t="str">
        <f>E48</f>
        <v>销售额×税（费）率</v>
      </c>
      <c r="O52" s="2524">
        <f>F48</f>
        <v>5.5000000000000007E-2</v>
      </c>
    </row>
    <row r="53" spans="1:35" ht="12" customHeight="1">
      <c r="A53" s="2335" t="s">
        <v>1355</v>
      </c>
      <c r="B53" s="3629" t="s">
        <v>2286</v>
      </c>
      <c r="C53" s="3630"/>
      <c r="D53" s="1087">
        <f ca="1">ROUND(D45*'数据-取费表'!B41/(1+'数据-取费表'!C42),0)</f>
        <v>7</v>
      </c>
      <c r="E53" s="2334" t="s">
        <v>1353</v>
      </c>
      <c r="F53" s="2552">
        <f>'数据-取费表'!B41</f>
        <v>5.5000000000000007E-2</v>
      </c>
      <c r="G53" s="2553"/>
      <c r="H53" s="2542"/>
      <c r="I53" s="1807"/>
      <c r="J53" s="2521">
        <v>2</v>
      </c>
      <c r="K53" s="3605" t="s">
        <v>1356</v>
      </c>
      <c r="L53" s="3605"/>
      <c r="M53" s="2523">
        <f t="shared" ref="M53:O54" ca="1" si="0">D55</f>
        <v>0</v>
      </c>
      <c r="N53" s="2521" t="str">
        <f t="shared" si="0"/>
        <v>销售额×税（费）率</v>
      </c>
      <c r="O53" s="2524" t="str">
        <f t="shared" si="0"/>
        <v>免征</v>
      </c>
    </row>
    <row r="54" spans="1:35" ht="12" customHeight="1">
      <c r="A54" s="2335" t="s">
        <v>1357</v>
      </c>
      <c r="B54" s="3629" t="s">
        <v>2287</v>
      </c>
      <c r="C54" s="3630"/>
      <c r="D54" s="1087">
        <f ca="1">C68</f>
        <v>7</v>
      </c>
      <c r="E54" s="327" t="s">
        <v>1358</v>
      </c>
      <c r="F54" s="2552">
        <f>'数据-取费表'!B41</f>
        <v>5.5000000000000007E-2</v>
      </c>
      <c r="G54" s="2553"/>
      <c r="H54" s="2554"/>
      <c r="I54" s="1807"/>
      <c r="J54" s="2521">
        <v>3</v>
      </c>
      <c r="K54" s="3605" t="s">
        <v>1359</v>
      </c>
      <c r="L54" s="3605"/>
      <c r="M54" s="2523">
        <f t="shared" ca="1" si="0"/>
        <v>77</v>
      </c>
      <c r="N54" s="2521" t="str">
        <f t="shared" si="0"/>
        <v>增值额×税（费）率</v>
      </c>
      <c r="O54" s="2525" t="str">
        <f t="shared" si="0"/>
        <v>免征</v>
      </c>
    </row>
    <row r="55" spans="1:35" ht="24" customHeight="1">
      <c r="A55" s="3665" t="s">
        <v>1360</v>
      </c>
      <c r="B55" s="3643"/>
      <c r="C55" s="3643"/>
      <c r="D55" s="2324">
        <f ca="1">IF(H55="个人住宅",0,ROUND(D45*I55,0))</f>
        <v>0</v>
      </c>
      <c r="E55" s="2334" t="s">
        <v>1361</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1</v>
      </c>
      <c r="N55" s="2040" t="str">
        <f>E59</f>
        <v>差额计税</v>
      </c>
      <c r="O55" s="2527">
        <f>F59</f>
        <v>0.01</v>
      </c>
    </row>
    <row r="56" spans="1:35" ht="24.75">
      <c r="A56" s="3665" t="s">
        <v>1362</v>
      </c>
      <c r="B56" s="3643"/>
      <c r="C56" s="3643"/>
      <c r="D56" s="2324">
        <f ca="1">IF(H56="个人住宅",D57,D58)</f>
        <v>77</v>
      </c>
      <c r="E56" s="2334" t="s">
        <v>1363</v>
      </c>
      <c r="F56" s="2552" t="str">
        <f>IF(H56="正常",F58,"免征")</f>
        <v>免征</v>
      </c>
      <c r="G56" s="2555" t="s">
        <v>1364</v>
      </c>
      <c r="H56" s="2556"/>
      <c r="I56" s="1808"/>
      <c r="J56" s="2521" t="str">
        <f>IF(项目基本情况!K6="上海银行",IF(J55="",4,J55+1),"")</f>
        <v/>
      </c>
      <c r="K56" s="3586" t="str">
        <f>IF(项目基本情况!K6="上海银行","其他处置费用","")</f>
        <v/>
      </c>
      <c r="L56" s="3587"/>
      <c r="M56" s="2523" t="str">
        <f>IF(项目基本情况!K6="上海银行",M69,"")</f>
        <v/>
      </c>
      <c r="N56" s="3586" t="str">
        <f>IF(项目基本情况!K6="上海银行","包含处置中涉及的律师、诉讼、拍卖、评估等费用","")</f>
        <v/>
      </c>
      <c r="O56" s="3589"/>
    </row>
    <row r="57" spans="1:35" ht="12.75">
      <c r="A57" s="2335" t="s">
        <v>1340</v>
      </c>
      <c r="B57" s="3629" t="s">
        <v>1365</v>
      </c>
      <c r="C57" s="3630"/>
      <c r="D57" s="1590">
        <v>0</v>
      </c>
      <c r="E57" s="324" t="s">
        <v>1342</v>
      </c>
      <c r="F57" s="302"/>
      <c r="G57" s="2553"/>
      <c r="H57" s="2557"/>
      <c r="I57" s="1808"/>
      <c r="J57" s="3605">
        <f>IF(AND(J55="",J56=""),4,IF(项目基本情况!K6="上海银行",结果表!J56+1,结果表!J55+1))</f>
        <v>5</v>
      </c>
      <c r="K57" s="3605" t="s">
        <v>1366</v>
      </c>
      <c r="L57" s="2528" t="s">
        <v>1367</v>
      </c>
      <c r="M57" s="2529"/>
      <c r="N57" s="2530">
        <f ca="1">SUMIF(M52:M56,"&lt;9e307")</f>
        <v>78</v>
      </c>
      <c r="O57" s="2531"/>
      <c r="P57" s="2687" t="e">
        <f ca="1">N57/M49</f>
        <v>#VALUE!</v>
      </c>
    </row>
    <row r="58" spans="1:35" ht="24.75">
      <c r="A58" s="2335" t="s">
        <v>1351</v>
      </c>
      <c r="B58" s="3629" t="s">
        <v>1368</v>
      </c>
      <c r="C58" s="3628"/>
      <c r="D58" s="2324">
        <f ca="1">IF(H58="转让取得",C81,C97)</f>
        <v>77</v>
      </c>
      <c r="E58" s="2334" t="s">
        <v>1363</v>
      </c>
      <c r="F58" s="302" t="s">
        <v>28</v>
      </c>
      <c r="G58" s="2553"/>
      <c r="H58" s="2556"/>
      <c r="I58" s="1808"/>
      <c r="J58" s="3605"/>
      <c r="K58" s="3605"/>
      <c r="L58" s="2528" t="s">
        <v>1369</v>
      </c>
      <c r="M58" s="2532"/>
      <c r="N58" s="2533" t="str">
        <f ca="1">NUMBERSTRING(INT(N57*10000),2)&amp;"元整"</f>
        <v>柒拾捌万元整</v>
      </c>
      <c r="O58" s="2534"/>
    </row>
    <row r="59" spans="1:35" ht="24.75" thickBot="1">
      <c r="A59" s="3609" t="s">
        <v>1370</v>
      </c>
      <c r="B59" s="3610"/>
      <c r="C59" s="3610"/>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07">
        <f>J57+1</f>
        <v>6</v>
      </c>
      <c r="K59" s="3605" t="s">
        <v>1371</v>
      </c>
      <c r="L59" s="2521" t="s">
        <v>1367</v>
      </c>
      <c r="M59" s="2535"/>
      <c r="N59" s="2536" t="e">
        <f ca="1">M49-N57</f>
        <v>#VALUE!</v>
      </c>
      <c r="O59" s="2537"/>
    </row>
    <row r="60" spans="1:35" ht="12" customHeight="1">
      <c r="A60" s="1809"/>
      <c r="B60" s="1747"/>
      <c r="C60" s="1747"/>
      <c r="D60" s="1747"/>
      <c r="E60" s="1578"/>
      <c r="F60" s="1808"/>
      <c r="G60" s="1808"/>
      <c r="H60" s="1810"/>
      <c r="I60" s="129"/>
      <c r="J60" s="3608"/>
      <c r="K60" s="3605"/>
      <c r="L60" s="2528" t="s">
        <v>1369</v>
      </c>
      <c r="M60" s="2532"/>
      <c r="N60" s="2533" t="e">
        <f ca="1">NUMBERSTRING(INT(N59*10000),2)&amp;"元整"</f>
        <v>#VALUE!</v>
      </c>
      <c r="O60" s="2534"/>
    </row>
    <row r="61" spans="1:35" ht="13.5" thickBot="1">
      <c r="A61" s="3664" t="s">
        <v>1372</v>
      </c>
      <c r="B61" s="3664"/>
      <c r="C61" s="3664"/>
      <c r="D61" s="3664"/>
      <c r="E61" s="3664"/>
      <c r="F61" s="1808"/>
      <c r="G61" s="1808"/>
      <c r="H61" s="1810"/>
      <c r="I61" s="129"/>
      <c r="J61" s="2521">
        <f>J59+1</f>
        <v>7</v>
      </c>
      <c r="K61" s="3605" t="s">
        <v>1373</v>
      </c>
      <c r="L61" s="3605"/>
      <c r="M61" s="2538"/>
      <c r="N61" s="2539" t="e">
        <f ca="1">ROUND(N59*10000/'数据-汇总表'!E3,0)</f>
        <v>#VALUE!</v>
      </c>
      <c r="O61" s="2540"/>
    </row>
    <row r="62" spans="1:35" ht="12.75">
      <c r="A62" s="3624" t="s">
        <v>1374</v>
      </c>
      <c r="B62" s="3625"/>
      <c r="C62" s="2021"/>
      <c r="D62" s="2021" t="s">
        <v>1375</v>
      </c>
      <c r="E62" s="166" t="s">
        <v>1376</v>
      </c>
      <c r="F62" s="1808"/>
      <c r="G62" s="1808"/>
      <c r="H62" s="1810"/>
      <c r="I62" s="129"/>
    </row>
    <row r="63" spans="1:35" ht="12.75">
      <c r="A63" s="173" t="s">
        <v>330</v>
      </c>
      <c r="B63" s="167" t="s">
        <v>1377</v>
      </c>
      <c r="C63" s="2562">
        <f ca="1">ROUND((C64+C65)/(1+'数据-取费表'!C42),0)</f>
        <v>130</v>
      </c>
      <c r="D63" s="167"/>
      <c r="E63" s="168"/>
      <c r="F63" s="1808"/>
      <c r="G63" s="1808"/>
      <c r="H63" s="1810"/>
      <c r="I63" s="129"/>
      <c r="J63" s="3588"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136</v>
      </c>
      <c r="D64" s="170" t="s">
        <v>26</v>
      </c>
      <c r="E64" s="172"/>
      <c r="F64" s="1808"/>
      <c r="G64" s="1808"/>
      <c r="H64" s="1810"/>
      <c r="I64" s="129"/>
      <c r="J64" s="3588"/>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588"/>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588"/>
      <c r="K66" s="1332" t="s">
        <v>1386</v>
      </c>
      <c r="L66" s="1332" t="e">
        <f>M49*0.5%</f>
        <v>#VALUE!</v>
      </c>
      <c r="M66" s="302" t="e">
        <f>IF(L66&gt;0.5,0.5,ROUND(L66,0))</f>
        <v>#VALUE!</v>
      </c>
      <c r="N66" s="2542" t="s">
        <v>1387</v>
      </c>
      <c r="Z66" s="1752"/>
      <c r="AI66" s="1753"/>
    </row>
    <row r="67" spans="1:35" ht="14.25" customHeight="1">
      <c r="A67" s="173" t="s">
        <v>328</v>
      </c>
      <c r="B67" s="174" t="s">
        <v>1388</v>
      </c>
      <c r="C67" s="2566">
        <f ca="1">C63-C66</f>
        <v>130</v>
      </c>
      <c r="D67" s="170" t="s">
        <v>26</v>
      </c>
      <c r="E67" s="172"/>
      <c r="F67" s="1808"/>
      <c r="G67" s="1808"/>
      <c r="H67" s="1810"/>
      <c r="I67" s="129"/>
      <c r="J67" s="3588"/>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7</v>
      </c>
      <c r="D68" s="2568">
        <f>'数据-取费表'!B41</f>
        <v>5.5000000000000007E-2</v>
      </c>
      <c r="E68" s="178"/>
      <c r="F68" s="1808"/>
      <c r="G68" s="1808"/>
      <c r="H68" s="1810"/>
      <c r="I68" s="129"/>
      <c r="J68" s="3588"/>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88"/>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1393</v>
      </c>
      <c r="B70" s="3633"/>
      <c r="C70" s="3633"/>
      <c r="D70" s="3633"/>
      <c r="E70" s="3633"/>
      <c r="F70" s="3633"/>
      <c r="G70" s="3633"/>
      <c r="H70" s="363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1374</v>
      </c>
      <c r="B71" s="3625"/>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130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29" t="s">
        <v>1401</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621" t="s">
        <v>1405</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129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77</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1409</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1374</v>
      </c>
      <c r="B84" s="362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0" t="s">
        <v>2128</v>
      </c>
      <c r="H90" s="3591"/>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1" t="s">
        <v>1418</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1" t="s">
        <v>1421</v>
      </c>
      <c r="F92" s="3622"/>
      <c r="G92" s="3622"/>
      <c r="H92" s="3623"/>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621" t="s">
        <v>1405</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6" t="s">
        <v>1425</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129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77</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1" t="s">
        <v>1427</v>
      </c>
      <c r="B100" s="3572"/>
      <c r="C100" s="3572"/>
      <c r="D100" s="3606"/>
      <c r="E100" s="3572" t="s">
        <v>1428</v>
      </c>
      <c r="F100" s="3572"/>
      <c r="G100" s="3572"/>
      <c r="H100" s="3606"/>
      <c r="I100" s="129"/>
    </row>
    <row r="101" spans="1:35" ht="18.75" customHeight="1">
      <c r="A101" s="3614" t="s">
        <v>1429</v>
      </c>
      <c r="B101" s="3615"/>
      <c r="C101" s="2583" t="str">
        <f>C4</f>
        <v>成本法 (元)</v>
      </c>
      <c r="D101" s="2584" t="str">
        <f>D4</f>
        <v>收益法 (元)</v>
      </c>
      <c r="E101" s="3584" t="s">
        <v>1430</v>
      </c>
      <c r="F101" s="3585"/>
      <c r="G101" s="1827" t="s">
        <v>1431</v>
      </c>
      <c r="H101" s="2593">
        <f ca="1">H118</f>
        <v>136</v>
      </c>
      <c r="I101" s="129"/>
    </row>
    <row r="102" spans="1:35" ht="18.75" customHeight="1">
      <c r="A102" s="3616" t="s">
        <v>1432</v>
      </c>
      <c r="B102" s="2582" t="s">
        <v>1431</v>
      </c>
      <c r="C102" s="2583">
        <f ca="1">IF(D32="楼面单价",ROUND(C19,0),C19)</f>
        <v>130.26220000000001</v>
      </c>
      <c r="D102" s="2584">
        <f ca="1">IF(D32="楼面单价",ROUND(D19,0),D19)</f>
        <v>141.10069999999999</v>
      </c>
      <c r="E102" s="3584"/>
      <c r="F102" s="3585"/>
      <c r="G102" s="1827" t="s">
        <v>1433</v>
      </c>
      <c r="H102" s="2553">
        <f ca="1">I118</f>
        <v>26014</v>
      </c>
      <c r="I102" s="129"/>
    </row>
    <row r="103" spans="1:35" ht="42.75" customHeight="1">
      <c r="A103" s="3616"/>
      <c r="B103" s="2582" t="s">
        <v>1433</v>
      </c>
      <c r="C103" s="2585">
        <f ca="1">C20</f>
        <v>24916</v>
      </c>
      <c r="D103" s="2586">
        <f ca="1">D20</f>
        <v>26989</v>
      </c>
      <c r="E103" s="3577" t="s">
        <v>1434</v>
      </c>
      <c r="F103" s="3578"/>
      <c r="G103" s="1828" t="s">
        <v>1435</v>
      </c>
      <c r="H103" s="2593">
        <f>IF(D36="正常操作",H104+H105+H106,H105+H106)</f>
        <v>0</v>
      </c>
      <c r="I103" s="129"/>
    </row>
    <row r="104" spans="1:35" ht="18.75" customHeight="1">
      <c r="A104" s="3616" t="s">
        <v>1436</v>
      </c>
      <c r="B104" s="2587" t="s">
        <v>1431</v>
      </c>
      <c r="C104" s="2588">
        <f ca="1">H118</f>
        <v>136</v>
      </c>
      <c r="D104" s="2589"/>
      <c r="E104" s="1674" t="s">
        <v>1437</v>
      </c>
      <c r="F104" s="1666"/>
      <c r="G104" s="1828" t="s">
        <v>1435</v>
      </c>
      <c r="H104" s="2594">
        <f>IF(D36="同一抵押权人同一抵押物续贷",C36&amp;"（续贷，未扣减，详见特别提示）",C36)</f>
        <v>0</v>
      </c>
      <c r="I104" s="129"/>
    </row>
    <row r="105" spans="1:35" ht="18.75" customHeight="1" thickBot="1">
      <c r="A105" s="3626"/>
      <c r="B105" s="2590" t="s">
        <v>1433</v>
      </c>
      <c r="C105" s="2591">
        <f ca="1">I118</f>
        <v>26014</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7" t="str">
        <f>IF(项目基本情况!E8="已注销","——","3.房地产抵押价值")</f>
        <v>3.房地产抵押价值</v>
      </c>
      <c r="F107" s="3585"/>
      <c r="G107" s="1827" t="s">
        <v>1431</v>
      </c>
      <c r="H107" s="2593">
        <f ca="1">IF(E107="——","——",H101-H103)</f>
        <v>136</v>
      </c>
      <c r="I107" s="129"/>
    </row>
    <row r="108" spans="1:35" ht="18.75" customHeight="1">
      <c r="A108" s="129"/>
      <c r="B108" s="129"/>
      <c r="C108" s="129"/>
      <c r="D108" s="129"/>
      <c r="E108" s="3617"/>
      <c r="F108" s="3585"/>
      <c r="G108" s="1827" t="s">
        <v>1433</v>
      </c>
      <c r="H108" s="2553">
        <f ca="1">IF(H107=H101,H102,ROUND(H107*10000/'数据-汇总表'!E3,0))</f>
        <v>26014</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1431</v>
      </c>
      <c r="H109" s="2596" t="str">
        <f>IF(E109="——","——",H101-H105-H106)</f>
        <v>——</v>
      </c>
      <c r="I109" s="129"/>
    </row>
    <row r="110" spans="1:35" ht="18.75" customHeight="1">
      <c r="A110" s="129"/>
      <c r="B110" s="129"/>
      <c r="C110" s="129"/>
      <c r="D110" s="129"/>
      <c r="E110" s="3617"/>
      <c r="F110" s="3585"/>
      <c r="G110" s="1827" t="s">
        <v>1433</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1431</v>
      </c>
      <c r="H111" s="2593" t="str">
        <f>IF(E111="——","——",N59)</f>
        <v>——</v>
      </c>
      <c r="I111" s="129"/>
    </row>
    <row r="112" spans="1:35" ht="18.75" customHeight="1" thickBot="1">
      <c r="A112" s="129"/>
      <c r="B112" s="129"/>
      <c r="C112" s="129"/>
      <c r="D112" s="129"/>
      <c r="E112" s="3619"/>
      <c r="F112" s="3620"/>
      <c r="G112" s="1830" t="s">
        <v>1433</v>
      </c>
      <c r="H112" s="2597"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1441</v>
      </c>
      <c r="B115" s="3636"/>
      <c r="C115" s="3636"/>
      <c r="D115" s="3636"/>
      <c r="E115" s="3636"/>
      <c r="F115" s="3636"/>
      <c r="G115" s="3636"/>
      <c r="H115" s="3636"/>
      <c r="I115" s="3637"/>
    </row>
    <row r="116" spans="1:27" ht="27" customHeight="1">
      <c r="A116" s="3592" t="s">
        <v>1442</v>
      </c>
      <c r="B116" s="3596" t="s">
        <v>1443</v>
      </c>
      <c r="C116" s="3596" t="s">
        <v>1444</v>
      </c>
      <c r="D116" s="3602" t="s">
        <v>1445</v>
      </c>
      <c r="E116" s="3603"/>
      <c r="F116" s="3634" t="s">
        <v>1446</v>
      </c>
      <c r="G116" s="3634"/>
      <c r="H116" s="3592" t="s">
        <v>1447</v>
      </c>
      <c r="I116" s="3592"/>
    </row>
    <row r="117" spans="1:27" ht="18.75" customHeight="1">
      <c r="A117" s="3592"/>
      <c r="B117" s="3597"/>
      <c r="C117" s="3597"/>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北京市昌平区平西府东路1号院一区1号楼1层4-29房地产</v>
      </c>
      <c r="B118" s="2329">
        <f>M18</f>
        <v>52.28</v>
      </c>
      <c r="C118" s="2329">
        <f>M19</f>
        <v>0</v>
      </c>
      <c r="D118" s="2329">
        <f ca="1">ROUND(IF(D32="总价",C34,E118*B118/10000),0)</f>
        <v>107</v>
      </c>
      <c r="E118" s="2329">
        <f ca="1">ROUND(IF(C33="自定义",IF(D32="楼面单价",C34,D118*10000/B118),I118-G118),0)</f>
        <v>20467</v>
      </c>
      <c r="F118" s="2329">
        <f ca="1">ROUND(IF(D32="总价",C35,G118*B118/10000),0)</f>
        <v>29</v>
      </c>
      <c r="G118" s="2329">
        <f ca="1">ROUND(IF(D32="楼面单价",C35,F118*10000/B118),0)</f>
        <v>5547</v>
      </c>
      <c r="H118" s="2329">
        <f ca="1">ROUND(IF(D32="总价",C32,I118*B118/10000),0)</f>
        <v>136</v>
      </c>
      <c r="I118" s="2329">
        <f ca="1">ROUND(IF(D32="楼面单价",C32,H118*10000/B118),0)</f>
        <v>26014</v>
      </c>
    </row>
    <row r="119" spans="1:27" ht="18.75" customHeight="1">
      <c r="A119" s="3592" t="s">
        <v>1451</v>
      </c>
      <c r="B119" s="3592"/>
      <c r="C119" s="3592"/>
      <c r="D119" s="3598" t="str">
        <f ca="1">NUMBERSTRING(INT(D118*10000),2)&amp;"元整"</f>
        <v>壹佰零柒万元整</v>
      </c>
      <c r="E119" s="3599"/>
      <c r="F119" s="3598" t="str">
        <f ca="1">NUMBERSTRING(INT(F118*10000),2)&amp;"元整"</f>
        <v>贰拾玖万元整</v>
      </c>
      <c r="G119" s="3599"/>
      <c r="H119" s="3598" t="str">
        <f ca="1">NUMBERSTRING(INT(H118*10000),2)&amp;"元整"</f>
        <v>壹佰叁拾陆万元整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136</v>
      </c>
      <c r="E122" s="3594"/>
      <c r="F122" s="3594"/>
      <c r="G122" s="3594"/>
      <c r="H122" s="3594"/>
      <c r="I122" s="3595"/>
      <c r="AA122" s="725"/>
    </row>
    <row r="123" spans="1:27" ht="18.75" customHeight="1">
      <c r="A123" s="3592" t="s">
        <v>1451</v>
      </c>
      <c r="B123" s="3592"/>
      <c r="C123" s="3592"/>
      <c r="D123" s="3598" t="str">
        <f ca="1">NUMBERSTRING(INT(D122*10000),2)&amp;"元整"</f>
        <v>壹佰叁拾陆万元整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1451</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1451</v>
      </c>
      <c r="B127" s="3592"/>
      <c r="C127" s="3592"/>
      <c r="D127" s="3598" t="e">
        <f>NUMBERSTRING(INT(D126*10000),2)&amp;"元整"</f>
        <v>#VALUE!</v>
      </c>
      <c r="E127" s="3600"/>
      <c r="F127" s="3600"/>
      <c r="G127" s="3600"/>
      <c r="H127" s="3600"/>
      <c r="I127" s="3599"/>
      <c r="AA127" s="725"/>
    </row>
    <row r="128" spans="1:27" ht="21.75" customHeight="1">
      <c r="A128" s="3601" t="s">
        <v>1452</v>
      </c>
      <c r="B128" s="3601"/>
      <c r="C128" s="3601"/>
      <c r="D128" s="3601"/>
      <c r="E128" s="3601"/>
      <c r="F128" s="3601"/>
      <c r="G128" s="3601"/>
      <c r="H128" s="3601"/>
      <c r="I128" s="360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M20" sqref="M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52.28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7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2" t="s">
        <v>3254</v>
      </c>
      <c r="B20" s="167" t="s">
        <v>1993</v>
      </c>
      <c r="C20" s="3322">
        <f>ROUND(IF(F21="与级别开发程度一致",0,(G21-E21)/C21),0)</f>
        <v>-20</v>
      </c>
      <c r="D20" s="3338" t="s">
        <v>1997</v>
      </c>
      <c r="E20" s="3339"/>
      <c r="F20" s="3688" t="s">
        <v>1994</v>
      </c>
      <c r="G20" s="3689"/>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3463</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52.28</v>
      </c>
      <c r="E33" s="773">
        <f>ROUND(C33*D33/10000,0)</f>
        <v>68</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2603</v>
      </c>
      <c r="D38" s="2098">
        <f>'数据-基础表'!K13</f>
        <v>0</v>
      </c>
      <c r="E38" s="171">
        <f t="shared" ref="E38:E42" si="4">ROUND(C38*D38/10000,0)</f>
        <v>0</v>
      </c>
      <c r="F38" s="171">
        <f>SUMIF(修正!A57:A68,G2,修正!C57:C68)</f>
        <v>0.3</v>
      </c>
      <c r="G38" s="171">
        <f>ROUND(IF(E2="工业",C38*$M$42,C38*$M$41),0)</f>
        <v>651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7"/>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3466</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3466</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3466</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3466</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4" t="s">
        <v>3293</v>
      </c>
      <c r="B103" s="3684"/>
      <c r="C103" s="3684"/>
      <c r="D103" s="3684"/>
      <c r="E103" s="3684"/>
      <c r="F103" s="3684"/>
      <c r="G103" s="3684"/>
      <c r="H103" s="3684"/>
      <c r="I103" s="3684"/>
      <c r="J103" s="3684"/>
      <c r="K103" s="3387"/>
      <c r="L103" s="3387"/>
      <c r="M103" s="3387"/>
      <c r="N103" s="3387"/>
    </row>
    <row r="104" spans="1:14">
      <c r="A104" s="3685" t="s">
        <v>3294</v>
      </c>
      <c r="B104" s="3685" t="s">
        <v>3295</v>
      </c>
      <c r="C104" s="3388" t="s">
        <v>3296</v>
      </c>
      <c r="D104" s="3389"/>
      <c r="E104" s="3389"/>
      <c r="F104" s="3389"/>
      <c r="G104" s="3389"/>
      <c r="H104" s="3389"/>
      <c r="I104" s="3389"/>
      <c r="J104" s="3390"/>
      <c r="K104" s="3391"/>
      <c r="L104" s="3391"/>
      <c r="M104" s="3391"/>
      <c r="N104" s="3391"/>
    </row>
    <row r="105" spans="1:14">
      <c r="A105" s="3685"/>
      <c r="B105" s="368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2"/>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3"/>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4" t="s">
        <v>3310</v>
      </c>
      <c r="B113" s="3674"/>
      <c r="C113" s="3674"/>
      <c r="D113" s="3674"/>
      <c r="E113" s="3674"/>
      <c r="F113" s="3674"/>
      <c r="G113" s="3674"/>
      <c r="H113" s="3674"/>
      <c r="I113" s="3674"/>
      <c r="J113" s="367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北京市昌平区平西府东路1号院一区1号楼1层4-29房地产抵押价值预评估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71</v>
      </c>
      <c r="D5" s="211" t="s">
        <v>1468</v>
      </c>
      <c r="E5" s="212" t="s">
        <v>1469</v>
      </c>
      <c r="F5" s="212" t="s">
        <v>1470</v>
      </c>
      <c r="G5" s="213"/>
    </row>
    <row r="6" spans="1:9" s="214" customFormat="1" ht="13.5" customHeight="1">
      <c r="A6" s="778" t="s">
        <v>1471</v>
      </c>
      <c r="B6" s="215" t="s">
        <v>1472</v>
      </c>
      <c r="C6" s="216">
        <f>基准地价修正!E33</f>
        <v>68</v>
      </c>
      <c r="D6" s="217"/>
      <c r="E6" s="218"/>
      <c r="F6" s="218"/>
      <c r="G6" s="219"/>
    </row>
    <row r="7" spans="1:9" s="214" customFormat="1" ht="13.5" customHeight="1">
      <c r="A7" s="778" t="s">
        <v>1473</v>
      </c>
      <c r="B7" s="215" t="s">
        <v>1474</v>
      </c>
      <c r="C7" s="220">
        <f>ROUND(C6*F7,0)</f>
        <v>2</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1</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52.28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52.28</v>
      </c>
      <c r="E19" s="211">
        <f>'数据-取费表'!B31</f>
        <v>200</v>
      </c>
      <c r="F19" s="231"/>
      <c r="G19" s="1856" t="s">
        <v>3408</v>
      </c>
    </row>
    <row r="20" spans="1:7" s="214" customFormat="1" ht="13.5" customHeight="1">
      <c r="A20" s="255" t="s">
        <v>1492</v>
      </c>
      <c r="B20" s="210" t="s">
        <v>1493</v>
      </c>
      <c r="C20" s="232">
        <f>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14</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14</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52.28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90" t="s">
        <v>1543</v>
      </c>
    </row>
    <row r="43" spans="1:7" ht="13.5" customHeight="1">
      <c r="A43" s="780" t="s">
        <v>347</v>
      </c>
      <c r="B43" s="215" t="s">
        <v>1544</v>
      </c>
      <c r="C43" s="238">
        <f ca="1">ROUND(IF('数据-取费表'!B22&lt;=1,C39*F22*'数据-取费表'!B21/2,C39*(POWER((1+F22),'数据-取费表'!B21/2)-1)),0)</f>
        <v>0</v>
      </c>
      <c r="D43" s="238"/>
      <c r="E43" s="238"/>
      <c r="F43" s="239"/>
      <c r="G43" s="3691"/>
    </row>
    <row r="44" spans="1:7" ht="13.5" customHeight="1">
      <c r="A44" s="780" t="s">
        <v>348</v>
      </c>
      <c r="B44" s="215" t="s">
        <v>1545</v>
      </c>
      <c r="C44" s="238">
        <f ca="1">ROUND(IF('数据-取费表'!B22&lt;=1,C40*F22*'数据-取费表'!B21/2,C40*(POWER((1+F22),'数据-取费表'!B21/2)-1)),4)</f>
        <v>8.0000000000000004E-4</v>
      </c>
      <c r="D44" s="238"/>
      <c r="E44" s="238"/>
      <c r="F44" s="239"/>
      <c r="G44" s="3692"/>
    </row>
    <row r="45" spans="1:7" s="214" customFormat="1" ht="13.5" customHeight="1">
      <c r="A45" s="255" t="s">
        <v>1546</v>
      </c>
      <c r="B45" s="244" t="s">
        <v>1512</v>
      </c>
      <c r="C45" s="245">
        <f ca="1">C46</f>
        <v>5</v>
      </c>
      <c r="D45" s="235">
        <f ca="1">C47</f>
        <v>4.0000000000000001E-3</v>
      </c>
      <c r="E45" s="236" t="s">
        <v>1538</v>
      </c>
      <c r="F45" s="246">
        <f ca="1">F27</f>
        <v>0.2</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27</v>
      </c>
      <c r="D51" s="232"/>
      <c r="E51" s="232"/>
      <c r="F51" s="264"/>
      <c r="G51" s="234" t="s">
        <v>1559</v>
      </c>
    </row>
    <row r="52" spans="1:7" s="208" customFormat="1" ht="16.5" thickBot="1">
      <c r="A52" s="265" t="s">
        <v>1560</v>
      </c>
      <c r="B52" s="266"/>
      <c r="C52" s="267">
        <f ca="1">C31+C51</f>
        <v>127</v>
      </c>
      <c r="D52" s="266"/>
      <c r="E52" s="266"/>
      <c r="F52" s="266"/>
      <c r="G52" s="268"/>
    </row>
    <row r="55" spans="1:7" ht="15">
      <c r="B55" s="270" t="s">
        <v>1561</v>
      </c>
      <c r="C55" s="271"/>
    </row>
    <row r="56" spans="1:7">
      <c r="B56" s="273" t="s">
        <v>802</v>
      </c>
      <c r="C56" s="275">
        <f ca="1">1-C57</f>
        <v>0.78700000000000003</v>
      </c>
    </row>
    <row r="57" spans="1:7">
      <c r="B57" s="273" t="s">
        <v>803</v>
      </c>
      <c r="C57" s="274">
        <f ca="1">ROUND(C51/C52,3)</f>
        <v>0.21299999999999999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130.26220000000001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24916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712603.24</v>
      </c>
      <c r="D5" s="211" t="s">
        <v>1468</v>
      </c>
      <c r="E5" s="212" t="s">
        <v>1469</v>
      </c>
      <c r="F5" s="212" t="s">
        <v>1470</v>
      </c>
      <c r="G5" s="213"/>
    </row>
    <row r="6" spans="1:8" s="214" customFormat="1" ht="13.5" customHeight="1">
      <c r="A6" s="778" t="s">
        <v>1471</v>
      </c>
      <c r="B6" s="215" t="s">
        <v>1472</v>
      </c>
      <c r="C6" s="216">
        <f>基准地价修正!D33*基准地价修正!C33</f>
        <v>681365.24</v>
      </c>
      <c r="D6" s="217"/>
      <c r="E6" s="218"/>
      <c r="F6" s="218"/>
      <c r="G6" s="219"/>
    </row>
    <row r="7" spans="1:8" s="214" customFormat="1" ht="13.5" customHeight="1">
      <c r="A7" s="778" t="s">
        <v>1473</v>
      </c>
      <c r="B7" s="215" t="s">
        <v>1474</v>
      </c>
      <c r="C7" s="220">
        <f>ROUND(C6*F7,0)</f>
        <v>20782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10456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10456</v>
      </c>
      <c r="D10" s="845">
        <f ca="1">IF(B1="",'数据-汇总表'!E6,IF(INDIRECT("'数据-取费表'!c"&amp;$G$1)="住宅",INDIRECT("'数据-取费表'!s"&amp;$G$1),INDIRECT("'数据-取费表'!k"&amp;$G$1)+INDIRECT("'数据-取费表'!s"&amp;$G$1)))</f>
        <v>52.28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10456</v>
      </c>
      <c r="D19" s="849">
        <f ca="1">D9+D10</f>
        <v>52.28</v>
      </c>
      <c r="E19" s="211">
        <f>'数据-取费表'!B31</f>
        <v>200</v>
      </c>
      <c r="F19" s="231"/>
      <c r="G19" s="1856"/>
    </row>
    <row r="20" spans="1:7" s="214" customFormat="1" ht="13.5" customHeight="1">
      <c r="A20" s="255" t="s">
        <v>1573</v>
      </c>
      <c r="B20" s="210" t="s">
        <v>1574</v>
      </c>
      <c r="C20" s="232">
        <f ca="1">ROUND((C5+C19)*F20,0)</f>
        <v>14461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61859</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60373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886</v>
      </c>
      <c r="D24" s="238"/>
      <c r="E24" s="238"/>
      <c r="F24" s="239"/>
      <c r="G24" s="240" t="s">
        <v>1585</v>
      </c>
    </row>
    <row r="25" spans="1:7" s="214" customFormat="1" ht="24">
      <c r="A25" s="780" t="s">
        <v>1475</v>
      </c>
      <c r="B25" s="215" t="s">
        <v>1586</v>
      </c>
      <c r="C25" s="1128">
        <f ca="1">ROUND(IF('数据-取费表'!B22&lt;=1,C20*F22*'数据-取费表'!B22/2,C20*(POWER((1+F22),'数据-取费表'!B22/2)-1)),0)</f>
        <v>600</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147504</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147504</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1026098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209120</v>
      </c>
      <c r="D34" s="217"/>
      <c r="E34" s="220"/>
      <c r="F34" s="257"/>
      <c r="G34" s="219"/>
    </row>
    <row r="35" spans="1:7" ht="13.5" customHeight="1">
      <c r="A35" s="780" t="s">
        <v>351</v>
      </c>
      <c r="B35" s="215" t="s">
        <v>1526</v>
      </c>
      <c r="C35" s="220">
        <f ca="1">ROUND(C34*F35,0)</f>
        <v>6274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10456</v>
      </c>
      <c r="D37" s="217">
        <f ca="1">D19</f>
        <v>52.28</v>
      </c>
      <c r="E37" s="249">
        <f>'数据-取费表'!B35</f>
        <v>200</v>
      </c>
      <c r="F37" s="259"/>
      <c r="G37" s="261"/>
    </row>
    <row r="38" spans="1:7" ht="13.5" customHeight="1">
      <c r="A38" s="780" t="s">
        <v>354</v>
      </c>
      <c r="B38" s="215" t="s">
        <v>1532</v>
      </c>
      <c r="C38" s="220">
        <f ca="1">ROUND(C34*F38,0)</f>
        <v>3137</v>
      </c>
      <c r="D38" s="220"/>
      <c r="E38" s="220"/>
      <c r="F38" s="259">
        <f>'数据-取费表'!B36</f>
        <v>1.4999999999999999E-2</v>
      </c>
      <c r="G38" s="219" t="s">
        <v>1527</v>
      </c>
    </row>
    <row r="39" spans="1:7" s="214" customFormat="1" ht="13.5" customHeight="1">
      <c r="A39" s="255" t="s">
        <v>1533</v>
      </c>
      <c r="B39" s="210" t="s">
        <v>1534</v>
      </c>
      <c r="C39" s="232">
        <f ca="1">ROUND(C33*F20,0)</f>
        <v>4580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9693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9503</v>
      </c>
      <c r="D42" s="238"/>
      <c r="E42" s="238"/>
      <c r="F42" s="239"/>
      <c r="G42" s="3690" t="s">
        <v>1590</v>
      </c>
    </row>
    <row r="43" spans="1:7" ht="13.5" customHeight="1">
      <c r="A43" s="780" t="s">
        <v>347</v>
      </c>
      <c r="B43" s="215" t="s">
        <v>1544</v>
      </c>
      <c r="C43" s="238">
        <f ca="1">ROUND(IF('数据-取费表'!B22&lt;=1,C39*F22*'数据-取费表'!B20/2,C39*(POWER((1+F22),'数据-取费表'!B20/2)-1)),0)</f>
        <v>190</v>
      </c>
      <c r="D43" s="238"/>
      <c r="E43" s="238"/>
      <c r="F43" s="239"/>
      <c r="G43" s="3691"/>
    </row>
    <row r="44" spans="1:7" ht="13.5" customHeight="1">
      <c r="A44" s="780" t="s">
        <v>348</v>
      </c>
      <c r="B44" s="215" t="s">
        <v>1545</v>
      </c>
      <c r="C44" s="238">
        <f ca="1">ROUND(IF('数据-取费表'!B22&lt;=1,C40*F22*'数据-取费表'!B20/2,C40*(POWER((1+F22),'数据-取费表'!B20/2)-1)),4)</f>
        <v>8.0000000000000004E-4</v>
      </c>
      <c r="D44" s="238"/>
      <c r="E44" s="238"/>
      <c r="F44" s="239"/>
      <c r="G44" s="3692"/>
    </row>
    <row r="45" spans="1:7" s="214" customFormat="1" ht="13.5" customHeight="1">
      <c r="A45" s="255" t="s">
        <v>1546</v>
      </c>
      <c r="B45" s="244" t="s">
        <v>1512</v>
      </c>
      <c r="C45" s="245">
        <f ca="1">C46</f>
        <v>46713</v>
      </c>
      <c r="D45" s="235">
        <f ca="1">C47</f>
        <v>4.0000000000000001E-3</v>
      </c>
      <c r="E45" s="236" t="s">
        <v>1538</v>
      </c>
      <c r="F45" s="246">
        <f ca="1">F27</f>
        <v>0.2</v>
      </c>
      <c r="G45" s="247" t="s">
        <v>1547</v>
      </c>
    </row>
    <row r="46" spans="1:7" s="214" customFormat="1" ht="13.5" customHeight="1">
      <c r="A46" s="780" t="s">
        <v>346</v>
      </c>
      <c r="B46" s="248" t="s">
        <v>1548</v>
      </c>
      <c r="C46" s="249">
        <f ca="1">ROUND((C33+C39)*F27,0)</f>
        <v>46713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314232</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276524</v>
      </c>
      <c r="D51" s="232"/>
      <c r="E51" s="232"/>
      <c r="F51" s="264"/>
      <c r="G51" s="234" t="s">
        <v>1559</v>
      </c>
    </row>
    <row r="52" spans="1:7" s="208" customFormat="1" ht="16.5" thickBot="1">
      <c r="A52" s="265" t="s">
        <v>1560</v>
      </c>
      <c r="B52" s="266"/>
      <c r="C52" s="267">
        <f ca="1">C31+C51</f>
        <v>1302622</v>
      </c>
      <c r="D52" s="266"/>
      <c r="E52" s="266"/>
      <c r="F52" s="266"/>
      <c r="G52" s="268"/>
    </row>
    <row r="55" spans="1:7" ht="15">
      <c r="B55" s="270" t="s">
        <v>1561</v>
      </c>
      <c r="C55" s="271"/>
    </row>
    <row r="56" spans="1:7">
      <c r="B56" s="273" t="s">
        <v>802</v>
      </c>
      <c r="C56" s="275">
        <f ca="1">1-C57</f>
        <v>0.78800000000000003</v>
      </c>
    </row>
    <row r="57" spans="1:7">
      <c r="B57" s="273" t="s">
        <v>803</v>
      </c>
      <c r="C57" s="274">
        <f ca="1">ROUND(C51/C52,3)</f>
        <v>0.21199999999999999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52.28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52.28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v>
      </c>
      <c r="D20" s="846">
        <f ca="1">IF(C1="",'数据-汇总表'!E6,IF(INDIRECT("'数据-取费表'!c"&amp;$K$1)="住宅",INDIRECT("'数据-取费表'!s"&amp;$K$1),INDIRECT("'数据-取费表'!k"&amp;$K$1)+INDIRECT("'数据-取费表'!s"&amp;$K$1)))</f>
        <v>52.28</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3455"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1076"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141.10069999999999</v>
      </c>
      <c r="C2" s="1387" t="s">
        <v>879</v>
      </c>
      <c r="D2" s="1471">
        <f ca="1">C40+J29+L46</f>
        <v>1411007</v>
      </c>
      <c r="E2" s="1388" t="s">
        <v>880</v>
      </c>
      <c r="F2" s="1389"/>
      <c r="G2" s="2703"/>
      <c r="H2" s="2692"/>
      <c r="I2" s="2692"/>
      <c r="J2" s="2692"/>
      <c r="K2" s="2693"/>
      <c r="L2" s="2692"/>
      <c r="M2" s="2692"/>
    </row>
    <row r="3" spans="1:37" ht="18" customHeight="1" thickBot="1">
      <c r="A3" s="1390" t="s">
        <v>881</v>
      </c>
      <c r="B3" s="1391">
        <f ca="1">IF(ISERROR(D2/F43),0,ROUND(D2/F43,0))</f>
        <v>26989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85977</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85870</v>
      </c>
      <c r="D6" s="155" t="s">
        <v>2105</v>
      </c>
      <c r="E6" s="302" t="s">
        <v>696</v>
      </c>
      <c r="F6" s="303">
        <f ca="1">INDIRECT("'数据-取费表'!u"&amp;$G$1)</f>
        <v>5</v>
      </c>
      <c r="G6" s="1384"/>
      <c r="H6" s="1069" t="s">
        <v>398</v>
      </c>
      <c r="I6" s="3693" t="s">
        <v>694</v>
      </c>
      <c r="J6" s="301">
        <f ca="1">ROUND(M6*M8*M7*(1-M9),0)</f>
        <v>0</v>
      </c>
      <c r="K6" s="1376"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52.28</v>
      </c>
      <c r="G7" s="1384"/>
      <c r="H7" s="304"/>
      <c r="I7" s="3694"/>
      <c r="J7" s="306"/>
      <c r="K7" s="307"/>
      <c r="L7" s="302" t="s">
        <v>697</v>
      </c>
      <c r="M7" s="303">
        <f ca="1">F7</f>
        <v>52.28</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276524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209120</v>
      </c>
      <c r="D14" s="1345" t="s">
        <v>708</v>
      </c>
      <c r="E14" s="1342"/>
      <c r="F14" s="319"/>
      <c r="G14" s="1384"/>
      <c r="H14" s="982" t="s">
        <v>398</v>
      </c>
      <c r="I14" s="302" t="s">
        <v>709</v>
      </c>
      <c r="J14" s="21">
        <f ca="1">C29</f>
        <v>314232</v>
      </c>
      <c r="K14" s="12"/>
      <c r="L14" s="807"/>
      <c r="M14" s="808"/>
    </row>
    <row r="15" spans="1:37" s="1397" customFormat="1" ht="18" customHeight="1" thickBot="1">
      <c r="A15" s="982" t="s">
        <v>399</v>
      </c>
      <c r="B15" s="302" t="s">
        <v>710</v>
      </c>
      <c r="C15" s="21">
        <f ca="1">ROUND(C14*F15,0)</f>
        <v>6274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3142</v>
      </c>
      <c r="K16" s="1087" t="s">
        <v>715</v>
      </c>
      <c r="L16" s="1088"/>
      <c r="M16" s="1072"/>
    </row>
    <row r="17" spans="1:37" s="1397" customFormat="1" ht="18" customHeight="1">
      <c r="A17" s="982" t="s">
        <v>681</v>
      </c>
      <c r="B17" s="302" t="s">
        <v>716</v>
      </c>
      <c r="C17" s="21">
        <f ca="1">ROUND(F17*(F43+INDIRECT("'数据-取费表'!S"&amp;$G$1)),0)</f>
        <v>10456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228987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4580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9693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-3142</v>
      </c>
      <c r="K25" s="1095" t="s">
        <v>753</v>
      </c>
      <c r="L25" s="1096"/>
      <c r="M25" s="1097"/>
    </row>
    <row r="26" spans="1:37" ht="18" customHeight="1">
      <c r="A26" s="982" t="s">
        <v>397</v>
      </c>
      <c r="B26" s="302" t="s">
        <v>754</v>
      </c>
      <c r="C26" s="21">
        <f ca="1">ROUND((C19+C20)*F26,0)</f>
        <v>46713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314232</v>
      </c>
      <c r="D29" s="1092"/>
      <c r="E29" s="1090"/>
      <c r="F29" s="1093"/>
      <c r="G29" s="1396"/>
      <c r="H29" s="334" t="s">
        <v>396</v>
      </c>
      <c r="I29" s="335" t="s">
        <v>768</v>
      </c>
      <c r="J29" s="336">
        <f ca="1">ROUND(J26/(1+F40)^F41,0)</f>
        <v>0</v>
      </c>
      <c r="K29" s="337" t="s">
        <v>769</v>
      </c>
      <c r="L29" s="338"/>
      <c r="M29" s="339">
        <f ca="1">INDIRECT("'数据-取费表'!k"&amp;$G$1)</f>
        <v>52.28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18591</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14312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4498</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9814</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3142</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ROUND(C13*F37,0)</f>
        <v>277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860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67386</v>
      </c>
      <c r="D39" s="1095" t="s">
        <v>773</v>
      </c>
      <c r="E39" s="1096"/>
      <c r="F39" s="1097"/>
      <c r="G39" s="1384"/>
      <c r="H39" s="2697"/>
      <c r="I39" s="1398"/>
      <c r="J39" s="1399"/>
      <c r="K39" s="2701"/>
      <c r="L39" s="2697"/>
      <c r="M39" s="2697"/>
    </row>
    <row r="40" spans="1:18" ht="18" customHeight="1">
      <c r="A40" s="299" t="s">
        <v>395</v>
      </c>
      <c r="B40" s="300" t="s">
        <v>774</v>
      </c>
      <c r="C40" s="301">
        <f ca="1">ROUND(C39*(1-((1+F42)/(1+F40))^F41)/(F40-F42),0)</f>
        <v>1397120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26724</v>
      </c>
      <c r="D43" s="337" t="s">
        <v>777</v>
      </c>
      <c r="E43" s="338" t="s">
        <v>778</v>
      </c>
      <c r="F43" s="339">
        <f ca="1">INDIRECT("'数据-取费表'!k"&amp;$G$1)</f>
        <v>52.28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-144.7114</v>
      </c>
      <c r="D45" s="3429" t="s">
        <v>3351</v>
      </c>
      <c r="E45" s="1400"/>
      <c r="F45" s="1400"/>
      <c r="O45" s="1403" t="s">
        <v>808</v>
      </c>
      <c r="P45" s="1461"/>
      <c r="Q45" s="1461"/>
      <c r="R45" s="1461"/>
    </row>
    <row r="46" spans="1:18" s="1384" customFormat="1" ht="13.5" thickBot="1">
      <c r="A46" s="1404" t="s">
        <v>809</v>
      </c>
      <c r="C46" s="1405">
        <f ca="1">ROUND(C45,0)</f>
        <v>-145</v>
      </c>
      <c r="D46" s="1406" t="str">
        <f>C2</f>
        <v>万元</v>
      </c>
      <c r="I46" s="1407" t="s">
        <v>810</v>
      </c>
      <c r="J46" s="1408"/>
      <c r="K46" s="1409"/>
      <c r="L46" s="1410">
        <f ca="1">IF(M47="住宅",0,IF(L48&gt;J51,L60,J60))</f>
        <v>13887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1397120</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13887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314232</v>
      </c>
      <c r="R49" s="1420" t="s">
        <v>818</v>
      </c>
    </row>
    <row r="50" spans="1:18" s="1384" customFormat="1" ht="13.5" thickBot="1">
      <c r="A50" s="976"/>
      <c r="B50" s="979"/>
      <c r="C50" s="980"/>
      <c r="D50" s="953"/>
      <c r="E50" s="1056" t="s">
        <v>697</v>
      </c>
      <c r="F50" s="1057">
        <f ca="1">F7</f>
        <v>52.28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888226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6" t="s">
        <v>837</v>
      </c>
      <c r="L53" s="3697"/>
      <c r="O53" s="1418" t="s">
        <v>409</v>
      </c>
      <c r="P53" s="1419" t="s">
        <v>838</v>
      </c>
      <c r="Q53" s="1420">
        <f ca="1">Q47+Q48</f>
        <v>1411007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276524</v>
      </c>
      <c r="D56" s="1447"/>
      <c r="E56" s="1448"/>
      <c r="F56" s="1440"/>
      <c r="I56" s="1449" t="s">
        <v>842</v>
      </c>
      <c r="J56" s="1450" t="s">
        <v>3377</v>
      </c>
      <c r="K56" s="1421" t="s">
        <v>843</v>
      </c>
      <c r="L56" s="1424" t="str">
        <f ca="1">IF(L48&lt;J51,"——",L48-J51)</f>
        <v>——</v>
      </c>
      <c r="O56" s="1418" t="s">
        <v>403</v>
      </c>
      <c r="P56" s="1419" t="s">
        <v>817</v>
      </c>
      <c r="Q56" s="1420">
        <f ca="1">C40+J29</f>
        <v>1397120</v>
      </c>
      <c r="R56" s="1420" t="s">
        <v>818</v>
      </c>
    </row>
    <row r="57" spans="1:18" s="1384" customFormat="1" ht="24.75" thickBot="1">
      <c r="A57" s="1451"/>
      <c r="B57" s="950" t="s">
        <v>767</v>
      </c>
      <c r="C57" s="238">
        <f ca="1">C29</f>
        <v>314232</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3419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125693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1397120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v>
      </c>
      <c r="D65" s="964" t="s">
        <v>743</v>
      </c>
      <c r="E65" s="950" t="s">
        <v>744</v>
      </c>
      <c r="F65" s="330">
        <f t="shared" ca="1" si="0"/>
        <v>1E-3</v>
      </c>
      <c r="I65" s="1462" t="s">
        <v>867</v>
      </c>
      <c r="J65" s="1463">
        <v>40</v>
      </c>
      <c r="K65" s="1463">
        <v>30</v>
      </c>
      <c r="L65" s="1463">
        <v>50</v>
      </c>
      <c r="M65" s="1465">
        <v>0.02</v>
      </c>
      <c r="O65" s="1418" t="s">
        <v>403</v>
      </c>
      <c r="P65" s="1419" t="s">
        <v>868</v>
      </c>
      <c r="Q65" s="1420">
        <f ca="1">C40+J29</f>
        <v>1397120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-3419</v>
      </c>
      <c r="D67" s="963" t="s">
        <v>753</v>
      </c>
      <c r="E67" s="968"/>
      <c r="F67" s="969"/>
      <c r="O67" s="1428" t="s">
        <v>405</v>
      </c>
      <c r="P67" s="1419" t="s">
        <v>850</v>
      </c>
      <c r="Q67" s="1466">
        <f ca="1">L51</f>
        <v>888226</v>
      </c>
      <c r="R67" s="1420" t="s">
        <v>870</v>
      </c>
    </row>
    <row r="68" spans="1:18" s="1384" customFormat="1" ht="16.5" thickBot="1">
      <c r="A68" s="947" t="s">
        <v>395</v>
      </c>
      <c r="B68" s="948" t="s">
        <v>774</v>
      </c>
      <c r="C68" s="301">
        <f ca="1">ROUND(C67*(1-((1+F70)/(1+F68))^F69)/(F68-F70),0)</f>
        <v>-49994</v>
      </c>
      <c r="D68" s="965" t="s">
        <v>758</v>
      </c>
      <c r="E68" s="950" t="s">
        <v>759</v>
      </c>
      <c r="F68" s="312">
        <f ca="1">F40</f>
        <v>5.5E-2</v>
      </c>
      <c r="O68" s="1428" t="s">
        <v>406</v>
      </c>
      <c r="P68" s="1467" t="s">
        <v>871</v>
      </c>
      <c r="Q68" s="1420">
        <f ca="1">ROUND(Q69-Q70*Q71,0)</f>
        <v>48029</v>
      </c>
      <c r="R68" s="1420" t="s">
        <v>414</v>
      </c>
    </row>
    <row r="69" spans="1:18" s="1384" customFormat="1" ht="13.5" thickBot="1">
      <c r="A69" s="951"/>
      <c r="B69" s="952"/>
      <c r="C69" s="306"/>
      <c r="D69" s="970" t="s">
        <v>762</v>
      </c>
      <c r="E69" s="950" t="s">
        <v>763</v>
      </c>
      <c r="F69" s="333">
        <f ca="1">F41</f>
        <v>30.46</v>
      </c>
      <c r="O69" s="1428" t="s">
        <v>411</v>
      </c>
      <c r="P69" s="1467" t="s">
        <v>872</v>
      </c>
      <c r="Q69" s="1420">
        <f ca="1">C39</f>
        <v>67386</v>
      </c>
      <c r="R69" s="1420" t="s">
        <v>818</v>
      </c>
    </row>
    <row r="70" spans="1:18" s="1384" customFormat="1" ht="13.5" thickBot="1">
      <c r="A70" s="954"/>
      <c r="B70" s="955"/>
      <c r="C70" s="310"/>
      <c r="D70" s="966"/>
      <c r="E70" s="950" t="s">
        <v>766</v>
      </c>
      <c r="F70" s="1054"/>
      <c r="O70" s="1428" t="s">
        <v>412</v>
      </c>
      <c r="P70" s="1467" t="s">
        <v>873</v>
      </c>
      <c r="Q70" s="1420">
        <f ca="1">C13</f>
        <v>276524</v>
      </c>
      <c r="R70" s="1420" t="s">
        <v>818</v>
      </c>
    </row>
    <row r="71" spans="1:18" s="1384" customFormat="1" ht="13.5" thickBot="1">
      <c r="A71" s="971" t="s">
        <v>396</v>
      </c>
      <c r="B71" s="972" t="s">
        <v>776</v>
      </c>
      <c r="C71" s="336">
        <f ca="1">ROUND(C68/F71,0)</f>
        <v>-956</v>
      </c>
      <c r="D71" s="973" t="s">
        <v>777</v>
      </c>
      <c r="E71" s="974" t="s">
        <v>778</v>
      </c>
      <c r="F71" s="339">
        <f ca="1">F43</f>
        <v>52.28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19357</v>
      </c>
      <c r="D75" s="1384"/>
      <c r="E75" s="1384"/>
      <c r="F75" s="1384"/>
      <c r="K75" s="1402"/>
      <c r="L75" s="1384"/>
      <c r="O75" s="1418" t="s">
        <v>409</v>
      </c>
      <c r="P75" s="1419" t="s">
        <v>838</v>
      </c>
      <c r="Q75" s="1420">
        <f ca="1">Q65+Q66</f>
        <v>1397120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0.71300000000000008</v>
      </c>
    </row>
    <row r="80" spans="1:18">
      <c r="B80" s="340" t="s">
        <v>800</v>
      </c>
      <c r="C80" s="274">
        <f ca="1">ROUND(C75/C39,3)</f>
        <v>0.28699999999999998</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98" t="s">
        <v>2315</v>
      </c>
      <c r="K2" s="3699"/>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0" t="s">
        <v>2325</v>
      </c>
      <c r="K3" s="3701"/>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0" t="s">
        <v>2327</v>
      </c>
      <c r="K4" s="3701"/>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2" t="s">
        <v>2331</v>
      </c>
      <c r="B6" s="3703"/>
      <c r="C6" s="3704"/>
      <c r="D6" s="2867"/>
      <c r="E6" s="2868"/>
      <c r="F6" s="2869"/>
      <c r="G6" s="2870"/>
      <c r="H6" s="2845"/>
      <c r="I6" s="2846"/>
      <c r="J6" s="3705">
        <v>1</v>
      </c>
      <c r="K6" s="3706"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5"/>
      <c r="K7" s="3707"/>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09" t="s">
        <v>2345</v>
      </c>
      <c r="C8" s="3710"/>
      <c r="D8" s="2886" t="s">
        <v>2346</v>
      </c>
      <c r="E8" s="2887" t="s">
        <v>2347</v>
      </c>
      <c r="F8" s="2888" t="s">
        <v>2348</v>
      </c>
      <c r="G8" s="2889"/>
      <c r="H8" s="2845"/>
      <c r="I8" s="2846"/>
      <c r="J8" s="3705"/>
      <c r="K8" s="3707"/>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09" t="s">
        <v>2351</v>
      </c>
      <c r="C9" s="3710"/>
      <c r="D9" s="2886">
        <f>ROUND(D6*E9,0)</f>
        <v>0</v>
      </c>
      <c r="E9" s="2890"/>
      <c r="F9" s="2891" t="s">
        <v>2352</v>
      </c>
      <c r="G9" s="2870"/>
      <c r="H9" s="2845"/>
      <c r="I9" s="2846"/>
      <c r="J9" s="3705"/>
      <c r="K9" s="3707"/>
      <c r="L9" s="2880" t="s">
        <v>2353</v>
      </c>
      <c r="M9" s="2881"/>
      <c r="N9" s="2857"/>
      <c r="O9" s="2882"/>
      <c r="P9" s="2882"/>
      <c r="Q9" s="2883">
        <v>365</v>
      </c>
      <c r="R9" s="2884">
        <f t="shared" si="0"/>
        <v>0</v>
      </c>
      <c r="S9" s="2838"/>
      <c r="T9" s="2838"/>
      <c r="U9" s="2838"/>
      <c r="V9" s="2846"/>
    </row>
    <row r="10" spans="1:22" s="2850" customFormat="1" ht="13.15" customHeight="1">
      <c r="A10" s="2885">
        <v>2</v>
      </c>
      <c r="B10" s="3709" t="s">
        <v>2354</v>
      </c>
      <c r="C10" s="3710"/>
      <c r="D10" s="2886">
        <f>ROUND(D6*E10,0)</f>
        <v>0</v>
      </c>
      <c r="E10" s="2890"/>
      <c r="F10" s="2891" t="s">
        <v>2355</v>
      </c>
      <c r="G10" s="2870"/>
      <c r="H10" s="2845"/>
      <c r="I10" s="2846"/>
      <c r="J10" s="3705"/>
      <c r="K10" s="3707"/>
      <c r="L10" s="2880" t="s">
        <v>2356</v>
      </c>
      <c r="M10" s="2881"/>
      <c r="N10" s="2857"/>
      <c r="O10" s="2882"/>
      <c r="P10" s="2882"/>
      <c r="Q10" s="2883">
        <v>365</v>
      </c>
      <c r="R10" s="2884">
        <f t="shared" si="0"/>
        <v>0</v>
      </c>
      <c r="S10" s="2838"/>
      <c r="T10" s="2838"/>
      <c r="U10" s="2838"/>
      <c r="V10" s="2846"/>
    </row>
    <row r="11" spans="1:22" s="2850" customFormat="1" ht="13.15" customHeight="1">
      <c r="A11" s="2885">
        <v>3</v>
      </c>
      <c r="B11" s="3709" t="s">
        <v>2357</v>
      </c>
      <c r="C11" s="3710"/>
      <c r="D11" s="2886">
        <f>D12+D14+D15+D16</f>
        <v>0</v>
      </c>
      <c r="E11" s="2892" t="e">
        <f>D11/D6</f>
        <v>#DIV/0!</v>
      </c>
      <c r="F11" s="2888"/>
      <c r="G11" s="2889"/>
      <c r="H11" s="2845"/>
      <c r="I11" s="2846"/>
      <c r="J11" s="3705"/>
      <c r="K11" s="3707"/>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1" t="s">
        <v>2360</v>
      </c>
      <c r="C12" s="3712"/>
      <c r="D12" s="2894">
        <f>ROUND(D13*1.2%*(1-30%),0)</f>
        <v>0</v>
      </c>
      <c r="E12" s="2895">
        <v>1.2E-2</v>
      </c>
      <c r="F12" s="2888" t="s">
        <v>2361</v>
      </c>
      <c r="G12" s="2889"/>
      <c r="H12" s="2845"/>
      <c r="I12" s="2846"/>
      <c r="J12" s="3705"/>
      <c r="K12" s="3707"/>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5"/>
      <c r="K13" s="3707"/>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1" t="s">
        <v>2366</v>
      </c>
      <c r="C14" s="3712"/>
      <c r="D14" s="2894">
        <f>ROUND(E14*B5/10000,0)</f>
        <v>0</v>
      </c>
      <c r="E14" s="2883"/>
      <c r="F14" s="2888" t="s">
        <v>2367</v>
      </c>
      <c r="G14" s="2889"/>
      <c r="H14" s="2845"/>
      <c r="I14" s="2846"/>
      <c r="J14" s="3705"/>
      <c r="K14" s="3708"/>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1" t="s">
        <v>2370</v>
      </c>
      <c r="C15" s="3712"/>
      <c r="D15" s="2894">
        <f>ROUND(D6*E15,0)</f>
        <v>0</v>
      </c>
      <c r="E15" s="2895">
        <v>5.5E-2</v>
      </c>
      <c r="F15" s="2888" t="s">
        <v>2371</v>
      </c>
      <c r="G15" s="2870"/>
      <c r="H15" s="2845"/>
      <c r="I15" s="2846"/>
      <c r="J15" s="3705">
        <v>2</v>
      </c>
      <c r="K15" s="3706"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1" t="s">
        <v>2379</v>
      </c>
      <c r="C16" s="3712"/>
      <c r="D16" s="2905">
        <f>D6*E16</f>
        <v>0</v>
      </c>
      <c r="E16" s="2906"/>
      <c r="F16" s="2891" t="s">
        <v>2380</v>
      </c>
      <c r="G16" s="2870"/>
      <c r="H16" s="2845"/>
      <c r="I16" s="2846"/>
      <c r="J16" s="3705"/>
      <c r="K16" s="3707"/>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3" t="s">
        <v>2382</v>
      </c>
      <c r="C17" s="3714"/>
      <c r="D17" s="2908">
        <f>ROUND(D6*E17,0)</f>
        <v>0</v>
      </c>
      <c r="E17" s="2909"/>
      <c r="F17" s="2910" t="s">
        <v>2383</v>
      </c>
      <c r="G17" s="2870"/>
      <c r="H17" s="2845"/>
      <c r="I17" s="2846"/>
      <c r="J17" s="3705"/>
      <c r="K17" s="3707"/>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5"/>
      <c r="K18" s="3707"/>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5"/>
      <c r="K19" s="3708"/>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5">
        <v>3</v>
      </c>
      <c r="K20" s="3706"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5"/>
      <c r="K21" s="3707"/>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5"/>
      <c r="K22" s="3707"/>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5"/>
      <c r="K23" s="3707"/>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5"/>
      <c r="K24" s="3708"/>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5">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98" t="s">
        <v>2315</v>
      </c>
      <c r="K32" s="3699"/>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0" t="s">
        <v>2325</v>
      </c>
      <c r="K33" s="3701"/>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0" t="s">
        <v>2327</v>
      </c>
      <c r="K34" s="370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5">
        <v>1</v>
      </c>
      <c r="K36" s="3706"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5"/>
      <c r="K37" s="3707"/>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5"/>
      <c r="K38" s="3707"/>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5"/>
      <c r="K39" s="3707"/>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5"/>
      <c r="K40" s="3708"/>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5">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141.10069999999999</v>
      </c>
      <c r="C2" s="1872" t="s">
        <v>1650</v>
      </c>
      <c r="D2" s="1873" t="s">
        <v>1651</v>
      </c>
      <c r="E2" s="2605">
        <f>SUM(E6:E13)</f>
        <v>52.28</v>
      </c>
      <c r="F2" s="2704"/>
      <c r="G2" s="1489"/>
      <c r="H2" s="1489"/>
      <c r="I2" s="1489"/>
      <c r="J2" s="1489"/>
      <c r="K2" s="1489"/>
      <c r="L2" s="1489"/>
      <c r="M2" s="1489"/>
      <c r="N2" s="1489"/>
      <c r="O2" s="1489"/>
      <c r="P2" s="1489"/>
      <c r="Q2" s="1489"/>
      <c r="R2" s="1489"/>
      <c r="S2" s="1489"/>
    </row>
    <row r="3" spans="1:22" ht="15.75">
      <c r="A3" s="1870" t="s">
        <v>686</v>
      </c>
      <c r="B3" s="2599">
        <f ca="1">ROUND(B2*10000/E2,0)</f>
        <v>26989</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7" t="s">
        <v>1653</v>
      </c>
      <c r="C5" s="3718"/>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141.10069999999999</v>
      </c>
      <c r="C6" s="1872" t="s">
        <v>1650</v>
      </c>
      <c r="D6" s="2706"/>
      <c r="E6" s="2604">
        <f>IF(OR(A6=0,F6="否"),0,'数据-取费表'!K6+'数据-取费表'!S6)</f>
        <v>52.28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52.28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7" t="s">
        <v>1666</v>
      </c>
      <c r="D4" s="3738"/>
      <c r="E4" s="3739" t="s">
        <v>1667</v>
      </c>
      <c r="F4" s="3740"/>
      <c r="G4" s="3737" t="s">
        <v>1668</v>
      </c>
      <c r="H4" s="3738"/>
      <c r="I4" s="3737" t="s">
        <v>1669</v>
      </c>
      <c r="J4" s="3738"/>
      <c r="K4" s="1889" t="s">
        <v>1670</v>
      </c>
      <c r="L4" s="2712"/>
      <c r="M4" s="2713"/>
      <c r="N4" s="2713"/>
      <c r="O4" s="2713"/>
      <c r="P4" s="3741" t="s">
        <v>1671</v>
      </c>
      <c r="Q4" s="3742"/>
      <c r="R4" s="3724" t="s">
        <v>1667</v>
      </c>
      <c r="S4" s="3725"/>
      <c r="T4" s="3724" t="s">
        <v>1668</v>
      </c>
      <c r="U4" s="3725"/>
      <c r="V4" s="3749" t="s">
        <v>1669</v>
      </c>
      <c r="W4" s="3749"/>
      <c r="X4" s="1355"/>
      <c r="Y4" s="3724" t="s">
        <v>1671</v>
      </c>
      <c r="Z4" s="3725"/>
      <c r="AA4" s="3719" t="s">
        <v>1667</v>
      </c>
      <c r="AB4" s="3719" t="s">
        <v>1668</v>
      </c>
      <c r="AC4" s="3719" t="s">
        <v>1669</v>
      </c>
    </row>
    <row r="5" spans="1:29" ht="15">
      <c r="A5" s="358"/>
      <c r="B5" s="359"/>
      <c r="C5" s="3730" t="s">
        <v>1672</v>
      </c>
      <c r="D5" s="3731"/>
      <c r="E5" s="3728" t="s">
        <v>1673</v>
      </c>
      <c r="F5" s="3729"/>
      <c r="G5" s="3730" t="s">
        <v>1674</v>
      </c>
      <c r="H5" s="3731"/>
      <c r="I5" s="3730" t="s">
        <v>1675</v>
      </c>
      <c r="J5" s="3731"/>
      <c r="K5" s="1890"/>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1890"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2" t="s">
        <v>1679</v>
      </c>
      <c r="Q7" s="3750"/>
      <c r="R7" s="701" t="s">
        <v>20</v>
      </c>
      <c r="S7" s="702">
        <f t="shared" ref="S7:S15" si="0">F7</f>
        <v>0</v>
      </c>
      <c r="T7" s="701" t="s">
        <v>20</v>
      </c>
      <c r="U7" s="702">
        <f t="shared" ref="U7:U15" si="1">H7</f>
        <v>0</v>
      </c>
      <c r="V7" s="701" t="s">
        <v>20</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2" t="s">
        <v>1682</v>
      </c>
      <c r="Q8" s="3723"/>
      <c r="R8" s="701" t="s">
        <v>20</v>
      </c>
      <c r="S8" s="702">
        <f t="shared" si="0"/>
        <v>100</v>
      </c>
      <c r="T8" s="701" t="s">
        <v>20</v>
      </c>
      <c r="U8" s="702">
        <f t="shared" si="1"/>
        <v>100</v>
      </c>
      <c r="V8" s="701" t="s">
        <v>20</v>
      </c>
      <c r="W8" s="702">
        <f t="shared" si="2"/>
        <v>100</v>
      </c>
      <c r="X8" s="703"/>
      <c r="Y8" s="3722" t="s">
        <v>1682</v>
      </c>
      <c r="Z8" s="372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6"/>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6"/>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6"/>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6"/>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3" t="s">
        <v>1690</v>
      </c>
      <c r="Q15" s="1352" t="str">
        <f t="shared" si="6"/>
        <v>居住社区成熟度</v>
      </c>
      <c r="R15" s="705" t="s">
        <v>18</v>
      </c>
      <c r="S15" s="706">
        <f t="shared" si="0"/>
        <v>100</v>
      </c>
      <c r="T15" s="705" t="s">
        <v>18</v>
      </c>
      <c r="U15" s="706">
        <f t="shared" si="1"/>
        <v>100</v>
      </c>
      <c r="V15" s="705" t="s">
        <v>18</v>
      </c>
      <c r="W15" s="706">
        <f t="shared" si="2"/>
        <v>100</v>
      </c>
      <c r="X15" s="1355"/>
      <c r="Y15" s="375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4"/>
      <c r="Q17" s="1352" t="str">
        <f>B17</f>
        <v>交通便捷度</v>
      </c>
      <c r="R17" s="705" t="s">
        <v>18</v>
      </c>
      <c r="S17" s="706">
        <f>F17</f>
        <v>100</v>
      </c>
      <c r="T17" s="705" t="s">
        <v>18</v>
      </c>
      <c r="U17" s="706">
        <f>H17</f>
        <v>100</v>
      </c>
      <c r="V17" s="705" t="s">
        <v>18</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4"/>
      <c r="Q19" s="1352" t="str">
        <f>B19</f>
        <v>公共配套设施</v>
      </c>
      <c r="R19" s="705" t="s">
        <v>18</v>
      </c>
      <c r="S19" s="706">
        <f>F19</f>
        <v>100</v>
      </c>
      <c r="T19" s="705" t="s">
        <v>18</v>
      </c>
      <c r="U19" s="706">
        <f>H19</f>
        <v>100</v>
      </c>
      <c r="V19" s="705" t="s">
        <v>18</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4"/>
      <c r="Q23" s="1352" t="str">
        <f>B23</f>
        <v>自然及人文环境</v>
      </c>
      <c r="R23" s="705" t="s">
        <v>18</v>
      </c>
      <c r="S23" s="706">
        <f>F23</f>
        <v>100</v>
      </c>
      <c r="T23" s="705" t="s">
        <v>18</v>
      </c>
      <c r="U23" s="706">
        <f>H23</f>
        <v>100</v>
      </c>
      <c r="V23" s="705" t="s">
        <v>18</v>
      </c>
      <c r="W23" s="706">
        <f>J23</f>
        <v>100</v>
      </c>
      <c r="X23" s="1355"/>
      <c r="Y23" s="37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4"/>
      <c r="Q26" s="1352" t="str">
        <f t="shared" si="11"/>
        <v>朝向</v>
      </c>
      <c r="R26" s="705" t="s">
        <v>18</v>
      </c>
      <c r="S26" s="706">
        <f t="shared" si="12"/>
        <v>100</v>
      </c>
      <c r="T26" s="705" t="s">
        <v>18</v>
      </c>
      <c r="U26" s="706">
        <f t="shared" si="13"/>
        <v>100</v>
      </c>
      <c r="V26" s="705" t="s">
        <v>18</v>
      </c>
      <c r="W26" s="706">
        <f t="shared" si="14"/>
        <v>100</v>
      </c>
      <c r="X26" s="1355"/>
      <c r="Y26" s="37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4"/>
      <c r="Q27" s="1343">
        <f t="shared" si="11"/>
        <v>111</v>
      </c>
      <c r="R27" s="701" t="s">
        <v>18</v>
      </c>
      <c r="S27" s="702">
        <f t="shared" si="12"/>
        <v>100</v>
      </c>
      <c r="T27" s="701" t="s">
        <v>18</v>
      </c>
      <c r="U27" s="702">
        <f t="shared" si="13"/>
        <v>100</v>
      </c>
      <c r="V27" s="701" t="s">
        <v>18</v>
      </c>
      <c r="W27" s="702">
        <f t="shared" si="14"/>
        <v>100</v>
      </c>
      <c r="X27" s="703"/>
      <c r="Y27" s="37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4"/>
      <c r="Q28" s="1352">
        <f t="shared" si="11"/>
        <v>111</v>
      </c>
      <c r="R28" s="705" t="s">
        <v>18</v>
      </c>
      <c r="S28" s="706">
        <f t="shared" si="12"/>
        <v>100</v>
      </c>
      <c r="T28" s="705" t="s">
        <v>18</v>
      </c>
      <c r="U28" s="706">
        <f t="shared" si="13"/>
        <v>100</v>
      </c>
      <c r="V28" s="705" t="s">
        <v>18</v>
      </c>
      <c r="W28" s="706">
        <f t="shared" si="14"/>
        <v>100</v>
      </c>
      <c r="X28" s="1355"/>
      <c r="Y28" s="37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4"/>
      <c r="Q29" s="1352">
        <f t="shared" si="11"/>
        <v>111</v>
      </c>
      <c r="R29" s="705" t="s">
        <v>18</v>
      </c>
      <c r="S29" s="706">
        <f t="shared" si="12"/>
        <v>100</v>
      </c>
      <c r="T29" s="705" t="s">
        <v>18</v>
      </c>
      <c r="U29" s="706">
        <f t="shared" si="13"/>
        <v>100</v>
      </c>
      <c r="V29" s="705" t="s">
        <v>18</v>
      </c>
      <c r="W29" s="706">
        <f t="shared" si="14"/>
        <v>100</v>
      </c>
      <c r="X29" s="1355"/>
      <c r="Y29" s="37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4"/>
      <c r="Q30" s="1352">
        <f t="shared" si="11"/>
        <v>111</v>
      </c>
      <c r="R30" s="705" t="s">
        <v>18</v>
      </c>
      <c r="S30" s="706">
        <f t="shared" si="12"/>
        <v>100</v>
      </c>
      <c r="T30" s="705" t="s">
        <v>18</v>
      </c>
      <c r="U30" s="706">
        <f t="shared" si="13"/>
        <v>100</v>
      </c>
      <c r="V30" s="705" t="s">
        <v>18</v>
      </c>
      <c r="W30" s="706">
        <f t="shared" si="14"/>
        <v>100</v>
      </c>
      <c r="X30" s="1355"/>
      <c r="Y30" s="37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4"/>
      <c r="Q31" s="1352">
        <f t="shared" si="11"/>
        <v>111</v>
      </c>
      <c r="R31" s="705" t="s">
        <v>18</v>
      </c>
      <c r="S31" s="706">
        <f t="shared" si="12"/>
        <v>100</v>
      </c>
      <c r="T31" s="705" t="s">
        <v>18</v>
      </c>
      <c r="U31" s="706">
        <f t="shared" si="13"/>
        <v>100</v>
      </c>
      <c r="V31" s="705" t="s">
        <v>18</v>
      </c>
      <c r="W31" s="706">
        <f t="shared" si="14"/>
        <v>100</v>
      </c>
      <c r="X31" s="1355"/>
      <c r="Y31" s="375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58" t="s">
        <v>1695</v>
      </c>
      <c r="Q32" s="1352" t="str">
        <f t="shared" si="11"/>
        <v>建筑类型</v>
      </c>
      <c r="R32" s="705" t="s">
        <v>18</v>
      </c>
      <c r="S32" s="706">
        <f t="shared" si="12"/>
        <v>100</v>
      </c>
      <c r="T32" s="705" t="s">
        <v>18</v>
      </c>
      <c r="U32" s="706">
        <f t="shared" si="13"/>
        <v>100</v>
      </c>
      <c r="V32" s="705" t="s">
        <v>18</v>
      </c>
      <c r="W32" s="706">
        <f t="shared" si="14"/>
        <v>100</v>
      </c>
      <c r="X32" s="1355"/>
      <c r="Y32" s="37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59"/>
      <c r="Q33" s="707" t="str">
        <f t="shared" si="11"/>
        <v>项目建筑规模</v>
      </c>
      <c r="R33" s="708" t="s">
        <v>18</v>
      </c>
      <c r="S33" s="709" t="e">
        <f t="shared" si="12"/>
        <v>#N/A</v>
      </c>
      <c r="T33" s="708" t="s">
        <v>18</v>
      </c>
      <c r="U33" s="709" t="e">
        <f t="shared" si="13"/>
        <v>#N/A</v>
      </c>
      <c r="V33" s="708" t="s">
        <v>18</v>
      </c>
      <c r="W33" s="709" t="e">
        <f t="shared" si="14"/>
        <v>#N/A</v>
      </c>
      <c r="X33" s="710"/>
      <c r="Y33" s="37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59"/>
      <c r="Q34" s="1352" t="str">
        <f t="shared" si="11"/>
        <v>建筑结构</v>
      </c>
      <c r="R34" s="705" t="s">
        <v>18</v>
      </c>
      <c r="S34" s="706">
        <f t="shared" si="12"/>
        <v>100</v>
      </c>
      <c r="T34" s="705" t="s">
        <v>18</v>
      </c>
      <c r="U34" s="706">
        <f t="shared" si="13"/>
        <v>100</v>
      </c>
      <c r="V34" s="705" t="s">
        <v>18</v>
      </c>
      <c r="W34" s="706">
        <f t="shared" si="14"/>
        <v>100</v>
      </c>
      <c r="X34" s="1355"/>
      <c r="Y34" s="37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59"/>
      <c r="Q35" s="1352" t="str">
        <f t="shared" si="11"/>
        <v>建筑品质</v>
      </c>
      <c r="R35" s="705" t="s">
        <v>18</v>
      </c>
      <c r="S35" s="706">
        <f t="shared" si="12"/>
        <v>100</v>
      </c>
      <c r="T35" s="705" t="s">
        <v>18</v>
      </c>
      <c r="U35" s="706">
        <f t="shared" si="13"/>
        <v>100</v>
      </c>
      <c r="V35" s="705" t="s">
        <v>18</v>
      </c>
      <c r="W35" s="706">
        <f t="shared" si="14"/>
        <v>100</v>
      </c>
      <c r="X35" s="1355"/>
      <c r="Y35" s="37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59"/>
      <c r="Q36" s="1352" t="str">
        <f t="shared" si="11"/>
        <v>公共部分装修</v>
      </c>
      <c r="R36" s="705" t="s">
        <v>18</v>
      </c>
      <c r="S36" s="706">
        <f t="shared" si="12"/>
        <v>100</v>
      </c>
      <c r="T36" s="705" t="s">
        <v>18</v>
      </c>
      <c r="U36" s="706">
        <f t="shared" si="13"/>
        <v>100</v>
      </c>
      <c r="V36" s="705" t="s">
        <v>18</v>
      </c>
      <c r="W36" s="706">
        <f t="shared" si="14"/>
        <v>100</v>
      </c>
      <c r="X36" s="1355"/>
      <c r="Y36" s="37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9"/>
      <c r="Q37" s="1343" t="str">
        <f t="shared" si="11"/>
        <v>成新度</v>
      </c>
      <c r="R37" s="701" t="s">
        <v>18</v>
      </c>
      <c r="S37" s="702" t="e">
        <f t="shared" si="12"/>
        <v>#N/A</v>
      </c>
      <c r="T37" s="701" t="s">
        <v>18</v>
      </c>
      <c r="U37" s="702" t="e">
        <f t="shared" si="13"/>
        <v>#N/A</v>
      </c>
      <c r="V37" s="701" t="s">
        <v>18</v>
      </c>
      <c r="W37" s="702" t="e">
        <f t="shared" si="14"/>
        <v>#N/A</v>
      </c>
      <c r="X37" s="703"/>
      <c r="Y37" s="37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59" t="s">
        <v>1695</v>
      </c>
      <c r="Q38" s="1352" t="str">
        <f t="shared" si="11"/>
        <v>物业管理</v>
      </c>
      <c r="R38" s="705" t="s">
        <v>18</v>
      </c>
      <c r="S38" s="706">
        <f t="shared" si="12"/>
        <v>100</v>
      </c>
      <c r="T38" s="705" t="s">
        <v>18</v>
      </c>
      <c r="U38" s="706">
        <f t="shared" si="13"/>
        <v>100</v>
      </c>
      <c r="V38" s="705" t="s">
        <v>18</v>
      </c>
      <c r="W38" s="706">
        <f t="shared" si="14"/>
        <v>100</v>
      </c>
      <c r="X38" s="1355"/>
      <c r="Y38" s="37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59"/>
      <c r="Q39" s="1352" t="str">
        <f t="shared" si="11"/>
        <v>市政基础设施</v>
      </c>
      <c r="R39" s="705" t="s">
        <v>18</v>
      </c>
      <c r="S39" s="706">
        <f t="shared" si="12"/>
        <v>100</v>
      </c>
      <c r="T39" s="705" t="s">
        <v>18</v>
      </c>
      <c r="U39" s="706">
        <f t="shared" si="13"/>
        <v>100</v>
      </c>
      <c r="V39" s="705" t="s">
        <v>18</v>
      </c>
      <c r="W39" s="706">
        <f t="shared" si="14"/>
        <v>100</v>
      </c>
      <c r="X39" s="1355"/>
      <c r="Y39" s="37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59"/>
      <c r="Q40" s="1352" t="str">
        <f t="shared" si="11"/>
        <v>房型</v>
      </c>
      <c r="R40" s="705" t="s">
        <v>18</v>
      </c>
      <c r="S40" s="706">
        <f t="shared" si="12"/>
        <v>100</v>
      </c>
      <c r="T40" s="705" t="s">
        <v>18</v>
      </c>
      <c r="U40" s="706">
        <f t="shared" si="13"/>
        <v>100</v>
      </c>
      <c r="V40" s="705" t="s">
        <v>18</v>
      </c>
      <c r="W40" s="706">
        <f t="shared" si="14"/>
        <v>100</v>
      </c>
      <c r="X40" s="1355"/>
      <c r="Y40" s="37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59"/>
      <c r="Q41" s="707" t="str">
        <f t="shared" si="11"/>
        <v>单套/主力户型建筑面积</v>
      </c>
      <c r="R41" s="708" t="s">
        <v>18</v>
      </c>
      <c r="S41" s="709">
        <f t="shared" si="12"/>
        <v>100</v>
      </c>
      <c r="T41" s="708" t="s">
        <v>18</v>
      </c>
      <c r="U41" s="709">
        <f t="shared" si="13"/>
        <v>100</v>
      </c>
      <c r="V41" s="708" t="s">
        <v>18</v>
      </c>
      <c r="W41" s="709">
        <f t="shared" si="14"/>
        <v>100</v>
      </c>
      <c r="X41" s="710"/>
      <c r="Y41" s="37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59"/>
      <c r="Q42" s="1352" t="str">
        <f t="shared" si="11"/>
        <v>内部装修</v>
      </c>
      <c r="R42" s="705" t="s">
        <v>18</v>
      </c>
      <c r="S42" s="706">
        <f t="shared" si="12"/>
        <v>100</v>
      </c>
      <c r="T42" s="705" t="s">
        <v>18</v>
      </c>
      <c r="U42" s="706">
        <f t="shared" si="13"/>
        <v>100</v>
      </c>
      <c r="V42" s="705" t="s">
        <v>18</v>
      </c>
      <c r="W42" s="706">
        <f t="shared" si="14"/>
        <v>100</v>
      </c>
      <c r="X42" s="1355"/>
      <c r="Y42" s="37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59"/>
      <c r="Q43" s="1352" t="str">
        <f t="shared" si="11"/>
        <v>内部装修维护情况</v>
      </c>
      <c r="R43" s="705" t="s">
        <v>18</v>
      </c>
      <c r="S43" s="706">
        <f t="shared" si="12"/>
        <v>100</v>
      </c>
      <c r="T43" s="705" t="s">
        <v>18</v>
      </c>
      <c r="U43" s="706">
        <f t="shared" si="13"/>
        <v>100</v>
      </c>
      <c r="V43" s="705" t="s">
        <v>18</v>
      </c>
      <c r="W43" s="706">
        <f t="shared" si="14"/>
        <v>100</v>
      </c>
      <c r="X43" s="1355"/>
      <c r="Y43" s="37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59"/>
      <c r="Q44" s="1343">
        <f t="shared" si="11"/>
        <v>111</v>
      </c>
      <c r="R44" s="701" t="s">
        <v>18</v>
      </c>
      <c r="S44" s="702">
        <f t="shared" si="12"/>
        <v>100</v>
      </c>
      <c r="T44" s="701" t="s">
        <v>18</v>
      </c>
      <c r="U44" s="702">
        <f t="shared" si="13"/>
        <v>100</v>
      </c>
      <c r="V44" s="701" t="s">
        <v>18</v>
      </c>
      <c r="W44" s="702">
        <f t="shared" si="14"/>
        <v>100</v>
      </c>
      <c r="X44" s="703"/>
      <c r="Y44" s="37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59"/>
      <c r="Q45" s="1352">
        <f t="shared" si="11"/>
        <v>111</v>
      </c>
      <c r="R45" s="705" t="s">
        <v>18</v>
      </c>
      <c r="S45" s="706">
        <f t="shared" si="12"/>
        <v>100</v>
      </c>
      <c r="T45" s="705" t="s">
        <v>18</v>
      </c>
      <c r="U45" s="706">
        <f t="shared" si="13"/>
        <v>100</v>
      </c>
      <c r="V45" s="705" t="s">
        <v>18</v>
      </c>
      <c r="W45" s="706">
        <f t="shared" si="14"/>
        <v>100</v>
      </c>
      <c r="X45" s="1355"/>
      <c r="Y45" s="37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0"/>
      <c r="Q46" s="1352">
        <f t="shared" si="11"/>
        <v>111</v>
      </c>
      <c r="R46" s="705" t="s">
        <v>17</v>
      </c>
      <c r="S46" s="706">
        <f t="shared" si="12"/>
        <v>100</v>
      </c>
      <c r="T46" s="705" t="s">
        <v>17</v>
      </c>
      <c r="U46" s="706">
        <f t="shared" si="13"/>
        <v>100</v>
      </c>
      <c r="V46" s="705" t="s">
        <v>17</v>
      </c>
      <c r="W46" s="706">
        <f t="shared" si="14"/>
        <v>100</v>
      </c>
      <c r="X46" s="1355"/>
      <c r="Y46" s="376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4" t="str">
        <f>A47</f>
        <v>成交单价（元/平方米）</v>
      </c>
      <c r="Q47" s="3754"/>
      <c r="R47" s="3755">
        <f>E47</f>
        <v>0</v>
      </c>
      <c r="S47" s="3755"/>
      <c r="T47" s="3755">
        <f>G47</f>
        <v>0</v>
      </c>
      <c r="U47" s="3755"/>
      <c r="V47" s="3755">
        <f>I47</f>
        <v>0</v>
      </c>
      <c r="W47" s="375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52.28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49"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49"/>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49"/>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6"/>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3" t="s">
        <v>1690</v>
      </c>
      <c r="Q15" s="1352" t="str">
        <f t="shared" si="6"/>
        <v>商业繁华度</v>
      </c>
      <c r="R15" s="705" t="s">
        <v>14</v>
      </c>
      <c r="S15" s="706">
        <f t="shared" si="0"/>
        <v>100</v>
      </c>
      <c r="T15" s="705" t="s">
        <v>14</v>
      </c>
      <c r="U15" s="706">
        <f t="shared" si="1"/>
        <v>100</v>
      </c>
      <c r="V15" s="705" t="s">
        <v>14</v>
      </c>
      <c r="W15" s="706">
        <f t="shared" si="2"/>
        <v>100</v>
      </c>
      <c r="X15" s="1355"/>
      <c r="Y15" s="375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4"/>
      <c r="Q23" s="1352" t="str">
        <f>B23</f>
        <v>自然及人文环境</v>
      </c>
      <c r="R23" s="705" t="s">
        <v>14</v>
      </c>
      <c r="S23" s="706">
        <f>F23</f>
        <v>100</v>
      </c>
      <c r="T23" s="705" t="s">
        <v>14</v>
      </c>
      <c r="U23" s="706">
        <f>H23</f>
        <v>100</v>
      </c>
      <c r="V23" s="705" t="s">
        <v>14</v>
      </c>
      <c r="W23" s="706">
        <f>J23</f>
        <v>100</v>
      </c>
      <c r="X23" s="1355"/>
      <c r="Y23" s="37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4"/>
      <c r="Q25" s="1352" t="str">
        <f t="shared" ref="Q25:Q46" si="11">B25</f>
        <v>临街状况</v>
      </c>
      <c r="R25" s="705" t="s">
        <v>14</v>
      </c>
      <c r="S25" s="706">
        <f>F25</f>
        <v>100</v>
      </c>
      <c r="T25" s="705" t="s">
        <v>14</v>
      </c>
      <c r="U25" s="706">
        <f>H25</f>
        <v>100</v>
      </c>
      <c r="V25" s="705" t="s">
        <v>14</v>
      </c>
      <c r="W25" s="706">
        <f>J25</f>
        <v>100</v>
      </c>
      <c r="X25" s="1355"/>
      <c r="Y25" s="375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4"/>
      <c r="Q26" s="1352" t="str">
        <f t="shared" si="11"/>
        <v>平面位置/可视性</v>
      </c>
      <c r="R26" s="705" t="s">
        <v>14</v>
      </c>
      <c r="S26" s="706">
        <f>F26</f>
        <v>100</v>
      </c>
      <c r="T26" s="705" t="s">
        <v>14</v>
      </c>
      <c r="U26" s="706">
        <f>H26</f>
        <v>100</v>
      </c>
      <c r="V26" s="705" t="s">
        <v>14</v>
      </c>
      <c r="W26" s="706">
        <f>J26</f>
        <v>100</v>
      </c>
      <c r="X26" s="1355"/>
      <c r="Y26" s="375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4"/>
      <c r="Q27" s="1343" t="str">
        <f t="shared" si="11"/>
        <v>人流量</v>
      </c>
      <c r="R27" s="701" t="s">
        <v>14</v>
      </c>
      <c r="S27" s="702">
        <f>F27</f>
        <v>100</v>
      </c>
      <c r="T27" s="701" t="s">
        <v>14</v>
      </c>
      <c r="U27" s="702">
        <f>H27</f>
        <v>100</v>
      </c>
      <c r="V27" s="701" t="s">
        <v>14</v>
      </c>
      <c r="W27" s="702">
        <f>J27</f>
        <v>100</v>
      </c>
      <c r="X27" s="703"/>
      <c r="Y27" s="375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4"/>
      <c r="Q29" s="1352">
        <f t="shared" si="11"/>
        <v>111</v>
      </c>
      <c r="R29" s="705" t="s">
        <v>14</v>
      </c>
      <c r="S29" s="706">
        <f t="shared" si="12"/>
        <v>100</v>
      </c>
      <c r="T29" s="705" t="s">
        <v>14</v>
      </c>
      <c r="U29" s="706">
        <f t="shared" si="13"/>
        <v>100</v>
      </c>
      <c r="V29" s="705" t="s">
        <v>14</v>
      </c>
      <c r="W29" s="706">
        <f t="shared" si="14"/>
        <v>100</v>
      </c>
      <c r="X29" s="1355"/>
      <c r="Y29" s="37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58" t="s">
        <v>1695</v>
      </c>
      <c r="Q32" s="1352" t="str">
        <f t="shared" si="11"/>
        <v>商业类型</v>
      </c>
      <c r="R32" s="705" t="s">
        <v>14</v>
      </c>
      <c r="S32" s="706">
        <f t="shared" si="12"/>
        <v>100</v>
      </c>
      <c r="T32" s="705" t="s">
        <v>14</v>
      </c>
      <c r="U32" s="706">
        <f t="shared" si="13"/>
        <v>100</v>
      </c>
      <c r="V32" s="705" t="s">
        <v>14</v>
      </c>
      <c r="W32" s="706">
        <f t="shared" si="14"/>
        <v>100</v>
      </c>
      <c r="X32" s="1355"/>
      <c r="Y32" s="376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9"/>
      <c r="Q33" s="707" t="str">
        <f t="shared" si="11"/>
        <v>项目建筑规模</v>
      </c>
      <c r="R33" s="708" t="s">
        <v>14</v>
      </c>
      <c r="S33" s="709" t="e">
        <f t="shared" si="12"/>
        <v>#N/A</v>
      </c>
      <c r="T33" s="708" t="s">
        <v>14</v>
      </c>
      <c r="U33" s="709" t="e">
        <f t="shared" si="13"/>
        <v>#N/A</v>
      </c>
      <c r="V33" s="708" t="s">
        <v>14</v>
      </c>
      <c r="W33" s="709" t="e">
        <f t="shared" si="14"/>
        <v>#N/A</v>
      </c>
      <c r="X33" s="710"/>
      <c r="Y33" s="376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59"/>
      <c r="Q34" s="1352" t="str">
        <f t="shared" si="11"/>
        <v>建筑结构</v>
      </c>
      <c r="R34" s="705" t="s">
        <v>14</v>
      </c>
      <c r="S34" s="706">
        <f t="shared" si="12"/>
        <v>100</v>
      </c>
      <c r="T34" s="705" t="s">
        <v>14</v>
      </c>
      <c r="U34" s="706">
        <f t="shared" si="13"/>
        <v>100</v>
      </c>
      <c r="V34" s="705" t="s">
        <v>14</v>
      </c>
      <c r="W34" s="706">
        <f t="shared" si="14"/>
        <v>100</v>
      </c>
      <c r="X34" s="1355"/>
      <c r="Y34" s="37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59"/>
      <c r="Q35" s="1352" t="str">
        <f t="shared" si="11"/>
        <v>公共部分装修</v>
      </c>
      <c r="R35" s="705" t="s">
        <v>14</v>
      </c>
      <c r="S35" s="706">
        <f t="shared" si="12"/>
        <v>100</v>
      </c>
      <c r="T35" s="705" t="s">
        <v>14</v>
      </c>
      <c r="U35" s="706">
        <f t="shared" si="13"/>
        <v>100</v>
      </c>
      <c r="V35" s="705" t="s">
        <v>14</v>
      </c>
      <c r="W35" s="706">
        <f t="shared" si="14"/>
        <v>100</v>
      </c>
      <c r="X35" s="1355"/>
      <c r="Y35" s="376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9"/>
      <c r="Q36" s="1352" t="str">
        <f t="shared" si="11"/>
        <v>成新度</v>
      </c>
      <c r="R36" s="705" t="s">
        <v>14</v>
      </c>
      <c r="S36" s="706" t="e">
        <f t="shared" si="12"/>
        <v>#N/A</v>
      </c>
      <c r="T36" s="705" t="s">
        <v>14</v>
      </c>
      <c r="U36" s="706" t="e">
        <f t="shared" si="13"/>
        <v>#N/A</v>
      </c>
      <c r="V36" s="705" t="s">
        <v>14</v>
      </c>
      <c r="W36" s="706" t="e">
        <f t="shared" si="14"/>
        <v>#N/A</v>
      </c>
      <c r="X36" s="1355"/>
      <c r="Y36" s="376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59"/>
      <c r="Q37" s="1343" t="str">
        <f t="shared" si="11"/>
        <v>市政基础设施</v>
      </c>
      <c r="R37" s="701" t="s">
        <v>14</v>
      </c>
      <c r="S37" s="702">
        <f t="shared" si="12"/>
        <v>100</v>
      </c>
      <c r="T37" s="701" t="s">
        <v>14</v>
      </c>
      <c r="U37" s="702">
        <f t="shared" si="13"/>
        <v>100</v>
      </c>
      <c r="V37" s="701" t="s">
        <v>14</v>
      </c>
      <c r="W37" s="702">
        <f t="shared" si="14"/>
        <v>100</v>
      </c>
      <c r="X37" s="703"/>
      <c r="Y37" s="376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59" t="s">
        <v>1695</v>
      </c>
      <c r="Q38" s="1352" t="str">
        <f t="shared" si="11"/>
        <v>业态</v>
      </c>
      <c r="R38" s="705" t="s">
        <v>14</v>
      </c>
      <c r="S38" s="706">
        <f t="shared" si="12"/>
        <v>100</v>
      </c>
      <c r="T38" s="705" t="s">
        <v>14</v>
      </c>
      <c r="U38" s="706">
        <f t="shared" si="13"/>
        <v>100</v>
      </c>
      <c r="V38" s="705" t="s">
        <v>14</v>
      </c>
      <c r="W38" s="706">
        <f t="shared" si="14"/>
        <v>100</v>
      </c>
      <c r="X38" s="1355"/>
      <c r="Y38" s="376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59"/>
      <c r="Q39" s="1352" t="str">
        <f t="shared" si="11"/>
        <v>层高</v>
      </c>
      <c r="R39" s="705" t="s">
        <v>14</v>
      </c>
      <c r="S39" s="706">
        <f t="shared" si="12"/>
        <v>100</v>
      </c>
      <c r="T39" s="705" t="s">
        <v>14</v>
      </c>
      <c r="U39" s="706">
        <f t="shared" si="13"/>
        <v>100</v>
      </c>
      <c r="V39" s="705" t="s">
        <v>14</v>
      </c>
      <c r="W39" s="706">
        <f t="shared" si="14"/>
        <v>100</v>
      </c>
      <c r="X39" s="1355"/>
      <c r="Y39" s="37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9"/>
      <c r="Q40" s="1352" t="str">
        <f t="shared" si="11"/>
        <v>单套建筑面积</v>
      </c>
      <c r="R40" s="705" t="s">
        <v>14</v>
      </c>
      <c r="S40" s="706">
        <f t="shared" si="12"/>
        <v>100</v>
      </c>
      <c r="T40" s="705" t="s">
        <v>14</v>
      </c>
      <c r="U40" s="706">
        <f t="shared" si="13"/>
        <v>100</v>
      </c>
      <c r="V40" s="705" t="s">
        <v>14</v>
      </c>
      <c r="W40" s="706">
        <f t="shared" si="14"/>
        <v>100</v>
      </c>
      <c r="X40" s="1355"/>
      <c r="Y40" s="376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9"/>
      <c r="Q41" s="707" t="str">
        <f t="shared" si="11"/>
        <v>进深比</v>
      </c>
      <c r="R41" s="708" t="s">
        <v>14</v>
      </c>
      <c r="S41" s="709">
        <f t="shared" si="12"/>
        <v>100</v>
      </c>
      <c r="T41" s="708" t="s">
        <v>14</v>
      </c>
      <c r="U41" s="709">
        <f t="shared" si="13"/>
        <v>100</v>
      </c>
      <c r="V41" s="708" t="s">
        <v>14</v>
      </c>
      <c r="W41" s="709">
        <f t="shared" si="14"/>
        <v>100</v>
      </c>
      <c r="X41" s="710"/>
      <c r="Y41" s="376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59"/>
      <c r="Q42" s="1352" t="str">
        <f t="shared" si="11"/>
        <v>内部装修</v>
      </c>
      <c r="R42" s="705" t="s">
        <v>14</v>
      </c>
      <c r="S42" s="706">
        <f t="shared" si="12"/>
        <v>100</v>
      </c>
      <c r="T42" s="705" t="s">
        <v>14</v>
      </c>
      <c r="U42" s="706">
        <f t="shared" si="13"/>
        <v>100</v>
      </c>
      <c r="V42" s="705" t="s">
        <v>14</v>
      </c>
      <c r="W42" s="706">
        <f t="shared" si="14"/>
        <v>100</v>
      </c>
      <c r="X42" s="1355"/>
      <c r="Y42" s="376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59"/>
      <c r="Q43" s="1352" t="str">
        <f t="shared" si="11"/>
        <v>内部装修维护情况</v>
      </c>
      <c r="R43" s="705" t="s">
        <v>14</v>
      </c>
      <c r="S43" s="706">
        <f t="shared" si="12"/>
        <v>100</v>
      </c>
      <c r="T43" s="705" t="s">
        <v>14</v>
      </c>
      <c r="U43" s="706">
        <f t="shared" si="13"/>
        <v>100</v>
      </c>
      <c r="V43" s="705" t="s">
        <v>14</v>
      </c>
      <c r="W43" s="706">
        <f t="shared" si="14"/>
        <v>100</v>
      </c>
      <c r="X43" s="1355"/>
      <c r="Y43" s="37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9"/>
      <c r="Q44" s="1343">
        <f t="shared" si="11"/>
        <v>111</v>
      </c>
      <c r="R44" s="701" t="s">
        <v>14</v>
      </c>
      <c r="S44" s="702">
        <f t="shared" si="12"/>
        <v>100</v>
      </c>
      <c r="T44" s="701" t="s">
        <v>14</v>
      </c>
      <c r="U44" s="702">
        <f t="shared" si="13"/>
        <v>100</v>
      </c>
      <c r="V44" s="701" t="s">
        <v>14</v>
      </c>
      <c r="W44" s="702">
        <f t="shared" si="14"/>
        <v>100</v>
      </c>
      <c r="X44" s="703"/>
      <c r="Y44" s="37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9"/>
      <c r="Q45" s="1352">
        <f t="shared" si="11"/>
        <v>111</v>
      </c>
      <c r="R45" s="705" t="s">
        <v>14</v>
      </c>
      <c r="S45" s="706">
        <f t="shared" si="12"/>
        <v>100</v>
      </c>
      <c r="T45" s="705" t="s">
        <v>14</v>
      </c>
      <c r="U45" s="706">
        <f t="shared" si="13"/>
        <v>100</v>
      </c>
      <c r="V45" s="705" t="s">
        <v>14</v>
      </c>
      <c r="W45" s="706">
        <f t="shared" si="14"/>
        <v>100</v>
      </c>
      <c r="X45" s="1355"/>
      <c r="Y45" s="37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4" t="str">
        <f>A47</f>
        <v>成交单价（元/平方米）</v>
      </c>
      <c r="Q47" s="3754"/>
      <c r="R47" s="3749">
        <f>E47</f>
        <v>0</v>
      </c>
      <c r="S47" s="3749"/>
      <c r="T47" s="3749">
        <f>G47</f>
        <v>0</v>
      </c>
      <c r="U47" s="3749"/>
      <c r="V47" s="3749">
        <f>I47</f>
        <v>0</v>
      </c>
      <c r="W47" s="374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受贵公司委托，我公司对北京市昌平区平西府东路1号院一区1号楼1层4-29房地产抵押价值进行了预评估。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估价对象为北京市昌平区平西府东路1号院一区1号楼1层4-29房地产，为所有。根据《国有土地使用证》[]，估价对象（分摊）出让国有建设用地使用权面积为0平方米，建筑面积为52.28平方米。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1层4-29房地产,为开发建设的综合项目（商业、办公），该项目尚在开发建设中。根据《国有土地使用证》[]，估价对象（分摊）出让国有建设用地使用权面积为0平方米，规划建筑面积为52.28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1号楼1层4-29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52.28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71" t="s">
        <v>1774</v>
      </c>
      <c r="Q4" s="3772"/>
      <c r="R4" s="3766" t="s">
        <v>1770</v>
      </c>
      <c r="S4" s="3767"/>
      <c r="T4" s="3766" t="s">
        <v>1771</v>
      </c>
      <c r="U4" s="3767"/>
      <c r="V4" s="3775" t="s">
        <v>1772</v>
      </c>
      <c r="W4" s="3775"/>
      <c r="X4" s="1958"/>
      <c r="Y4" s="3766" t="s">
        <v>1774</v>
      </c>
      <c r="Z4" s="3767"/>
      <c r="AA4" s="3765" t="s">
        <v>1770</v>
      </c>
      <c r="AB4" s="3765" t="s">
        <v>1771</v>
      </c>
      <c r="AC4" s="3768" t="s">
        <v>1772</v>
      </c>
    </row>
    <row r="5" spans="1:29" ht="15">
      <c r="A5" s="358"/>
      <c r="B5" s="359"/>
      <c r="C5" s="3730" t="s">
        <v>1672</v>
      </c>
      <c r="D5" s="3731"/>
      <c r="E5" s="3728" t="s">
        <v>1673</v>
      </c>
      <c r="F5" s="3729"/>
      <c r="G5" s="3730" t="s">
        <v>1674</v>
      </c>
      <c r="H5" s="3731"/>
      <c r="I5" s="3730" t="s">
        <v>1675</v>
      </c>
      <c r="J5" s="3731"/>
      <c r="K5" s="559"/>
      <c r="L5" s="2712"/>
      <c r="M5" s="2713"/>
      <c r="N5" s="2713"/>
      <c r="O5" s="2713"/>
      <c r="P5" s="3773"/>
      <c r="Q5" s="3744"/>
      <c r="R5" s="3726"/>
      <c r="S5" s="3727"/>
      <c r="T5" s="3726"/>
      <c r="U5" s="3727"/>
      <c r="V5" s="3749"/>
      <c r="W5" s="3749"/>
      <c r="X5" s="1355"/>
      <c r="Y5" s="3726"/>
      <c r="Z5" s="3727"/>
      <c r="AA5" s="3720"/>
      <c r="AB5" s="3720"/>
      <c r="AC5" s="3769"/>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74"/>
      <c r="Q6" s="3746"/>
      <c r="R6" s="3726"/>
      <c r="S6" s="3727"/>
      <c r="T6" s="3747"/>
      <c r="U6" s="3748"/>
      <c r="V6" s="3749"/>
      <c r="W6" s="3749"/>
      <c r="X6" s="1355"/>
      <c r="Y6" s="3747"/>
      <c r="Z6" s="3748"/>
      <c r="AA6" s="3721"/>
      <c r="AB6" s="3721"/>
      <c r="AC6" s="3770"/>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1682</v>
      </c>
      <c r="Q8" s="3723"/>
      <c r="R8" s="701" t="s">
        <v>14</v>
      </c>
      <c r="S8" s="702">
        <f t="shared" si="0"/>
        <v>100</v>
      </c>
      <c r="T8" s="701" t="s">
        <v>14</v>
      </c>
      <c r="U8" s="702">
        <f t="shared" si="1"/>
        <v>100</v>
      </c>
      <c r="V8" s="701" t="s">
        <v>14</v>
      </c>
      <c r="W8" s="702">
        <f t="shared" si="2"/>
        <v>100</v>
      </c>
      <c r="X8" s="703"/>
      <c r="Y8" s="3722" t="s">
        <v>1682</v>
      </c>
      <c r="Z8" s="372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3" t="s">
        <v>1690</v>
      </c>
      <c r="Q15" s="1352" t="str">
        <f t="shared" si="6"/>
        <v>办公集聚程度</v>
      </c>
      <c r="R15" s="705" t="s">
        <v>14</v>
      </c>
      <c r="S15" s="706">
        <f t="shared" si="0"/>
        <v>100</v>
      </c>
      <c r="T15" s="705" t="s">
        <v>14</v>
      </c>
      <c r="U15" s="706">
        <f t="shared" si="1"/>
        <v>100</v>
      </c>
      <c r="V15" s="705" t="s">
        <v>14</v>
      </c>
      <c r="W15" s="706">
        <f t="shared" si="2"/>
        <v>100</v>
      </c>
      <c r="X15" s="1355"/>
      <c r="Y15" s="375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4"/>
      <c r="Q22" s="1352"/>
      <c r="R22" s="705"/>
      <c r="S22" s="706"/>
      <c r="T22" s="705"/>
      <c r="U22" s="706"/>
      <c r="V22" s="705"/>
      <c r="W22" s="706"/>
      <c r="X22" s="1355"/>
      <c r="Y22" s="3757"/>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4"/>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4"/>
      <c r="Q25" s="1352" t="str">
        <f>B25</f>
        <v>毗邻道路的类型与等级</v>
      </c>
      <c r="R25" s="705" t="s">
        <v>14</v>
      </c>
      <c r="S25" s="706">
        <f>F25</f>
        <v>100</v>
      </c>
      <c r="T25" s="705" t="s">
        <v>14</v>
      </c>
      <c r="U25" s="706">
        <f>H25</f>
        <v>100</v>
      </c>
      <c r="V25" s="705" t="s">
        <v>14</v>
      </c>
      <c r="W25" s="706">
        <f>J25</f>
        <v>100</v>
      </c>
      <c r="X25" s="1355"/>
      <c r="Y25" s="37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4"/>
      <c r="Q26" s="1352"/>
      <c r="R26" s="705"/>
      <c r="S26" s="706"/>
      <c r="T26" s="705"/>
      <c r="U26" s="706"/>
      <c r="V26" s="705"/>
      <c r="W26" s="706"/>
      <c r="X26" s="1355"/>
      <c r="Y26" s="375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4"/>
      <c r="Q27" s="1352" t="str">
        <f t="shared" ref="Q27:Q47" si="11">B27</f>
        <v>楼层</v>
      </c>
      <c r="R27" s="705" t="s">
        <v>14</v>
      </c>
      <c r="S27" s="706">
        <f>F27</f>
        <v>100</v>
      </c>
      <c r="T27" s="705" t="s">
        <v>14</v>
      </c>
      <c r="U27" s="706">
        <f>H27</f>
        <v>100</v>
      </c>
      <c r="V27" s="705" t="s">
        <v>14</v>
      </c>
      <c r="W27" s="706">
        <f>J27</f>
        <v>100</v>
      </c>
      <c r="X27" s="1355"/>
      <c r="Y27" s="375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4"/>
      <c r="Q28" s="1343" t="str">
        <f t="shared" si="11"/>
        <v>朝向</v>
      </c>
      <c r="R28" s="701" t="s">
        <v>14</v>
      </c>
      <c r="S28" s="702">
        <f>F28</f>
        <v>100</v>
      </c>
      <c r="T28" s="701" t="s">
        <v>14</v>
      </c>
      <c r="U28" s="702">
        <f>H28</f>
        <v>100</v>
      </c>
      <c r="V28" s="701" t="s">
        <v>14</v>
      </c>
      <c r="W28" s="702">
        <f>J28</f>
        <v>100</v>
      </c>
      <c r="X28" s="703"/>
      <c r="Y28" s="37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4"/>
      <c r="Q29" s="1352">
        <f t="shared" si="11"/>
        <v>111</v>
      </c>
      <c r="R29" s="705" t="s">
        <v>14</v>
      </c>
      <c r="S29" s="706">
        <f t="shared" ref="S29:S47" si="12">F29</f>
        <v>100</v>
      </c>
      <c r="T29" s="705" t="s">
        <v>14</v>
      </c>
      <c r="U29" s="706">
        <f t="shared" ref="U29:U47" si="13">H29</f>
        <v>100</v>
      </c>
      <c r="V29" s="705" t="s">
        <v>14</v>
      </c>
      <c r="W29" s="706">
        <f t="shared" ref="W29:W47" si="14">J29</f>
        <v>100</v>
      </c>
      <c r="X29" s="1355"/>
      <c r="Y29" s="37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4"/>
      <c r="Q32" s="1352">
        <f t="shared" si="11"/>
        <v>111</v>
      </c>
      <c r="R32" s="705" t="s">
        <v>14</v>
      </c>
      <c r="S32" s="706">
        <f t="shared" si="12"/>
        <v>100</v>
      </c>
      <c r="T32" s="705" t="s">
        <v>14</v>
      </c>
      <c r="U32" s="706">
        <f t="shared" si="13"/>
        <v>100</v>
      </c>
      <c r="V32" s="705" t="s">
        <v>14</v>
      </c>
      <c r="W32" s="706">
        <f t="shared" si="14"/>
        <v>100</v>
      </c>
      <c r="X32" s="1355"/>
      <c r="Y32" s="375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58" t="s">
        <v>1695</v>
      </c>
      <c r="Q33" s="1352" t="str">
        <f t="shared" si="11"/>
        <v>建筑类型</v>
      </c>
      <c r="R33" s="705" t="s">
        <v>14</v>
      </c>
      <c r="S33" s="706">
        <f t="shared" si="12"/>
        <v>100</v>
      </c>
      <c r="T33" s="705" t="s">
        <v>14</v>
      </c>
      <c r="U33" s="706">
        <f t="shared" si="13"/>
        <v>100</v>
      </c>
      <c r="V33" s="705" t="s">
        <v>14</v>
      </c>
      <c r="W33" s="706">
        <f t="shared" si="14"/>
        <v>100</v>
      </c>
      <c r="X33" s="1355"/>
      <c r="Y33" s="37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9"/>
      <c r="Q34" s="707" t="str">
        <f t="shared" si="11"/>
        <v>项目建筑规模</v>
      </c>
      <c r="R34" s="708" t="s">
        <v>14</v>
      </c>
      <c r="S34" s="709" t="e">
        <f t="shared" si="12"/>
        <v>#N/A</v>
      </c>
      <c r="T34" s="708" t="s">
        <v>14</v>
      </c>
      <c r="U34" s="709" t="e">
        <f t="shared" si="13"/>
        <v>#N/A</v>
      </c>
      <c r="V34" s="708" t="s">
        <v>14</v>
      </c>
      <c r="W34" s="709" t="e">
        <f t="shared" si="14"/>
        <v>#N/A</v>
      </c>
      <c r="X34" s="710"/>
      <c r="Y34" s="37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9"/>
      <c r="Q35" s="1352" t="str">
        <f t="shared" si="11"/>
        <v>建筑结构</v>
      </c>
      <c r="R35" s="705" t="s">
        <v>14</v>
      </c>
      <c r="S35" s="706">
        <f t="shared" si="12"/>
        <v>100</v>
      </c>
      <c r="T35" s="705" t="s">
        <v>14</v>
      </c>
      <c r="U35" s="706">
        <f t="shared" si="13"/>
        <v>100</v>
      </c>
      <c r="V35" s="705" t="s">
        <v>14</v>
      </c>
      <c r="W35" s="706">
        <f t="shared" si="14"/>
        <v>100</v>
      </c>
      <c r="X35" s="1355"/>
      <c r="Y35" s="37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9"/>
      <c r="Q36" s="1352" t="str">
        <f t="shared" si="11"/>
        <v>公共部分装修</v>
      </c>
      <c r="R36" s="705" t="s">
        <v>14</v>
      </c>
      <c r="S36" s="706">
        <f t="shared" si="12"/>
        <v>100</v>
      </c>
      <c r="T36" s="705" t="s">
        <v>14</v>
      </c>
      <c r="U36" s="706">
        <f t="shared" si="13"/>
        <v>100</v>
      </c>
      <c r="V36" s="705" t="s">
        <v>14</v>
      </c>
      <c r="W36" s="706">
        <f t="shared" si="14"/>
        <v>100</v>
      </c>
      <c r="X36" s="1355"/>
      <c r="Y36" s="37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9"/>
      <c r="Q37" s="1352" t="str">
        <f t="shared" si="11"/>
        <v>成新度</v>
      </c>
      <c r="R37" s="705" t="s">
        <v>14</v>
      </c>
      <c r="S37" s="706" t="e">
        <f t="shared" si="12"/>
        <v>#N/A</v>
      </c>
      <c r="T37" s="705" t="s">
        <v>14</v>
      </c>
      <c r="U37" s="706" t="e">
        <f t="shared" si="13"/>
        <v>#N/A</v>
      </c>
      <c r="V37" s="705" t="s">
        <v>14</v>
      </c>
      <c r="W37" s="706" t="e">
        <f t="shared" si="14"/>
        <v>#N/A</v>
      </c>
      <c r="X37" s="1355"/>
      <c r="Y37" s="37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9"/>
      <c r="Q38" s="1343" t="str">
        <f t="shared" si="11"/>
        <v>写字楼等级</v>
      </c>
      <c r="R38" s="701" t="s">
        <v>14</v>
      </c>
      <c r="S38" s="702">
        <f t="shared" si="12"/>
        <v>100</v>
      </c>
      <c r="T38" s="701" t="s">
        <v>14</v>
      </c>
      <c r="U38" s="702">
        <f t="shared" si="13"/>
        <v>100</v>
      </c>
      <c r="V38" s="701" t="s">
        <v>14</v>
      </c>
      <c r="W38" s="702">
        <f t="shared" si="14"/>
        <v>100</v>
      </c>
      <c r="X38" s="703"/>
      <c r="Y38" s="37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9" t="s">
        <v>1695</v>
      </c>
      <c r="Q39" s="1352" t="str">
        <f t="shared" si="11"/>
        <v>物业管理</v>
      </c>
      <c r="R39" s="705" t="s">
        <v>14</v>
      </c>
      <c r="S39" s="706">
        <f t="shared" si="12"/>
        <v>100</v>
      </c>
      <c r="T39" s="705" t="s">
        <v>14</v>
      </c>
      <c r="U39" s="706">
        <f t="shared" si="13"/>
        <v>100</v>
      </c>
      <c r="V39" s="705" t="s">
        <v>14</v>
      </c>
      <c r="W39" s="706">
        <f t="shared" si="14"/>
        <v>100</v>
      </c>
      <c r="X39" s="1355"/>
      <c r="Y39" s="37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9"/>
      <c r="Q40" s="1352" t="str">
        <f t="shared" si="11"/>
        <v>市政基础设施</v>
      </c>
      <c r="R40" s="705" t="s">
        <v>14</v>
      </c>
      <c r="S40" s="706">
        <f t="shared" si="12"/>
        <v>100</v>
      </c>
      <c r="T40" s="705" t="s">
        <v>14</v>
      </c>
      <c r="U40" s="706">
        <f t="shared" si="13"/>
        <v>100</v>
      </c>
      <c r="V40" s="705" t="s">
        <v>14</v>
      </c>
      <c r="W40" s="706">
        <f t="shared" si="14"/>
        <v>100</v>
      </c>
      <c r="X40" s="1355"/>
      <c r="Y40" s="37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9"/>
      <c r="Q41" s="1352" t="str">
        <f t="shared" si="11"/>
        <v>层高</v>
      </c>
      <c r="R41" s="705" t="s">
        <v>14</v>
      </c>
      <c r="S41" s="706">
        <f t="shared" si="12"/>
        <v>100</v>
      </c>
      <c r="T41" s="705" t="s">
        <v>14</v>
      </c>
      <c r="U41" s="706">
        <f t="shared" si="13"/>
        <v>100</v>
      </c>
      <c r="V41" s="705" t="s">
        <v>14</v>
      </c>
      <c r="W41" s="706">
        <f t="shared" si="14"/>
        <v>100</v>
      </c>
      <c r="X41" s="1355"/>
      <c r="Y41" s="37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9"/>
      <c r="Q42" s="707" t="str">
        <f t="shared" si="11"/>
        <v>单套建筑面积</v>
      </c>
      <c r="R42" s="708" t="s">
        <v>14</v>
      </c>
      <c r="S42" s="709">
        <f t="shared" si="12"/>
        <v>100</v>
      </c>
      <c r="T42" s="708" t="s">
        <v>14</v>
      </c>
      <c r="U42" s="709">
        <f t="shared" si="13"/>
        <v>100</v>
      </c>
      <c r="V42" s="708" t="s">
        <v>14</v>
      </c>
      <c r="W42" s="709">
        <f t="shared" si="14"/>
        <v>100</v>
      </c>
      <c r="X42" s="710"/>
      <c r="Y42" s="37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9"/>
      <c r="Q43" s="1352" t="str">
        <f t="shared" si="11"/>
        <v>内部装修</v>
      </c>
      <c r="R43" s="705" t="s">
        <v>14</v>
      </c>
      <c r="S43" s="706">
        <f t="shared" si="12"/>
        <v>100</v>
      </c>
      <c r="T43" s="705" t="s">
        <v>14</v>
      </c>
      <c r="U43" s="706">
        <f t="shared" si="13"/>
        <v>100</v>
      </c>
      <c r="V43" s="705" t="s">
        <v>14</v>
      </c>
      <c r="W43" s="706">
        <f t="shared" si="14"/>
        <v>100</v>
      </c>
      <c r="X43" s="1355"/>
      <c r="Y43" s="37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59"/>
      <c r="Q44" s="1352" t="str">
        <f t="shared" si="11"/>
        <v>内部装修维护情况</v>
      </c>
      <c r="R44" s="705" t="s">
        <v>14</v>
      </c>
      <c r="S44" s="706">
        <f t="shared" si="12"/>
        <v>100</v>
      </c>
      <c r="T44" s="705" t="s">
        <v>14</v>
      </c>
      <c r="U44" s="706">
        <f t="shared" si="13"/>
        <v>100</v>
      </c>
      <c r="V44" s="705" t="s">
        <v>14</v>
      </c>
      <c r="W44" s="706">
        <f t="shared" si="14"/>
        <v>100</v>
      </c>
      <c r="X44" s="1355"/>
      <c r="Y44" s="37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9"/>
      <c r="Q45" s="1343">
        <f t="shared" si="11"/>
        <v>111</v>
      </c>
      <c r="R45" s="701" t="s">
        <v>14</v>
      </c>
      <c r="S45" s="702">
        <f t="shared" si="12"/>
        <v>100</v>
      </c>
      <c r="T45" s="701" t="s">
        <v>14</v>
      </c>
      <c r="U45" s="702">
        <f t="shared" si="13"/>
        <v>100</v>
      </c>
      <c r="V45" s="701" t="s">
        <v>14</v>
      </c>
      <c r="W45" s="702">
        <f t="shared" si="14"/>
        <v>100</v>
      </c>
      <c r="X45" s="703"/>
      <c r="Y45" s="37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0"/>
      <c r="Q47" s="1352">
        <f t="shared" si="11"/>
        <v>111</v>
      </c>
      <c r="R47" s="705" t="s">
        <v>14</v>
      </c>
      <c r="S47" s="706">
        <f t="shared" si="12"/>
        <v>100</v>
      </c>
      <c r="T47" s="705" t="s">
        <v>14</v>
      </c>
      <c r="U47" s="706">
        <f t="shared" si="13"/>
        <v>100</v>
      </c>
      <c r="V47" s="705" t="s">
        <v>14</v>
      </c>
      <c r="W47" s="706">
        <f t="shared" si="14"/>
        <v>100</v>
      </c>
      <c r="X47" s="1355"/>
      <c r="Y47" s="376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6" t="str">
        <f>A48</f>
        <v>成交单价（元/平方米）</v>
      </c>
      <c r="Q48" s="3754"/>
      <c r="R48" s="3755">
        <f>E48</f>
        <v>0</v>
      </c>
      <c r="S48" s="3755"/>
      <c r="T48" s="3755">
        <f>G48</f>
        <v>0</v>
      </c>
      <c r="U48" s="3755"/>
      <c r="V48" s="3755">
        <f>I48</f>
        <v>0</v>
      </c>
      <c r="W48" s="375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6"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52.28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913"/>
      <c r="M5" s="914"/>
      <c r="N5" s="914"/>
      <c r="O5" s="914"/>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913"/>
      <c r="M6" s="914"/>
      <c r="N6" s="914"/>
      <c r="O6" s="914"/>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1682</v>
      </c>
      <c r="Q8" s="3723"/>
      <c r="R8" s="701" t="s">
        <v>14</v>
      </c>
      <c r="S8" s="702">
        <f t="shared" si="0"/>
        <v>100</v>
      </c>
      <c r="T8" s="701" t="s">
        <v>14</v>
      </c>
      <c r="U8" s="702">
        <f t="shared" si="1"/>
        <v>100</v>
      </c>
      <c r="V8" s="701" t="s">
        <v>14</v>
      </c>
      <c r="W8" s="702">
        <f t="shared" si="2"/>
        <v>100</v>
      </c>
      <c r="X8" s="703"/>
      <c r="Y8" s="3722" t="s">
        <v>1682</v>
      </c>
      <c r="Z8" s="372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7"/>
      <c r="Q16" s="1352"/>
      <c r="R16" s="705"/>
      <c r="S16" s="706"/>
      <c r="T16" s="705"/>
      <c r="U16" s="706"/>
      <c r="V16" s="705"/>
      <c r="W16" s="706"/>
      <c r="X16" s="1355"/>
      <c r="Y16" s="37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7"/>
      <c r="Q18" s="1352"/>
      <c r="R18" s="705"/>
      <c r="S18" s="706"/>
      <c r="T18" s="705"/>
      <c r="U18" s="706"/>
      <c r="V18" s="705"/>
      <c r="W18" s="706"/>
      <c r="X18" s="1355"/>
      <c r="Y18" s="375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7"/>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7"/>
      <c r="Q20" s="1352"/>
      <c r="R20" s="705"/>
      <c r="S20" s="706"/>
      <c r="T20" s="705"/>
      <c r="U20" s="706"/>
      <c r="V20" s="705"/>
      <c r="W20" s="706"/>
      <c r="X20" s="1355"/>
      <c r="Y20" s="375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7"/>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7"/>
      <c r="Q22" s="1352"/>
      <c r="R22" s="705"/>
      <c r="S22" s="706"/>
      <c r="T22" s="705"/>
      <c r="U22" s="706"/>
      <c r="V22" s="705"/>
      <c r="W22" s="706"/>
      <c r="X22" s="1355"/>
      <c r="Y22" s="375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7"/>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7"/>
      <c r="Q24" s="1352"/>
      <c r="R24" s="705"/>
      <c r="S24" s="706"/>
      <c r="T24" s="705"/>
      <c r="U24" s="706"/>
      <c r="V24" s="705"/>
      <c r="W24" s="706"/>
      <c r="X24" s="1355"/>
      <c r="Y24" s="37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1352">
        <f>B25</f>
        <v>111</v>
      </c>
      <c r="R25" s="705" t="s">
        <v>14</v>
      </c>
      <c r="S25" s="706">
        <f>F25</f>
        <v>100</v>
      </c>
      <c r="T25" s="705" t="s">
        <v>14</v>
      </c>
      <c r="U25" s="706">
        <f>H25</f>
        <v>100</v>
      </c>
      <c r="V25" s="705" t="s">
        <v>14</v>
      </c>
      <c r="W25" s="706">
        <f>J25</f>
        <v>100</v>
      </c>
      <c r="X25" s="1355"/>
      <c r="Y25" s="37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1352">
        <f t="shared" ref="Q26:Q40" si="11">B26</f>
        <v>111</v>
      </c>
      <c r="R26" s="705" t="s">
        <v>14</v>
      </c>
      <c r="S26" s="706">
        <f>F26</f>
        <v>100</v>
      </c>
      <c r="T26" s="705" t="s">
        <v>14</v>
      </c>
      <c r="U26" s="706">
        <f>H26</f>
        <v>100</v>
      </c>
      <c r="V26" s="705" t="s">
        <v>14</v>
      </c>
      <c r="W26" s="706">
        <f>J26</f>
        <v>100</v>
      </c>
      <c r="X26" s="1355"/>
      <c r="Y26" s="37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1343">
        <f t="shared" si="11"/>
        <v>111</v>
      </c>
      <c r="R27" s="701" t="s">
        <v>14</v>
      </c>
      <c r="S27" s="702">
        <f>F27</f>
        <v>100</v>
      </c>
      <c r="T27" s="701" t="s">
        <v>14</v>
      </c>
      <c r="U27" s="702">
        <f>H27</f>
        <v>100</v>
      </c>
      <c r="V27" s="701" t="s">
        <v>14</v>
      </c>
      <c r="W27" s="702">
        <f>J27</f>
        <v>100</v>
      </c>
      <c r="X27" s="703"/>
      <c r="Y27" s="37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1352">
        <f t="shared" si="11"/>
        <v>111</v>
      </c>
      <c r="R28" s="705" t="s">
        <v>14</v>
      </c>
      <c r="S28" s="706">
        <f t="shared" ref="S28:S40" si="12">F28</f>
        <v>100</v>
      </c>
      <c r="T28" s="705" t="s">
        <v>14</v>
      </c>
      <c r="U28" s="706">
        <f t="shared" ref="U28:U40" si="13">H28</f>
        <v>100</v>
      </c>
      <c r="V28" s="705" t="s">
        <v>14</v>
      </c>
      <c r="W28" s="706">
        <f t="shared" ref="W28:W40" si="14">J28</f>
        <v>100</v>
      </c>
      <c r="X28" s="1355"/>
      <c r="Y28" s="375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1"/>
      <c r="Q30" s="707" t="str">
        <f t="shared" si="11"/>
        <v>项目建筑规模</v>
      </c>
      <c r="R30" s="708" t="s">
        <v>14</v>
      </c>
      <c r="S30" s="709" t="e">
        <f t="shared" si="12"/>
        <v>#N/A</v>
      </c>
      <c r="T30" s="708" t="s">
        <v>14</v>
      </c>
      <c r="U30" s="709" t="e">
        <f t="shared" si="13"/>
        <v>#N/A</v>
      </c>
      <c r="V30" s="708" t="s">
        <v>14</v>
      </c>
      <c r="W30" s="709" t="e">
        <f t="shared" si="14"/>
        <v>#N/A</v>
      </c>
      <c r="X30" s="710"/>
      <c r="Y30" s="37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1"/>
      <c r="Q31" s="1352" t="str">
        <f t="shared" si="11"/>
        <v>建筑结构</v>
      </c>
      <c r="R31" s="705" t="s">
        <v>14</v>
      </c>
      <c r="S31" s="706">
        <f t="shared" si="12"/>
        <v>100</v>
      </c>
      <c r="T31" s="705" t="s">
        <v>14</v>
      </c>
      <c r="U31" s="706">
        <f t="shared" si="13"/>
        <v>100</v>
      </c>
      <c r="V31" s="705" t="s">
        <v>14</v>
      </c>
      <c r="W31" s="706">
        <f t="shared" si="14"/>
        <v>100</v>
      </c>
      <c r="X31" s="1355"/>
      <c r="Y31" s="37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1"/>
      <c r="Q32" s="1352" t="str">
        <f t="shared" si="11"/>
        <v>公共部分装修</v>
      </c>
      <c r="R32" s="705" t="s">
        <v>14</v>
      </c>
      <c r="S32" s="706">
        <f t="shared" si="12"/>
        <v>100</v>
      </c>
      <c r="T32" s="705" t="s">
        <v>14</v>
      </c>
      <c r="U32" s="706">
        <f t="shared" si="13"/>
        <v>100</v>
      </c>
      <c r="V32" s="705" t="s">
        <v>14</v>
      </c>
      <c r="W32" s="706">
        <f t="shared" si="14"/>
        <v>100</v>
      </c>
      <c r="X32" s="1355"/>
      <c r="Y32" s="37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1"/>
      <c r="Q33" s="1352" t="str">
        <f t="shared" si="11"/>
        <v>成新度</v>
      </c>
      <c r="R33" s="705" t="s">
        <v>14</v>
      </c>
      <c r="S33" s="706" t="e">
        <f t="shared" si="12"/>
        <v>#N/A</v>
      </c>
      <c r="T33" s="705" t="s">
        <v>14</v>
      </c>
      <c r="U33" s="706" t="e">
        <f t="shared" si="13"/>
        <v>#N/A</v>
      </c>
      <c r="V33" s="705" t="s">
        <v>14</v>
      </c>
      <c r="W33" s="706" t="e">
        <f t="shared" si="14"/>
        <v>#N/A</v>
      </c>
      <c r="X33" s="1355"/>
      <c r="Y33" s="37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1"/>
      <c r="Q34" s="1343" t="str">
        <f t="shared" si="11"/>
        <v>物业管理</v>
      </c>
      <c r="R34" s="701" t="s">
        <v>14</v>
      </c>
      <c r="S34" s="702">
        <f t="shared" si="12"/>
        <v>100</v>
      </c>
      <c r="T34" s="701" t="s">
        <v>14</v>
      </c>
      <c r="U34" s="702">
        <f t="shared" si="13"/>
        <v>100</v>
      </c>
      <c r="V34" s="701" t="s">
        <v>14</v>
      </c>
      <c r="W34" s="702">
        <f t="shared" si="14"/>
        <v>100</v>
      </c>
      <c r="X34" s="703"/>
      <c r="Y34" s="37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1" t="s">
        <v>1695</v>
      </c>
      <c r="Q35" s="1352" t="str">
        <f t="shared" si="11"/>
        <v>市政基础设施</v>
      </c>
      <c r="R35" s="705" t="s">
        <v>14</v>
      </c>
      <c r="S35" s="706">
        <f t="shared" si="12"/>
        <v>100</v>
      </c>
      <c r="T35" s="705" t="s">
        <v>14</v>
      </c>
      <c r="U35" s="706">
        <f t="shared" si="13"/>
        <v>100</v>
      </c>
      <c r="V35" s="705" t="s">
        <v>14</v>
      </c>
      <c r="W35" s="706">
        <f t="shared" si="14"/>
        <v>100</v>
      </c>
      <c r="X35" s="1355"/>
      <c r="Y35" s="37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1"/>
      <c r="Q36" s="1352" t="str">
        <f t="shared" si="11"/>
        <v>内部装修</v>
      </c>
      <c r="R36" s="705" t="s">
        <v>14</v>
      </c>
      <c r="S36" s="706">
        <f t="shared" si="12"/>
        <v>100</v>
      </c>
      <c r="T36" s="705" t="s">
        <v>14</v>
      </c>
      <c r="U36" s="706">
        <f t="shared" si="13"/>
        <v>100</v>
      </c>
      <c r="V36" s="705" t="s">
        <v>14</v>
      </c>
      <c r="W36" s="706">
        <f t="shared" si="14"/>
        <v>100</v>
      </c>
      <c r="X36" s="1355"/>
      <c r="Y36" s="37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1"/>
      <c r="Q37" s="1352" t="str">
        <f t="shared" si="11"/>
        <v>内部装修状况</v>
      </c>
      <c r="R37" s="705" t="s">
        <v>14</v>
      </c>
      <c r="S37" s="706">
        <f t="shared" si="12"/>
        <v>100</v>
      </c>
      <c r="T37" s="705" t="s">
        <v>14</v>
      </c>
      <c r="U37" s="706">
        <f t="shared" si="13"/>
        <v>100</v>
      </c>
      <c r="V37" s="705" t="s">
        <v>14</v>
      </c>
      <c r="W37" s="706">
        <f t="shared" si="14"/>
        <v>100</v>
      </c>
      <c r="X37" s="1355"/>
      <c r="Y37" s="37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1"/>
      <c r="Q38" s="707">
        <f t="shared" si="11"/>
        <v>111</v>
      </c>
      <c r="R38" s="708" t="s">
        <v>14</v>
      </c>
      <c r="S38" s="709">
        <f t="shared" si="12"/>
        <v>100</v>
      </c>
      <c r="T38" s="708" t="s">
        <v>14</v>
      </c>
      <c r="U38" s="709">
        <f t="shared" si="13"/>
        <v>100</v>
      </c>
      <c r="V38" s="708" t="s">
        <v>14</v>
      </c>
      <c r="W38" s="709">
        <f t="shared" si="14"/>
        <v>100</v>
      </c>
      <c r="X38" s="710"/>
      <c r="Y38" s="37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1"/>
      <c r="Q39" s="1352">
        <f t="shared" si="11"/>
        <v>111</v>
      </c>
      <c r="R39" s="705" t="s">
        <v>14</v>
      </c>
      <c r="S39" s="706">
        <f t="shared" si="12"/>
        <v>100</v>
      </c>
      <c r="T39" s="705" t="s">
        <v>14</v>
      </c>
      <c r="U39" s="706">
        <f t="shared" si="13"/>
        <v>100</v>
      </c>
      <c r="V39" s="705" t="s">
        <v>14</v>
      </c>
      <c r="W39" s="706">
        <f t="shared" si="14"/>
        <v>100</v>
      </c>
      <c r="X39" s="1355"/>
      <c r="Y39" s="37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2">
        <f t="shared" si="11"/>
        <v>111</v>
      </c>
      <c r="R40" s="705" t="s">
        <v>14</v>
      </c>
      <c r="S40" s="706">
        <f t="shared" si="12"/>
        <v>100</v>
      </c>
      <c r="T40" s="705" t="s">
        <v>14</v>
      </c>
      <c r="U40" s="706">
        <f t="shared" si="13"/>
        <v>100</v>
      </c>
      <c r="V40" s="705" t="s">
        <v>14</v>
      </c>
      <c r="W40" s="706">
        <f t="shared" si="14"/>
        <v>100</v>
      </c>
      <c r="X40" s="1355"/>
      <c r="Y40" s="376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7"/>
      <c r="Q15" s="1352"/>
      <c r="R15" s="705"/>
      <c r="S15" s="706"/>
      <c r="T15" s="705"/>
      <c r="U15" s="706"/>
      <c r="V15" s="705"/>
      <c r="W15" s="706"/>
      <c r="X15" s="1355"/>
      <c r="Y15" s="3757"/>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7"/>
      <c r="Q17" s="1352"/>
      <c r="R17" s="705"/>
      <c r="S17" s="706"/>
      <c r="T17" s="705"/>
      <c r="U17" s="706"/>
      <c r="V17" s="705"/>
      <c r="W17" s="706"/>
      <c r="X17" s="1355"/>
      <c r="Y17" s="3757"/>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7"/>
      <c r="Q19" s="1352"/>
      <c r="R19" s="705"/>
      <c r="S19" s="706"/>
      <c r="T19" s="705"/>
      <c r="U19" s="706"/>
      <c r="V19" s="705"/>
      <c r="W19" s="706"/>
      <c r="X19" s="1355"/>
      <c r="Y19" s="3757"/>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7"/>
      <c r="Q21" s="1352"/>
      <c r="R21" s="705"/>
      <c r="S21" s="706"/>
      <c r="T21" s="705"/>
      <c r="U21" s="706"/>
      <c r="V21" s="705"/>
      <c r="W21" s="706"/>
      <c r="X21" s="1355"/>
      <c r="Y21" s="375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7"/>
      <c r="Q24" s="1352">
        <f t="shared" ref="Q24:Q36"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1"/>
      <c r="Q27" s="707" t="str">
        <f t="shared" si="11"/>
        <v>项目停车位配比</v>
      </c>
      <c r="R27" s="708" t="s">
        <v>14</v>
      </c>
      <c r="S27" s="709">
        <f t="shared" si="12"/>
        <v>100</v>
      </c>
      <c r="T27" s="708" t="s">
        <v>14</v>
      </c>
      <c r="U27" s="709">
        <f t="shared" si="13"/>
        <v>100</v>
      </c>
      <c r="V27" s="708" t="s">
        <v>14</v>
      </c>
      <c r="W27" s="709">
        <f t="shared" si="14"/>
        <v>100</v>
      </c>
      <c r="X27" s="710"/>
      <c r="Y27" s="37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1"/>
      <c r="Q28" s="1352" t="str">
        <f t="shared" si="11"/>
        <v>公共部分装修</v>
      </c>
      <c r="R28" s="705" t="s">
        <v>14</v>
      </c>
      <c r="S28" s="706">
        <f t="shared" si="12"/>
        <v>100</v>
      </c>
      <c r="T28" s="705" t="s">
        <v>14</v>
      </c>
      <c r="U28" s="706">
        <f t="shared" si="13"/>
        <v>100</v>
      </c>
      <c r="V28" s="705" t="s">
        <v>14</v>
      </c>
      <c r="W28" s="706">
        <f t="shared" si="14"/>
        <v>100</v>
      </c>
      <c r="X28" s="1355"/>
      <c r="Y28" s="37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1"/>
      <c r="Q29" s="1352" t="str">
        <f t="shared" si="11"/>
        <v>成新率</v>
      </c>
      <c r="R29" s="705" t="s">
        <v>14</v>
      </c>
      <c r="S29" s="706" t="e">
        <f t="shared" si="12"/>
        <v>#N/A</v>
      </c>
      <c r="T29" s="705" t="s">
        <v>14</v>
      </c>
      <c r="U29" s="706" t="e">
        <f t="shared" si="13"/>
        <v>#N/A</v>
      </c>
      <c r="V29" s="705" t="s">
        <v>14</v>
      </c>
      <c r="W29" s="706" t="e">
        <f t="shared" si="14"/>
        <v>#N/A</v>
      </c>
      <c r="X29" s="1355"/>
      <c r="Y29" s="37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1"/>
      <c r="Q30" s="1352" t="str">
        <f t="shared" si="11"/>
        <v>物业等级</v>
      </c>
      <c r="R30" s="705" t="s">
        <v>14</v>
      </c>
      <c r="S30" s="706">
        <f t="shared" si="12"/>
        <v>100</v>
      </c>
      <c r="T30" s="705" t="s">
        <v>14</v>
      </c>
      <c r="U30" s="706">
        <f t="shared" si="13"/>
        <v>100</v>
      </c>
      <c r="V30" s="705" t="s">
        <v>14</v>
      </c>
      <c r="W30" s="706">
        <f t="shared" si="14"/>
        <v>100</v>
      </c>
      <c r="X30" s="1355"/>
      <c r="Y30" s="37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1"/>
      <c r="Q31" s="1343" t="str">
        <f t="shared" si="11"/>
        <v>停车位面积</v>
      </c>
      <c r="R31" s="701" t="s">
        <v>14</v>
      </c>
      <c r="S31" s="702" t="e">
        <f t="shared" si="12"/>
        <v>#N/A</v>
      </c>
      <c r="T31" s="701" t="s">
        <v>14</v>
      </c>
      <c r="U31" s="702" t="e">
        <f t="shared" si="13"/>
        <v>#N/A</v>
      </c>
      <c r="V31" s="701" t="s">
        <v>14</v>
      </c>
      <c r="W31" s="702" t="e">
        <f t="shared" si="14"/>
        <v>#N/A</v>
      </c>
      <c r="X31" s="703"/>
      <c r="Y31" s="37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1" t="s">
        <v>1695</v>
      </c>
      <c r="Q32" s="1352" t="str">
        <f t="shared" si="11"/>
        <v>车位类型</v>
      </c>
      <c r="R32" s="705" t="s">
        <v>14</v>
      </c>
      <c r="S32" s="706">
        <f t="shared" si="12"/>
        <v>100</v>
      </c>
      <c r="T32" s="705" t="s">
        <v>14</v>
      </c>
      <c r="U32" s="706">
        <f t="shared" si="13"/>
        <v>100</v>
      </c>
      <c r="V32" s="705" t="s">
        <v>14</v>
      </c>
      <c r="W32" s="706">
        <f t="shared" si="14"/>
        <v>100</v>
      </c>
      <c r="X32" s="1355"/>
      <c r="Y32" s="37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1"/>
      <c r="Q33" s="1352" t="str">
        <f t="shared" si="11"/>
        <v>是否直接入户</v>
      </c>
      <c r="R33" s="705" t="s">
        <v>14</v>
      </c>
      <c r="S33" s="706">
        <f t="shared" si="12"/>
        <v>100</v>
      </c>
      <c r="T33" s="705" t="s">
        <v>14</v>
      </c>
      <c r="U33" s="706">
        <f t="shared" si="13"/>
        <v>100</v>
      </c>
      <c r="V33" s="705" t="s">
        <v>14</v>
      </c>
      <c r="W33" s="706">
        <f t="shared" si="14"/>
        <v>100</v>
      </c>
      <c r="X33" s="1355"/>
      <c r="Y33" s="37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1"/>
      <c r="Q35" s="707">
        <f t="shared" si="11"/>
        <v>111</v>
      </c>
      <c r="R35" s="708" t="s">
        <v>14</v>
      </c>
      <c r="S35" s="709">
        <f t="shared" si="12"/>
        <v>100</v>
      </c>
      <c r="T35" s="708" t="s">
        <v>14</v>
      </c>
      <c r="U35" s="709">
        <f t="shared" si="13"/>
        <v>100</v>
      </c>
      <c r="V35" s="708" t="s">
        <v>14</v>
      </c>
      <c r="W35" s="709">
        <f t="shared" si="14"/>
        <v>100</v>
      </c>
      <c r="X35" s="710"/>
      <c r="Y35" s="37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1"/>
      <c r="Q36" s="1352">
        <f t="shared" si="11"/>
        <v>111</v>
      </c>
      <c r="R36" s="705" t="s">
        <v>14</v>
      </c>
      <c r="S36" s="706">
        <f t="shared" si="12"/>
        <v>100</v>
      </c>
      <c r="T36" s="705" t="s">
        <v>14</v>
      </c>
      <c r="U36" s="706">
        <f t="shared" si="13"/>
        <v>100</v>
      </c>
      <c r="V36" s="705" t="s">
        <v>14</v>
      </c>
      <c r="W36" s="706">
        <f t="shared" si="14"/>
        <v>100</v>
      </c>
      <c r="X36" s="1355"/>
      <c r="Y36" s="376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54" t="str">
        <f>A37</f>
        <v>成交单价</v>
      </c>
      <c r="Q37" s="3754"/>
      <c r="R37" s="3755">
        <f>E37</f>
        <v>0</v>
      </c>
      <c r="S37" s="3755"/>
      <c r="T37" s="3755">
        <f>G37</f>
        <v>0</v>
      </c>
      <c r="U37" s="3755"/>
      <c r="V37" s="3755">
        <f>I37</f>
        <v>0</v>
      </c>
      <c r="W37" s="375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1" t="str">
        <f>A39</f>
        <v>估价对象XX用房的比较价值（楼面单价，元/平方米）</v>
      </c>
      <c r="Q39" s="3752"/>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7"/>
      <c r="Q15" s="1352"/>
      <c r="R15" s="705"/>
      <c r="S15" s="706"/>
      <c r="T15" s="705"/>
      <c r="U15" s="706"/>
      <c r="V15" s="705"/>
      <c r="W15" s="706"/>
      <c r="X15" s="1355"/>
      <c r="Y15" s="3757"/>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7"/>
      <c r="Q17" s="1352"/>
      <c r="R17" s="705"/>
      <c r="S17" s="706"/>
      <c r="T17" s="705"/>
      <c r="U17" s="706"/>
      <c r="V17" s="705"/>
      <c r="W17" s="706"/>
      <c r="X17" s="1355"/>
      <c r="Y17" s="3757"/>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7"/>
      <c r="Q19" s="1352"/>
      <c r="R19" s="705"/>
      <c r="S19" s="706"/>
      <c r="T19" s="705"/>
      <c r="U19" s="706"/>
      <c r="V19" s="705"/>
      <c r="W19" s="706"/>
      <c r="X19" s="1355"/>
      <c r="Y19" s="3757"/>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7"/>
      <c r="Q21" s="1352"/>
      <c r="R21" s="705"/>
      <c r="S21" s="706"/>
      <c r="T21" s="705"/>
      <c r="U21" s="706"/>
      <c r="V21" s="705"/>
      <c r="W21" s="706"/>
      <c r="X21" s="1355"/>
      <c r="Y21" s="375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7"/>
      <c r="Q24" s="1352">
        <f t="shared" ref="Q24:Q34"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1"/>
      <c r="Q27" s="707" t="str">
        <f t="shared" si="11"/>
        <v>成新率</v>
      </c>
      <c r="R27" s="708" t="s">
        <v>14</v>
      </c>
      <c r="S27" s="709" t="e">
        <f t="shared" si="12"/>
        <v>#N/A</v>
      </c>
      <c r="T27" s="708" t="s">
        <v>14</v>
      </c>
      <c r="U27" s="709" t="e">
        <f t="shared" si="13"/>
        <v>#N/A</v>
      </c>
      <c r="V27" s="708" t="s">
        <v>14</v>
      </c>
      <c r="W27" s="709" t="e">
        <f t="shared" si="14"/>
        <v>#N/A</v>
      </c>
      <c r="X27" s="710"/>
      <c r="Y27" s="37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1"/>
      <c r="Q28" s="1352" t="str">
        <f t="shared" si="11"/>
        <v>物业等级</v>
      </c>
      <c r="R28" s="705" t="s">
        <v>14</v>
      </c>
      <c r="S28" s="706">
        <f t="shared" si="12"/>
        <v>100</v>
      </c>
      <c r="T28" s="705" t="s">
        <v>14</v>
      </c>
      <c r="U28" s="706">
        <f t="shared" si="13"/>
        <v>100</v>
      </c>
      <c r="V28" s="705" t="s">
        <v>14</v>
      </c>
      <c r="W28" s="706">
        <f t="shared" si="14"/>
        <v>100</v>
      </c>
      <c r="X28" s="1355"/>
      <c r="Y28" s="37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1"/>
      <c r="Q29" s="1352" t="str">
        <f t="shared" si="11"/>
        <v>有无电梯</v>
      </c>
      <c r="R29" s="705" t="s">
        <v>14</v>
      </c>
      <c r="S29" s="706">
        <f t="shared" si="12"/>
        <v>100</v>
      </c>
      <c r="T29" s="705" t="s">
        <v>14</v>
      </c>
      <c r="U29" s="706">
        <f t="shared" si="13"/>
        <v>100</v>
      </c>
      <c r="V29" s="705" t="s">
        <v>14</v>
      </c>
      <c r="W29" s="706">
        <f t="shared" si="14"/>
        <v>100</v>
      </c>
      <c r="X29" s="1355"/>
      <c r="Y29" s="37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1"/>
      <c r="Q30" s="1352" t="str">
        <f t="shared" si="11"/>
        <v>建筑面积</v>
      </c>
      <c r="R30" s="705" t="s">
        <v>14</v>
      </c>
      <c r="S30" s="706" t="e">
        <f t="shared" si="12"/>
        <v>#N/A</v>
      </c>
      <c r="T30" s="705" t="s">
        <v>14</v>
      </c>
      <c r="U30" s="706" t="e">
        <f t="shared" si="13"/>
        <v>#N/A</v>
      </c>
      <c r="V30" s="705" t="s">
        <v>14</v>
      </c>
      <c r="W30" s="706" t="e">
        <f t="shared" si="14"/>
        <v>#N/A</v>
      </c>
      <c r="X30" s="1355"/>
      <c r="Y30" s="37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1"/>
      <c r="Q31" s="1343" t="str">
        <f t="shared" si="11"/>
        <v>是否封闭</v>
      </c>
      <c r="R31" s="701" t="s">
        <v>14</v>
      </c>
      <c r="S31" s="702">
        <f t="shared" si="12"/>
        <v>100</v>
      </c>
      <c r="T31" s="701" t="s">
        <v>14</v>
      </c>
      <c r="U31" s="702">
        <f t="shared" si="13"/>
        <v>100</v>
      </c>
      <c r="V31" s="701" t="s">
        <v>14</v>
      </c>
      <c r="W31" s="702">
        <f t="shared" si="14"/>
        <v>100</v>
      </c>
      <c r="X31" s="703"/>
      <c r="Y31" s="37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1" t="s">
        <v>1695</v>
      </c>
      <c r="Q32" s="1352">
        <f t="shared" si="11"/>
        <v>111</v>
      </c>
      <c r="R32" s="705" t="s">
        <v>14</v>
      </c>
      <c r="S32" s="706">
        <f t="shared" si="12"/>
        <v>100</v>
      </c>
      <c r="T32" s="705" t="s">
        <v>14</v>
      </c>
      <c r="U32" s="706">
        <f t="shared" si="13"/>
        <v>100</v>
      </c>
      <c r="V32" s="705" t="s">
        <v>14</v>
      </c>
      <c r="W32" s="706">
        <f t="shared" si="14"/>
        <v>100</v>
      </c>
      <c r="X32" s="1355"/>
      <c r="Y32" s="37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1"/>
      <c r="Q33" s="1352">
        <f t="shared" si="11"/>
        <v>111</v>
      </c>
      <c r="R33" s="705" t="s">
        <v>14</v>
      </c>
      <c r="S33" s="706">
        <f t="shared" si="12"/>
        <v>100</v>
      </c>
      <c r="T33" s="705" t="s">
        <v>14</v>
      </c>
      <c r="U33" s="706">
        <f t="shared" si="13"/>
        <v>100</v>
      </c>
      <c r="V33" s="705" t="s">
        <v>14</v>
      </c>
      <c r="W33" s="706">
        <f t="shared" si="14"/>
        <v>100</v>
      </c>
      <c r="X33" s="1355"/>
      <c r="Y33" s="37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1" t="str">
        <f>A37</f>
        <v>估价对象XX用房的比较价值（楼面单价，元/平方米）</v>
      </c>
      <c r="Q37" s="3752"/>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30"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30"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4"/>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6" t="s">
        <v>1690</v>
      </c>
      <c r="Q15" s="1352" t="str">
        <f t="shared" si="6"/>
        <v>居住社区成熟度</v>
      </c>
      <c r="R15" s="705" t="s">
        <v>14</v>
      </c>
      <c r="S15" s="706">
        <f t="shared" si="0"/>
        <v>100</v>
      </c>
      <c r="T15" s="705" t="s">
        <v>14</v>
      </c>
      <c r="U15" s="706">
        <f t="shared" si="1"/>
        <v>100</v>
      </c>
      <c r="V15" s="705" t="s">
        <v>14</v>
      </c>
      <c r="W15" s="706">
        <f t="shared" si="2"/>
        <v>100</v>
      </c>
      <c r="X15" s="1355"/>
      <c r="Y15" s="375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7"/>
      <c r="Q17" s="1352" t="str">
        <f>B17</f>
        <v>商业繁华度</v>
      </c>
      <c r="R17" s="705" t="s">
        <v>14</v>
      </c>
      <c r="S17" s="706">
        <f>F17</f>
        <v>100</v>
      </c>
      <c r="T17" s="705" t="s">
        <v>14</v>
      </c>
      <c r="U17" s="706">
        <f>H17</f>
        <v>100</v>
      </c>
      <c r="V17" s="705" t="s">
        <v>14</v>
      </c>
      <c r="W17" s="706">
        <f>J17</f>
        <v>100</v>
      </c>
      <c r="X17" s="1355"/>
      <c r="Y17" s="37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7"/>
      <c r="Q19" s="1352" t="str">
        <f>B19</f>
        <v>办公集聚程度</v>
      </c>
      <c r="R19" s="705" t="s">
        <v>14</v>
      </c>
      <c r="S19" s="706">
        <f>F19</f>
        <v>100</v>
      </c>
      <c r="T19" s="705" t="s">
        <v>14</v>
      </c>
      <c r="U19" s="706">
        <f>H19</f>
        <v>100</v>
      </c>
      <c r="V19" s="705" t="s">
        <v>14</v>
      </c>
      <c r="W19" s="706">
        <f>J19</f>
        <v>100</v>
      </c>
      <c r="X19" s="1355"/>
      <c r="Y19" s="37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7"/>
      <c r="Q20" s="1352"/>
      <c r="R20" s="705"/>
      <c r="S20" s="706"/>
      <c r="T20" s="705"/>
      <c r="U20" s="706"/>
      <c r="V20" s="705"/>
      <c r="W20" s="706"/>
      <c r="X20" s="1355"/>
      <c r="Y20" s="3757"/>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7"/>
      <c r="Q21" s="1352" t="str">
        <f>B21</f>
        <v>交通便捷度</v>
      </c>
      <c r="R21" s="705" t="s">
        <v>14</v>
      </c>
      <c r="S21" s="706">
        <f>F21</f>
        <v>100</v>
      </c>
      <c r="T21" s="705" t="s">
        <v>14</v>
      </c>
      <c r="U21" s="706">
        <f>H21</f>
        <v>100</v>
      </c>
      <c r="V21" s="705" t="s">
        <v>14</v>
      </c>
      <c r="W21" s="706">
        <f>J21</f>
        <v>100</v>
      </c>
      <c r="X21" s="1355"/>
      <c r="Y21" s="37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7"/>
      <c r="Q23" s="1352" t="str">
        <f t="shared" ref="Q23:Q37" si="8">B23</f>
        <v>区域土地利用方向</v>
      </c>
      <c r="R23" s="705" t="s">
        <v>14</v>
      </c>
      <c r="S23" s="706">
        <f>F23</f>
        <v>100</v>
      </c>
      <c r="T23" s="705" t="s">
        <v>14</v>
      </c>
      <c r="U23" s="706">
        <f>H23</f>
        <v>100</v>
      </c>
      <c r="V23" s="705" t="s">
        <v>14</v>
      </c>
      <c r="W23" s="706">
        <f>J23</f>
        <v>100</v>
      </c>
      <c r="X23" s="1355"/>
      <c r="Y23" s="37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7"/>
      <c r="Q24" s="1352"/>
      <c r="R24" s="705"/>
      <c r="S24" s="706"/>
      <c r="T24" s="705"/>
      <c r="U24" s="706"/>
      <c r="V24" s="705"/>
      <c r="W24" s="706"/>
      <c r="X24" s="1355"/>
      <c r="Y24" s="3757"/>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7"/>
      <c r="Q25" s="1352" t="str">
        <f t="shared" si="8"/>
        <v>自然及人文环境状况</v>
      </c>
      <c r="R25" s="705" t="s">
        <v>14</v>
      </c>
      <c r="S25" s="706">
        <f>F25</f>
        <v>100</v>
      </c>
      <c r="T25" s="705" t="s">
        <v>14</v>
      </c>
      <c r="U25" s="706">
        <f>H25</f>
        <v>100</v>
      </c>
      <c r="V25" s="705" t="s">
        <v>14</v>
      </c>
      <c r="W25" s="706">
        <f>J25</f>
        <v>100</v>
      </c>
      <c r="X25" s="1355"/>
      <c r="Y25" s="37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7"/>
      <c r="Q26" s="1352"/>
      <c r="R26" s="705"/>
      <c r="S26" s="706"/>
      <c r="T26" s="705"/>
      <c r="U26" s="706"/>
      <c r="V26" s="705"/>
      <c r="W26" s="706"/>
      <c r="X26" s="1355"/>
      <c r="Y26" s="3757"/>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7"/>
      <c r="Q27" s="1343" t="str">
        <f t="shared" si="8"/>
        <v>公共配套设施</v>
      </c>
      <c r="R27" s="701" t="s">
        <v>14</v>
      </c>
      <c r="S27" s="702">
        <f>F27</f>
        <v>100</v>
      </c>
      <c r="T27" s="701" t="s">
        <v>14</v>
      </c>
      <c r="U27" s="702">
        <f>H27</f>
        <v>100</v>
      </c>
      <c r="V27" s="701" t="s">
        <v>14</v>
      </c>
      <c r="W27" s="702">
        <f>J27</f>
        <v>100</v>
      </c>
      <c r="X27" s="703"/>
      <c r="Y27" s="37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7"/>
      <c r="Q28" s="1343"/>
      <c r="R28" s="701"/>
      <c r="S28" s="702"/>
      <c r="T28" s="701"/>
      <c r="U28" s="702"/>
      <c r="V28" s="701"/>
      <c r="W28" s="702"/>
      <c r="X28" s="703"/>
      <c r="Y28" s="3757"/>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7"/>
      <c r="Q29" s="1343" t="str">
        <f t="shared" ref="Q29" si="9">B29</f>
        <v>基础设施水平</v>
      </c>
      <c r="R29" s="701" t="s">
        <v>14</v>
      </c>
      <c r="S29" s="702">
        <f>F29</f>
        <v>100</v>
      </c>
      <c r="T29" s="701" t="s">
        <v>14</v>
      </c>
      <c r="U29" s="702">
        <f>H29</f>
        <v>100</v>
      </c>
      <c r="V29" s="701" t="s">
        <v>14</v>
      </c>
      <c r="W29" s="702">
        <f>J29</f>
        <v>100</v>
      </c>
      <c r="X29" s="703"/>
      <c r="Y29" s="37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7"/>
      <c r="Q30" s="1343"/>
      <c r="R30" s="701"/>
      <c r="S30" s="702"/>
      <c r="T30" s="701"/>
      <c r="U30" s="702"/>
      <c r="V30" s="701"/>
      <c r="W30" s="702"/>
      <c r="X30" s="703"/>
      <c r="Y30" s="375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7"/>
      <c r="Q32" s="1352" t="str">
        <f t="shared" si="8"/>
        <v>毗邻道路的类型与等级</v>
      </c>
      <c r="R32" s="705" t="s">
        <v>14</v>
      </c>
      <c r="S32" s="706">
        <f t="shared" si="10"/>
        <v>100</v>
      </c>
      <c r="T32" s="705" t="s">
        <v>14</v>
      </c>
      <c r="U32" s="706">
        <f t="shared" si="11"/>
        <v>100</v>
      </c>
      <c r="V32" s="705" t="s">
        <v>14</v>
      </c>
      <c r="W32" s="706">
        <f t="shared" si="12"/>
        <v>100</v>
      </c>
      <c r="X32" s="1355"/>
      <c r="Y32" s="37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7"/>
      <c r="Q33" s="1352"/>
      <c r="R33" s="705"/>
      <c r="S33" s="706"/>
      <c r="T33" s="705"/>
      <c r="U33" s="706"/>
      <c r="V33" s="705"/>
      <c r="W33" s="706"/>
      <c r="X33" s="1355"/>
      <c r="Y33" s="375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7"/>
      <c r="Q34" s="1352" t="str">
        <f t="shared" si="8"/>
        <v>土地级别</v>
      </c>
      <c r="R34" s="705" t="s">
        <v>14</v>
      </c>
      <c r="S34" s="706">
        <f t="shared" si="10"/>
        <v>100</v>
      </c>
      <c r="T34" s="705" t="s">
        <v>14</v>
      </c>
      <c r="U34" s="706">
        <f t="shared" si="11"/>
        <v>100</v>
      </c>
      <c r="V34" s="705" t="s">
        <v>14</v>
      </c>
      <c r="W34" s="706">
        <f t="shared" si="12"/>
        <v>100</v>
      </c>
      <c r="X34" s="1355"/>
      <c r="Y34" s="37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7"/>
      <c r="Q35" s="1352">
        <f t="shared" si="8"/>
        <v>111</v>
      </c>
      <c r="R35" s="705" t="s">
        <v>14</v>
      </c>
      <c r="S35" s="706">
        <f t="shared" si="10"/>
        <v>100</v>
      </c>
      <c r="T35" s="705" t="s">
        <v>14</v>
      </c>
      <c r="U35" s="706">
        <f t="shared" si="11"/>
        <v>100</v>
      </c>
      <c r="V35" s="705" t="s">
        <v>14</v>
      </c>
      <c r="W35" s="706">
        <f t="shared" si="12"/>
        <v>100</v>
      </c>
      <c r="X35" s="1355"/>
      <c r="Y35" s="37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0" t="s">
        <v>1695</v>
      </c>
      <c r="Q36" s="1352">
        <f t="shared" si="8"/>
        <v>111</v>
      </c>
      <c r="R36" s="705" t="s">
        <v>14</v>
      </c>
      <c r="S36" s="706">
        <f t="shared" si="10"/>
        <v>100</v>
      </c>
      <c r="T36" s="705" t="s">
        <v>14</v>
      </c>
      <c r="U36" s="706">
        <f t="shared" si="11"/>
        <v>100</v>
      </c>
      <c r="V36" s="705" t="s">
        <v>14</v>
      </c>
      <c r="W36" s="706">
        <f t="shared" si="12"/>
        <v>100</v>
      </c>
      <c r="X36" s="1355"/>
      <c r="Y36" s="37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1"/>
      <c r="Q37" s="1352">
        <f t="shared" si="8"/>
        <v>111</v>
      </c>
      <c r="R37" s="708" t="s">
        <v>14</v>
      </c>
      <c r="S37" s="709">
        <f t="shared" si="10"/>
        <v>100</v>
      </c>
      <c r="T37" s="708" t="s">
        <v>14</v>
      </c>
      <c r="U37" s="709">
        <f t="shared" si="11"/>
        <v>100</v>
      </c>
      <c r="V37" s="708" t="s">
        <v>14</v>
      </c>
      <c r="W37" s="709">
        <f t="shared" si="12"/>
        <v>100</v>
      </c>
      <c r="X37" s="710"/>
      <c r="Y37" s="37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1"/>
      <c r="Q38" s="1352" t="str">
        <f>B38</f>
        <v>宗地面积</v>
      </c>
      <c r="R38" s="705" t="s">
        <v>14</v>
      </c>
      <c r="S38" s="706" t="e">
        <f t="shared" si="10"/>
        <v>#N/A</v>
      </c>
      <c r="T38" s="705" t="s">
        <v>14</v>
      </c>
      <c r="U38" s="706" t="e">
        <f t="shared" si="11"/>
        <v>#N/A</v>
      </c>
      <c r="V38" s="705" t="s">
        <v>14</v>
      </c>
      <c r="W38" s="706" t="e">
        <f t="shared" si="12"/>
        <v>#N/A</v>
      </c>
      <c r="X38" s="1355"/>
      <c r="Y38" s="37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1"/>
      <c r="Q39" s="1352" t="str">
        <f t="shared" ref="Q39:Q45" si="14">B39</f>
        <v>宗地形状</v>
      </c>
      <c r="R39" s="705" t="s">
        <v>14</v>
      </c>
      <c r="S39" s="706">
        <f t="shared" si="10"/>
        <v>100</v>
      </c>
      <c r="T39" s="705" t="s">
        <v>14</v>
      </c>
      <c r="U39" s="706">
        <f t="shared" si="11"/>
        <v>100</v>
      </c>
      <c r="V39" s="705" t="s">
        <v>14</v>
      </c>
      <c r="W39" s="706">
        <f t="shared" si="12"/>
        <v>100</v>
      </c>
      <c r="X39" s="1355"/>
      <c r="Y39" s="37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1"/>
      <c r="Q40" s="1352" t="str">
        <f t="shared" si="14"/>
        <v>临街宽度及深度</v>
      </c>
      <c r="R40" s="705" t="s">
        <v>14</v>
      </c>
      <c r="S40" s="706">
        <f t="shared" si="10"/>
        <v>100</v>
      </c>
      <c r="T40" s="705" t="s">
        <v>14</v>
      </c>
      <c r="U40" s="706">
        <f t="shared" si="11"/>
        <v>100</v>
      </c>
      <c r="V40" s="705" t="s">
        <v>14</v>
      </c>
      <c r="W40" s="706">
        <f t="shared" si="12"/>
        <v>100</v>
      </c>
      <c r="X40" s="1355"/>
      <c r="Y40" s="37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1"/>
      <c r="Q41" s="1352" t="str">
        <f t="shared" si="14"/>
        <v>宗地开发程度</v>
      </c>
      <c r="R41" s="701" t="s">
        <v>14</v>
      </c>
      <c r="S41" s="702">
        <f t="shared" si="10"/>
        <v>100</v>
      </c>
      <c r="T41" s="701" t="s">
        <v>14</v>
      </c>
      <c r="U41" s="702">
        <f t="shared" si="11"/>
        <v>100</v>
      </c>
      <c r="V41" s="701" t="s">
        <v>14</v>
      </c>
      <c r="W41" s="702">
        <f t="shared" si="12"/>
        <v>100</v>
      </c>
      <c r="X41" s="703"/>
      <c r="Y41" s="37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1" t="s">
        <v>1695</v>
      </c>
      <c r="Q42" s="1352" t="str">
        <f t="shared" si="14"/>
        <v>工程地质条件</v>
      </c>
      <c r="R42" s="705" t="s">
        <v>14</v>
      </c>
      <c r="S42" s="706">
        <f t="shared" si="10"/>
        <v>100</v>
      </c>
      <c r="T42" s="705" t="s">
        <v>14</v>
      </c>
      <c r="U42" s="706">
        <f t="shared" si="11"/>
        <v>100</v>
      </c>
      <c r="V42" s="705" t="s">
        <v>14</v>
      </c>
      <c r="W42" s="706">
        <f t="shared" si="12"/>
        <v>100</v>
      </c>
      <c r="X42" s="1355"/>
      <c r="Y42" s="37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1"/>
      <c r="Q43" s="1352">
        <f t="shared" si="14"/>
        <v>111</v>
      </c>
      <c r="R43" s="705" t="s">
        <v>14</v>
      </c>
      <c r="S43" s="706">
        <f t="shared" si="10"/>
        <v>100</v>
      </c>
      <c r="T43" s="705" t="s">
        <v>14</v>
      </c>
      <c r="U43" s="706">
        <f t="shared" si="11"/>
        <v>100</v>
      </c>
      <c r="V43" s="705" t="s">
        <v>14</v>
      </c>
      <c r="W43" s="706">
        <f t="shared" si="12"/>
        <v>100</v>
      </c>
      <c r="X43" s="1355"/>
      <c r="Y43" s="37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1"/>
      <c r="Q44" s="1352">
        <f t="shared" si="14"/>
        <v>111</v>
      </c>
      <c r="R44" s="705" t="s">
        <v>14</v>
      </c>
      <c r="S44" s="706">
        <f t="shared" si="10"/>
        <v>100</v>
      </c>
      <c r="T44" s="705" t="s">
        <v>14</v>
      </c>
      <c r="U44" s="706">
        <f t="shared" si="11"/>
        <v>100</v>
      </c>
      <c r="V44" s="705" t="s">
        <v>14</v>
      </c>
      <c r="W44" s="706">
        <f t="shared" si="12"/>
        <v>100</v>
      </c>
      <c r="X44" s="1355"/>
      <c r="Y44" s="37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1"/>
      <c r="Q45" s="1352">
        <f t="shared" si="14"/>
        <v>111</v>
      </c>
      <c r="R45" s="708" t="s">
        <v>14</v>
      </c>
      <c r="S45" s="709">
        <f t="shared" si="10"/>
        <v>100</v>
      </c>
      <c r="T45" s="708" t="s">
        <v>14</v>
      </c>
      <c r="U45" s="709">
        <f t="shared" si="11"/>
        <v>100</v>
      </c>
      <c r="V45" s="708" t="s">
        <v>14</v>
      </c>
      <c r="W45" s="709">
        <f t="shared" si="12"/>
        <v>100</v>
      </c>
      <c r="X45" s="710"/>
      <c r="Y45" s="37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4" t="str">
        <f>A46</f>
        <v>成交单价</v>
      </c>
      <c r="Q46" s="3754"/>
      <c r="R46" s="3749">
        <f>E46</f>
        <v>0</v>
      </c>
      <c r="S46" s="3749"/>
      <c r="T46" s="3749">
        <f>G46</f>
        <v>0</v>
      </c>
      <c r="U46" s="3749"/>
      <c r="V46" s="3749">
        <f>I46</f>
        <v>0</v>
      </c>
      <c r="W46" s="374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4" t="str">
        <f>A47</f>
        <v>比较价值（元/平方米）</v>
      </c>
      <c r="Q47" s="3754"/>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1" t="str">
        <f>A48</f>
        <v>估价对象XX用房的比较价值（楼面单价，元/平方米）</v>
      </c>
      <c r="Q48" s="3752"/>
      <c r="R48" s="3783" t="e">
        <f>ROUND(IF(D47="简单平均",AVERAGE(R47:W47),R47*F47+T47*H47+V47*J47),0)</f>
        <v>#DIV/0!</v>
      </c>
      <c r="S48" s="3783"/>
      <c r="T48" s="3783"/>
      <c r="U48" s="3783"/>
      <c r="V48" s="3783"/>
      <c r="W48" s="37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7" t="s">
        <v>1886</v>
      </c>
      <c r="H55" s="378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52.28</v>
      </c>
      <c r="F56" s="886" t="e">
        <f t="shared" ref="F56:F64" si="15">ROUND(B56*E56/10000,0)</f>
        <v>#DIV/0!</v>
      </c>
      <c r="G56" s="3736"/>
      <c r="H56" s="375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52.28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85" t="s">
        <v>1918</v>
      </c>
      <c r="D6" s="3786"/>
      <c r="E6" s="3787" t="s">
        <v>1918</v>
      </c>
      <c r="F6" s="3788"/>
      <c r="G6" s="3785" t="s">
        <v>1918</v>
      </c>
      <c r="H6" s="3786"/>
      <c r="I6" s="3785" t="s">
        <v>1918</v>
      </c>
      <c r="J6" s="3786"/>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7"/>
      <c r="Q19" s="1352" t="str">
        <f t="shared" ref="Q19:Q33" si="8">B19</f>
        <v>区域土地利用方向</v>
      </c>
      <c r="R19" s="705" t="s">
        <v>14</v>
      </c>
      <c r="S19" s="706">
        <f>F19</f>
        <v>100</v>
      </c>
      <c r="T19" s="705" t="s">
        <v>14</v>
      </c>
      <c r="U19" s="706">
        <f>H19</f>
        <v>100</v>
      </c>
      <c r="V19" s="705" t="s">
        <v>14</v>
      </c>
      <c r="W19" s="706">
        <f>J19</f>
        <v>100</v>
      </c>
      <c r="X19" s="1355"/>
      <c r="Y19" s="37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7"/>
      <c r="Q20" s="1352"/>
      <c r="R20" s="705"/>
      <c r="S20" s="706"/>
      <c r="T20" s="705"/>
      <c r="U20" s="706"/>
      <c r="V20" s="705"/>
      <c r="W20" s="706"/>
      <c r="X20" s="1355"/>
      <c r="Y20" s="375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7"/>
      <c r="Q21" s="1352" t="str">
        <f t="shared" si="8"/>
        <v>环境状况</v>
      </c>
      <c r="R21" s="705" t="s">
        <v>14</v>
      </c>
      <c r="S21" s="706">
        <f>F21</f>
        <v>100</v>
      </c>
      <c r="T21" s="705" t="s">
        <v>14</v>
      </c>
      <c r="U21" s="706">
        <f>H21</f>
        <v>100</v>
      </c>
      <c r="V21" s="705" t="s">
        <v>14</v>
      </c>
      <c r="W21" s="706">
        <f>J21</f>
        <v>100</v>
      </c>
      <c r="X21" s="1355"/>
      <c r="Y21" s="37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7"/>
      <c r="Q23" s="1343" t="str">
        <f t="shared" si="8"/>
        <v>公共配套设施</v>
      </c>
      <c r="R23" s="701" t="s">
        <v>14</v>
      </c>
      <c r="S23" s="702">
        <f>F23</f>
        <v>100</v>
      </c>
      <c r="T23" s="701" t="s">
        <v>14</v>
      </c>
      <c r="U23" s="702">
        <f>H23</f>
        <v>100</v>
      </c>
      <c r="V23" s="701" t="s">
        <v>14</v>
      </c>
      <c r="W23" s="702">
        <f>J23</f>
        <v>100</v>
      </c>
      <c r="X23" s="703"/>
      <c r="Y23" s="37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7"/>
      <c r="Q24" s="1343"/>
      <c r="R24" s="701"/>
      <c r="S24" s="702"/>
      <c r="T24" s="701"/>
      <c r="U24" s="702"/>
      <c r="V24" s="701"/>
      <c r="W24" s="702"/>
      <c r="X24" s="703"/>
      <c r="Y24" s="375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7"/>
      <c r="Q25" s="1343" t="str">
        <f t="shared" ref="Q25" si="9">B25</f>
        <v>基础设施水平</v>
      </c>
      <c r="R25" s="701" t="s">
        <v>14</v>
      </c>
      <c r="S25" s="702">
        <f>F25</f>
        <v>100</v>
      </c>
      <c r="T25" s="701" t="s">
        <v>14</v>
      </c>
      <c r="U25" s="702">
        <f>H25</f>
        <v>100</v>
      </c>
      <c r="V25" s="701" t="s">
        <v>14</v>
      </c>
      <c r="W25" s="702">
        <f>J25</f>
        <v>100</v>
      </c>
      <c r="X25" s="703"/>
      <c r="Y25" s="37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7"/>
      <c r="Q26" s="1343"/>
      <c r="R26" s="701"/>
      <c r="S26" s="702"/>
      <c r="T26" s="701"/>
      <c r="U26" s="702"/>
      <c r="V26" s="701"/>
      <c r="W26" s="702"/>
      <c r="X26" s="703"/>
      <c r="Y26" s="375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7"/>
      <c r="Q28" s="1352" t="str">
        <f t="shared" si="8"/>
        <v>毗邻道路的类型与等级</v>
      </c>
      <c r="R28" s="705" t="s">
        <v>14</v>
      </c>
      <c r="S28" s="706">
        <f t="shared" si="10"/>
        <v>100</v>
      </c>
      <c r="T28" s="705" t="s">
        <v>14</v>
      </c>
      <c r="U28" s="706">
        <f t="shared" si="11"/>
        <v>100</v>
      </c>
      <c r="V28" s="705" t="s">
        <v>14</v>
      </c>
      <c r="W28" s="706">
        <f t="shared" si="12"/>
        <v>100</v>
      </c>
      <c r="X28" s="1355"/>
      <c r="Y28" s="37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7"/>
      <c r="Q29" s="1352"/>
      <c r="R29" s="705"/>
      <c r="S29" s="706"/>
      <c r="T29" s="705"/>
      <c r="U29" s="706"/>
      <c r="V29" s="705"/>
      <c r="W29" s="706"/>
      <c r="X29" s="1355"/>
      <c r="Y29" s="375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7"/>
      <c r="Q30" s="1352" t="str">
        <f t="shared" si="8"/>
        <v>土地级别</v>
      </c>
      <c r="R30" s="705" t="s">
        <v>14</v>
      </c>
      <c r="S30" s="706">
        <f t="shared" si="10"/>
        <v>100</v>
      </c>
      <c r="T30" s="705" t="s">
        <v>14</v>
      </c>
      <c r="U30" s="706">
        <f t="shared" si="11"/>
        <v>100</v>
      </c>
      <c r="V30" s="705" t="s">
        <v>14</v>
      </c>
      <c r="W30" s="706">
        <f t="shared" si="12"/>
        <v>100</v>
      </c>
      <c r="X30" s="1355"/>
      <c r="Y30" s="37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7"/>
      <c r="Q31" s="1352">
        <f t="shared" si="8"/>
        <v>111</v>
      </c>
      <c r="R31" s="705" t="s">
        <v>14</v>
      </c>
      <c r="S31" s="706">
        <f t="shared" si="10"/>
        <v>100</v>
      </c>
      <c r="T31" s="705" t="s">
        <v>14</v>
      </c>
      <c r="U31" s="706">
        <f t="shared" si="11"/>
        <v>100</v>
      </c>
      <c r="V31" s="705" t="s">
        <v>14</v>
      </c>
      <c r="W31" s="706">
        <f t="shared" si="12"/>
        <v>100</v>
      </c>
      <c r="X31" s="1355"/>
      <c r="Y31" s="37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0" t="s">
        <v>1695</v>
      </c>
      <c r="Q32" s="1352">
        <f t="shared" si="8"/>
        <v>111</v>
      </c>
      <c r="R32" s="705" t="s">
        <v>14</v>
      </c>
      <c r="S32" s="706">
        <f t="shared" si="10"/>
        <v>100</v>
      </c>
      <c r="T32" s="705" t="s">
        <v>14</v>
      </c>
      <c r="U32" s="706">
        <f t="shared" si="11"/>
        <v>100</v>
      </c>
      <c r="V32" s="705" t="s">
        <v>14</v>
      </c>
      <c r="W32" s="706">
        <f t="shared" si="12"/>
        <v>100</v>
      </c>
      <c r="X32" s="1355"/>
      <c r="Y32" s="37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1"/>
      <c r="Q33" s="1352">
        <f t="shared" si="8"/>
        <v>111</v>
      </c>
      <c r="R33" s="708" t="s">
        <v>14</v>
      </c>
      <c r="S33" s="709">
        <f t="shared" si="10"/>
        <v>100</v>
      </c>
      <c r="T33" s="708" t="s">
        <v>14</v>
      </c>
      <c r="U33" s="709">
        <f t="shared" si="11"/>
        <v>100</v>
      </c>
      <c r="V33" s="708" t="s">
        <v>14</v>
      </c>
      <c r="W33" s="709">
        <f t="shared" si="12"/>
        <v>100</v>
      </c>
      <c r="X33" s="710"/>
      <c r="Y33" s="37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1"/>
      <c r="Q34" s="1352" t="str">
        <f>B34</f>
        <v>宗地面积</v>
      </c>
      <c r="R34" s="705" t="s">
        <v>14</v>
      </c>
      <c r="S34" s="706" t="e">
        <f t="shared" si="10"/>
        <v>#N/A</v>
      </c>
      <c r="T34" s="705" t="s">
        <v>14</v>
      </c>
      <c r="U34" s="706" t="e">
        <f t="shared" si="11"/>
        <v>#N/A</v>
      </c>
      <c r="V34" s="705" t="s">
        <v>14</v>
      </c>
      <c r="W34" s="706" t="e">
        <f t="shared" si="12"/>
        <v>#N/A</v>
      </c>
      <c r="X34" s="1355"/>
      <c r="Y34" s="37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1"/>
      <c r="Q35" s="1352" t="str">
        <f t="shared" ref="Q35:Q40" si="14">B35</f>
        <v>宗地形状</v>
      </c>
      <c r="R35" s="705" t="s">
        <v>14</v>
      </c>
      <c r="S35" s="706">
        <f t="shared" si="10"/>
        <v>100</v>
      </c>
      <c r="T35" s="705" t="s">
        <v>14</v>
      </c>
      <c r="U35" s="706">
        <f t="shared" si="11"/>
        <v>100</v>
      </c>
      <c r="V35" s="705" t="s">
        <v>14</v>
      </c>
      <c r="W35" s="706">
        <f t="shared" si="12"/>
        <v>100</v>
      </c>
      <c r="X35" s="1355"/>
      <c r="Y35" s="37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1"/>
      <c r="Q36" s="1352" t="str">
        <f t="shared" si="14"/>
        <v>宗地开发程度</v>
      </c>
      <c r="R36" s="701" t="s">
        <v>14</v>
      </c>
      <c r="S36" s="702">
        <f t="shared" si="10"/>
        <v>100</v>
      </c>
      <c r="T36" s="701" t="s">
        <v>14</v>
      </c>
      <c r="U36" s="702">
        <f t="shared" si="11"/>
        <v>100</v>
      </c>
      <c r="V36" s="701" t="s">
        <v>14</v>
      </c>
      <c r="W36" s="702">
        <f t="shared" si="12"/>
        <v>100</v>
      </c>
      <c r="X36" s="703"/>
      <c r="Y36" s="37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1" t="s">
        <v>1695</v>
      </c>
      <c r="Q37" s="1352" t="str">
        <f t="shared" si="14"/>
        <v>工程地质条件</v>
      </c>
      <c r="R37" s="705" t="s">
        <v>14</v>
      </c>
      <c r="S37" s="706">
        <f t="shared" si="10"/>
        <v>100</v>
      </c>
      <c r="T37" s="705" t="s">
        <v>14</v>
      </c>
      <c r="U37" s="706">
        <f t="shared" si="11"/>
        <v>100</v>
      </c>
      <c r="V37" s="705" t="s">
        <v>14</v>
      </c>
      <c r="W37" s="706">
        <f t="shared" si="12"/>
        <v>100</v>
      </c>
      <c r="X37" s="1355"/>
      <c r="Y37" s="37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1"/>
      <c r="Q38" s="1352">
        <f t="shared" si="14"/>
        <v>111</v>
      </c>
      <c r="R38" s="705" t="s">
        <v>14</v>
      </c>
      <c r="S38" s="706">
        <f t="shared" si="10"/>
        <v>100</v>
      </c>
      <c r="T38" s="705" t="s">
        <v>14</v>
      </c>
      <c r="U38" s="706">
        <f t="shared" si="11"/>
        <v>100</v>
      </c>
      <c r="V38" s="705" t="s">
        <v>14</v>
      </c>
      <c r="W38" s="706">
        <f t="shared" si="12"/>
        <v>100</v>
      </c>
      <c r="X38" s="1355"/>
      <c r="Y38" s="37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1"/>
      <c r="Q39" s="1352">
        <f t="shared" si="14"/>
        <v>111</v>
      </c>
      <c r="R39" s="705" t="s">
        <v>14</v>
      </c>
      <c r="S39" s="706">
        <f t="shared" si="10"/>
        <v>100</v>
      </c>
      <c r="T39" s="705" t="s">
        <v>14</v>
      </c>
      <c r="U39" s="706">
        <f t="shared" si="11"/>
        <v>100</v>
      </c>
      <c r="V39" s="705" t="s">
        <v>14</v>
      </c>
      <c r="W39" s="706">
        <f t="shared" si="12"/>
        <v>100</v>
      </c>
      <c r="X39" s="1355"/>
      <c r="Y39" s="37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1"/>
      <c r="Q40" s="1352">
        <f t="shared" si="14"/>
        <v>111</v>
      </c>
      <c r="R40" s="708" t="s">
        <v>14</v>
      </c>
      <c r="S40" s="709">
        <f t="shared" si="10"/>
        <v>100</v>
      </c>
      <c r="T40" s="708" t="s">
        <v>14</v>
      </c>
      <c r="U40" s="709">
        <f t="shared" si="11"/>
        <v>100</v>
      </c>
      <c r="V40" s="708" t="s">
        <v>14</v>
      </c>
      <c r="W40" s="709">
        <f t="shared" si="12"/>
        <v>100</v>
      </c>
      <c r="X40" s="710"/>
      <c r="Y40" s="37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4" t="str">
        <f>A41</f>
        <v>成交单价</v>
      </c>
      <c r="Q41" s="3754"/>
      <c r="R41" s="3749">
        <f>E41</f>
        <v>0</v>
      </c>
      <c r="S41" s="3749"/>
      <c r="T41" s="3749">
        <f>G41</f>
        <v>0</v>
      </c>
      <c r="U41" s="3749"/>
      <c r="V41" s="3749">
        <f>I41</f>
        <v>0</v>
      </c>
      <c r="W41" s="374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4" t="str">
        <f>A42</f>
        <v>比较价值（元/平方米）</v>
      </c>
      <c r="Q42" s="3754"/>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1" t="str">
        <f>A43</f>
        <v>估价对象XX用房的比较价值（楼面单价，元/平方米）</v>
      </c>
      <c r="Q43" s="3752"/>
      <c r="R43" s="3783" t="e">
        <f>ROUND(IF(D42="简单平均",AVERAGE(R42:W42),R42*F42+T42*H42+V42*J42),0)</f>
        <v>#DIV/0!</v>
      </c>
      <c r="S43" s="3783"/>
      <c r="T43" s="3783"/>
      <c r="U43" s="3783"/>
      <c r="V43" s="3783"/>
      <c r="W43" s="37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7" t="s">
        <v>1886</v>
      </c>
      <c r="H50" s="378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52.28</v>
      </c>
      <c r="F51" s="639" t="e">
        <f t="shared" ref="F51:F60" si="15">ROUND(B51*E51/10000,0)</f>
        <v>#DIV/0!</v>
      </c>
      <c r="G51" s="3736"/>
      <c r="H51" s="375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0</v>
      </c>
      <c r="C2" s="2145" t="s">
        <v>2073</v>
      </c>
      <c r="D2" s="2145" t="s">
        <v>2074</v>
      </c>
      <c r="E2" s="2610">
        <f ca="1">SUMIF(E6:E13,"&lt;&gt;#ref!",E6:E13)</f>
        <v>52.28</v>
      </c>
      <c r="F2" s="2790"/>
      <c r="G2" s="2790"/>
      <c r="H2" s="2790"/>
      <c r="I2" s="2790"/>
      <c r="J2" s="2790"/>
      <c r="K2" s="2790"/>
      <c r="L2" s="2790"/>
      <c r="M2" s="2790"/>
      <c r="N2" s="2790"/>
      <c r="O2" s="2790"/>
      <c r="P2" s="2790"/>
    </row>
    <row r="3" spans="1:16" ht="15.75">
      <c r="A3" s="2145" t="s">
        <v>2075</v>
      </c>
      <c r="B3" s="2600">
        <f ca="1">ROUND(B2*10000/E2,0)</f>
        <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0</v>
      </c>
      <c r="C6" s="2145" t="s">
        <v>2073</v>
      </c>
      <c r="D6" s="2790"/>
      <c r="E6" s="2610">
        <f ca="1">SUMIF(INDIRECT("'"&amp;A6&amp;"'"&amp;"!C:C"),"建筑面积",INDIRECT("'"&amp;A6&amp;"'"&amp;"!D:D"))</f>
        <v>52.28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2" t="s">
        <v>2605</v>
      </c>
      <c r="B20" s="3795" t="s">
        <v>2626</v>
      </c>
      <c r="C20" s="3100" t="s">
        <v>2437</v>
      </c>
      <c r="D20" s="3101"/>
      <c r="E20" s="3102">
        <v>1</v>
      </c>
      <c r="F20" s="3103" t="s">
        <v>2438</v>
      </c>
      <c r="G20" s="3103"/>
    </row>
    <row r="21" spans="1:13" ht="19.5" customHeight="1">
      <c r="A21" s="3803"/>
      <c r="B21" s="3796"/>
      <c r="C21" s="3104" t="s">
        <v>2439</v>
      </c>
      <c r="D21" s="3105"/>
      <c r="E21" s="3106">
        <v>1</v>
      </c>
      <c r="F21" s="3103" t="s">
        <v>2440</v>
      </c>
      <c r="G21" s="3103"/>
    </row>
    <row r="22" spans="1:13" ht="19.5" customHeight="1">
      <c r="A22" s="3803"/>
      <c r="B22" s="3796"/>
      <c r="C22" s="3104" t="s">
        <v>2441</v>
      </c>
      <c r="D22" s="3105"/>
      <c r="E22" s="3106">
        <v>0.9</v>
      </c>
      <c r="F22" s="3103" t="s">
        <v>2442</v>
      </c>
      <c r="G22" s="3103"/>
    </row>
    <row r="23" spans="1:13" ht="19.5" customHeight="1">
      <c r="A23" s="3803"/>
      <c r="B23" s="3796"/>
      <c r="C23" s="3104" t="s">
        <v>2443</v>
      </c>
      <c r="D23" s="3105"/>
      <c r="E23" s="3106">
        <v>0.9</v>
      </c>
      <c r="F23" s="3103" t="s">
        <v>2444</v>
      </c>
      <c r="G23" s="3103"/>
    </row>
    <row r="24" spans="1:13" ht="19.5" customHeight="1">
      <c r="A24" s="3803"/>
      <c r="B24" s="3796"/>
      <c r="C24" s="3104" t="s">
        <v>2445</v>
      </c>
      <c r="D24" s="3105"/>
      <c r="E24" s="3106">
        <v>0.8</v>
      </c>
      <c r="F24" s="3103" t="s">
        <v>2446</v>
      </c>
      <c r="G24" s="3103"/>
    </row>
    <row r="25" spans="1:13" ht="19.5" customHeight="1" thickBot="1">
      <c r="A25" s="3804"/>
      <c r="B25" s="379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98" t="s">
        <v>2629</v>
      </c>
      <c r="B27" s="3795" t="s">
        <v>2610</v>
      </c>
      <c r="C27" s="3100" t="s">
        <v>2450</v>
      </c>
      <c r="D27" s="3101"/>
      <c r="E27" s="3102">
        <v>1</v>
      </c>
      <c r="F27" s="3103" t="s">
        <v>2451</v>
      </c>
      <c r="G27" s="3103"/>
    </row>
    <row r="28" spans="1:13" ht="19.5" customHeight="1">
      <c r="A28" s="3799"/>
      <c r="B28" s="3796"/>
      <c r="C28" s="3104" t="s">
        <v>2452</v>
      </c>
      <c r="D28" s="3105"/>
      <c r="E28" s="3106">
        <v>1</v>
      </c>
      <c r="F28" s="3103" t="s">
        <v>2453</v>
      </c>
      <c r="G28" s="3103"/>
    </row>
    <row r="29" spans="1:13" ht="19.5" customHeight="1">
      <c r="A29" s="3799"/>
      <c r="B29" s="3796"/>
      <c r="C29" s="3104" t="s">
        <v>2454</v>
      </c>
      <c r="D29" s="3105"/>
      <c r="E29" s="3106">
        <v>0.8</v>
      </c>
      <c r="F29" s="3103" t="s">
        <v>2455</v>
      </c>
      <c r="G29" s="3103"/>
    </row>
    <row r="30" spans="1:13" ht="19.5" customHeight="1">
      <c r="A30" s="3799"/>
      <c r="B30" s="3796"/>
      <c r="C30" s="3104" t="s">
        <v>2456</v>
      </c>
      <c r="D30" s="3105"/>
      <c r="E30" s="3106">
        <v>0.8</v>
      </c>
      <c r="F30" s="3103" t="s">
        <v>2457</v>
      </c>
      <c r="G30" s="3103"/>
    </row>
    <row r="31" spans="1:13" ht="19.5" customHeight="1">
      <c r="A31" s="3799"/>
      <c r="B31" s="3796"/>
      <c r="C31" s="3104" t="s">
        <v>2458</v>
      </c>
      <c r="D31" s="3105"/>
      <c r="E31" s="3106">
        <v>0.8</v>
      </c>
      <c r="F31" s="3103" t="s">
        <v>2459</v>
      </c>
      <c r="G31" s="3103"/>
    </row>
    <row r="32" spans="1:13" ht="19.5" customHeight="1">
      <c r="A32" s="3799"/>
      <c r="B32" s="3796"/>
      <c r="C32" s="3104" t="s">
        <v>2460</v>
      </c>
      <c r="D32" s="3105"/>
      <c r="E32" s="3106">
        <v>0.7</v>
      </c>
      <c r="F32" s="3103" t="s">
        <v>2461</v>
      </c>
      <c r="G32" s="3103"/>
    </row>
    <row r="33" spans="1:7" ht="19.5" customHeight="1">
      <c r="A33" s="3799"/>
      <c r="B33" s="3796"/>
      <c r="C33" s="3104" t="s">
        <v>2462</v>
      </c>
      <c r="D33" s="3105"/>
      <c r="E33" s="3106">
        <v>0.8</v>
      </c>
      <c r="F33" s="3103" t="s">
        <v>2463</v>
      </c>
      <c r="G33" s="3103"/>
    </row>
    <row r="34" spans="1:7" ht="19.5" customHeight="1">
      <c r="A34" s="3799"/>
      <c r="B34" s="3796"/>
      <c r="C34" s="3104" t="s">
        <v>2464</v>
      </c>
      <c r="D34" s="3105"/>
      <c r="E34" s="3106">
        <v>0.6</v>
      </c>
      <c r="F34" s="3103" t="s">
        <v>2465</v>
      </c>
      <c r="G34" s="3103"/>
    </row>
    <row r="35" spans="1:7" ht="19.5" customHeight="1">
      <c r="A35" s="3799"/>
      <c r="B35" s="3796"/>
      <c r="C35" s="3104" t="s">
        <v>2466</v>
      </c>
      <c r="D35" s="3105"/>
      <c r="E35" s="3106">
        <v>0.2</v>
      </c>
      <c r="F35" s="3103" t="s">
        <v>2467</v>
      </c>
      <c r="G35" s="3103"/>
    </row>
    <row r="36" spans="1:7" ht="19.5" customHeight="1">
      <c r="A36" s="3799"/>
      <c r="B36" s="3796"/>
      <c r="C36" s="3104" t="s">
        <v>2468</v>
      </c>
      <c r="D36" s="3105"/>
      <c r="E36" s="3106">
        <v>0.2</v>
      </c>
      <c r="F36" s="3103" t="s">
        <v>2469</v>
      </c>
      <c r="G36" s="3103"/>
    </row>
    <row r="37" spans="1:7" ht="19.5" customHeight="1">
      <c r="A37" s="3799"/>
      <c r="B37" s="3801" t="s">
        <v>2630</v>
      </c>
      <c r="C37" s="3104" t="s">
        <v>2470</v>
      </c>
      <c r="D37" s="3105"/>
      <c r="E37" s="3106">
        <v>0.6</v>
      </c>
      <c r="F37" s="3103" t="s">
        <v>2471</v>
      </c>
      <c r="G37" s="3103"/>
    </row>
    <row r="38" spans="1:7" ht="19.5" customHeight="1">
      <c r="A38" s="3799"/>
      <c r="B38" s="3796"/>
      <c r="C38" s="3104" t="s">
        <v>2472</v>
      </c>
      <c r="D38" s="3105"/>
      <c r="E38" s="3106">
        <v>0.6</v>
      </c>
      <c r="F38" s="3103" t="s">
        <v>2473</v>
      </c>
      <c r="G38" s="3103"/>
    </row>
    <row r="39" spans="1:7" ht="19.5" customHeight="1" thickBot="1">
      <c r="A39" s="3800"/>
      <c r="B39" s="379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2" t="s">
        <v>2608</v>
      </c>
      <c r="B41" s="3795" t="s">
        <v>2632</v>
      </c>
      <c r="C41" s="3100" t="s">
        <v>2477</v>
      </c>
      <c r="D41" s="3101"/>
      <c r="E41" s="3102">
        <v>1</v>
      </c>
      <c r="F41" s="3103" t="s">
        <v>2478</v>
      </c>
      <c r="G41" s="3103"/>
    </row>
    <row r="42" spans="1:7" ht="19.5" customHeight="1">
      <c r="A42" s="3803"/>
      <c r="B42" s="3796"/>
      <c r="C42" s="3104" t="s">
        <v>2479</v>
      </c>
      <c r="D42" s="3105"/>
      <c r="E42" s="3106">
        <v>1</v>
      </c>
      <c r="F42" s="3103" t="s">
        <v>2480</v>
      </c>
      <c r="G42" s="3103"/>
    </row>
    <row r="43" spans="1:7" ht="19.5" customHeight="1">
      <c r="A43" s="3803"/>
      <c r="B43" s="3805"/>
      <c r="C43" s="3104" t="s">
        <v>2481</v>
      </c>
      <c r="D43" s="3105"/>
      <c r="E43" s="3106">
        <v>1.5</v>
      </c>
      <c r="F43" s="3103" t="s">
        <v>2482</v>
      </c>
      <c r="G43" s="3103"/>
    </row>
    <row r="44" spans="1:7" ht="19.5" customHeight="1">
      <c r="A44" s="3803"/>
      <c r="B44" s="3115" t="s">
        <v>2633</v>
      </c>
      <c r="C44" s="3104" t="s">
        <v>2634</v>
      </c>
      <c r="D44" s="3105"/>
      <c r="E44" s="3106">
        <v>2</v>
      </c>
      <c r="F44" s="3103" t="s">
        <v>2483</v>
      </c>
      <c r="G44" s="3103"/>
    </row>
    <row r="45" spans="1:7" ht="19.5" customHeight="1">
      <c r="A45" s="3803"/>
      <c r="B45" s="3801" t="s">
        <v>2635</v>
      </c>
      <c r="C45" s="3104" t="s">
        <v>2484</v>
      </c>
      <c r="D45" s="3105"/>
      <c r="E45" s="3106">
        <v>1</v>
      </c>
      <c r="F45" s="3103" t="s">
        <v>2485</v>
      </c>
      <c r="G45" s="3103"/>
    </row>
    <row r="46" spans="1:7" ht="19.5" customHeight="1">
      <c r="A46" s="3803"/>
      <c r="B46" s="3796"/>
      <c r="C46" s="3104" t="s">
        <v>2486</v>
      </c>
      <c r="D46" s="3105"/>
      <c r="E46" s="3106">
        <v>1</v>
      </c>
      <c r="F46" s="3103" t="s">
        <v>2487</v>
      </c>
      <c r="G46" s="3103"/>
    </row>
    <row r="47" spans="1:7" ht="19.5" customHeight="1">
      <c r="A47" s="3803"/>
      <c r="B47" s="3796"/>
      <c r="C47" s="3104" t="s">
        <v>2488</v>
      </c>
      <c r="D47" s="3105"/>
      <c r="E47" s="3106">
        <v>1</v>
      </c>
      <c r="F47" s="3103" t="s">
        <v>2489</v>
      </c>
      <c r="G47" s="3103"/>
    </row>
    <row r="48" spans="1:7" ht="19.5" customHeight="1">
      <c r="A48" s="3803"/>
      <c r="B48" s="3796"/>
      <c r="C48" s="3104" t="s">
        <v>2490</v>
      </c>
      <c r="D48" s="3105"/>
      <c r="E48" s="3106">
        <v>1</v>
      </c>
      <c r="F48" s="3103" t="s">
        <v>2491</v>
      </c>
      <c r="G48" s="3103"/>
    </row>
    <row r="49" spans="1:7" ht="19.5" customHeight="1">
      <c r="A49" s="3803"/>
      <c r="B49" s="3796"/>
      <c r="C49" s="3104" t="s">
        <v>2492</v>
      </c>
      <c r="D49" s="3105"/>
      <c r="E49" s="3106">
        <v>1</v>
      </c>
      <c r="F49" s="3103" t="s">
        <v>2493</v>
      </c>
      <c r="G49" s="3103"/>
    </row>
    <row r="50" spans="1:7" ht="19.5" customHeight="1">
      <c r="A50" s="3803"/>
      <c r="B50" s="3796"/>
      <c r="C50" s="3104" t="s">
        <v>2494</v>
      </c>
      <c r="D50" s="3105"/>
      <c r="E50" s="3106">
        <v>1</v>
      </c>
      <c r="F50" s="3103" t="s">
        <v>2495</v>
      </c>
      <c r="G50" s="3103"/>
    </row>
    <row r="51" spans="1:7" ht="19.5" customHeight="1" thickBot="1">
      <c r="A51" s="3804"/>
      <c r="B51" s="379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1" t="s">
        <v>2649</v>
      </c>
      <c r="C73" s="3089" t="s">
        <v>2650</v>
      </c>
      <c r="D73" s="3089" t="s">
        <v>2651</v>
      </c>
      <c r="E73" s="3115">
        <v>0.2</v>
      </c>
      <c r="F73" s="3115">
        <v>25</v>
      </c>
    </row>
    <row r="74" spans="1:7" ht="24">
      <c r="A74" s="3115">
        <v>2</v>
      </c>
      <c r="B74" s="3796"/>
      <c r="C74" s="3089" t="s">
        <v>2652</v>
      </c>
      <c r="D74" s="3089" t="s">
        <v>2653</v>
      </c>
      <c r="E74" s="3115">
        <v>0.2</v>
      </c>
      <c r="F74" s="3115">
        <v>25</v>
      </c>
    </row>
    <row r="75" spans="1:7" ht="24">
      <c r="A75" s="3115">
        <v>3</v>
      </c>
      <c r="B75" s="3796"/>
      <c r="C75" s="3089" t="s">
        <v>2654</v>
      </c>
      <c r="D75" s="3089" t="s">
        <v>2655</v>
      </c>
      <c r="E75" s="3115">
        <v>0.2</v>
      </c>
      <c r="F75" s="3115">
        <v>25</v>
      </c>
    </row>
    <row r="76" spans="1:7" ht="13.5">
      <c r="A76" s="3115">
        <v>4</v>
      </c>
      <c r="B76" s="3796"/>
      <c r="C76" s="3089" t="s">
        <v>2656</v>
      </c>
      <c r="D76" s="3089" t="s">
        <v>2657</v>
      </c>
      <c r="E76" s="3115">
        <v>0.15</v>
      </c>
      <c r="F76" s="3115">
        <v>20</v>
      </c>
    </row>
    <row r="77" spans="1:7" ht="24">
      <c r="A77" s="3115">
        <v>5</v>
      </c>
      <c r="B77" s="3796"/>
      <c r="C77" s="3089" t="s">
        <v>2658</v>
      </c>
      <c r="D77" s="3089" t="s">
        <v>2659</v>
      </c>
      <c r="E77" s="3115">
        <v>0.15</v>
      </c>
      <c r="F77" s="3115">
        <v>20</v>
      </c>
    </row>
    <row r="78" spans="1:7" ht="24">
      <c r="A78" s="3115">
        <v>6</v>
      </c>
      <c r="B78" s="3796"/>
      <c r="C78" s="3089" t="s">
        <v>2660</v>
      </c>
      <c r="D78" s="3089" t="s">
        <v>2661</v>
      </c>
      <c r="E78" s="3115">
        <v>0.15</v>
      </c>
      <c r="F78" s="3115">
        <v>20</v>
      </c>
    </row>
    <row r="79" spans="1:7" ht="24">
      <c r="A79" s="3115">
        <v>7</v>
      </c>
      <c r="B79" s="3796"/>
      <c r="C79" s="3089" t="s">
        <v>2662</v>
      </c>
      <c r="D79" s="3089" t="s">
        <v>2663</v>
      </c>
      <c r="E79" s="3115">
        <v>0.15</v>
      </c>
      <c r="F79" s="3115">
        <v>20</v>
      </c>
    </row>
    <row r="80" spans="1:7" ht="24">
      <c r="A80" s="3115">
        <v>8</v>
      </c>
      <c r="B80" s="3796"/>
      <c r="C80" s="3089" t="s">
        <v>2664</v>
      </c>
      <c r="D80" s="3089" t="s">
        <v>2665</v>
      </c>
      <c r="E80" s="3115">
        <v>0.1</v>
      </c>
      <c r="F80" s="3115">
        <v>15</v>
      </c>
    </row>
    <row r="81" spans="1:6" ht="24">
      <c r="A81" s="3115">
        <v>9</v>
      </c>
      <c r="B81" s="3796"/>
      <c r="C81" s="3089" t="s">
        <v>2666</v>
      </c>
      <c r="D81" s="3089" t="s">
        <v>2667</v>
      </c>
      <c r="E81" s="3115">
        <v>0.1</v>
      </c>
      <c r="F81" s="3115">
        <v>15</v>
      </c>
    </row>
    <row r="82" spans="1:6" ht="24">
      <c r="A82" s="3115">
        <v>10</v>
      </c>
      <c r="B82" s="3796"/>
      <c r="C82" s="3089" t="s">
        <v>2668</v>
      </c>
      <c r="D82" s="3089" t="s">
        <v>2669</v>
      </c>
      <c r="E82" s="3115">
        <v>0.1</v>
      </c>
      <c r="F82" s="3115">
        <v>15</v>
      </c>
    </row>
    <row r="83" spans="1:6" ht="24">
      <c r="A83" s="3115">
        <v>11</v>
      </c>
      <c r="B83" s="3796"/>
      <c r="C83" s="3089" t="s">
        <v>2670</v>
      </c>
      <c r="D83" s="3089" t="s">
        <v>2671</v>
      </c>
      <c r="E83" s="3115">
        <v>0.1</v>
      </c>
      <c r="F83" s="3115">
        <v>15</v>
      </c>
    </row>
    <row r="84" spans="1:6" ht="24">
      <c r="A84" s="3115">
        <v>12</v>
      </c>
      <c r="B84" s="3796"/>
      <c r="C84" s="3089" t="s">
        <v>2672</v>
      </c>
      <c r="D84" s="3089" t="s">
        <v>2673</v>
      </c>
      <c r="E84" s="3115">
        <v>0.1</v>
      </c>
      <c r="F84" s="3115">
        <v>15</v>
      </c>
    </row>
    <row r="85" spans="1:6" ht="13.5">
      <c r="A85" s="3115">
        <v>13</v>
      </c>
      <c r="B85" s="3796"/>
      <c r="C85" s="3089" t="s">
        <v>2674</v>
      </c>
      <c r="D85" s="3089" t="s">
        <v>2675</v>
      </c>
      <c r="E85" s="3115">
        <v>0.1</v>
      </c>
      <c r="F85" s="3115">
        <v>15</v>
      </c>
    </row>
    <row r="86" spans="1:6" ht="13.5">
      <c r="A86" s="3115">
        <v>14</v>
      </c>
      <c r="B86" s="3796"/>
      <c r="C86" s="3089" t="s">
        <v>2676</v>
      </c>
      <c r="D86" s="3089" t="s">
        <v>2677</v>
      </c>
      <c r="E86" s="3115">
        <v>0.1</v>
      </c>
      <c r="F86" s="3115">
        <v>15</v>
      </c>
    </row>
    <row r="87" spans="1:6" ht="13.5">
      <c r="A87" s="3115">
        <v>15</v>
      </c>
      <c r="B87" s="3796"/>
      <c r="C87" s="3089" t="s">
        <v>2678</v>
      </c>
      <c r="D87" s="3089" t="s">
        <v>2679</v>
      </c>
      <c r="E87" s="3115">
        <v>0.1</v>
      </c>
      <c r="F87" s="3115">
        <v>15</v>
      </c>
    </row>
    <row r="88" spans="1:6" ht="24">
      <c r="A88" s="3115">
        <v>16</v>
      </c>
      <c r="B88" s="3796"/>
      <c r="C88" s="3089" t="s">
        <v>2680</v>
      </c>
      <c r="D88" s="3089" t="s">
        <v>2681</v>
      </c>
      <c r="E88" s="3115">
        <v>0.1</v>
      </c>
      <c r="F88" s="3115">
        <v>15</v>
      </c>
    </row>
    <row r="89" spans="1:6" ht="24">
      <c r="A89" s="3115">
        <v>17</v>
      </c>
      <c r="B89" s="3805"/>
      <c r="C89" s="3089" t="s">
        <v>2682</v>
      </c>
      <c r="D89" s="3089" t="s">
        <v>2683</v>
      </c>
      <c r="E89" s="3115">
        <v>0.1</v>
      </c>
      <c r="F89" s="3115">
        <v>15</v>
      </c>
    </row>
    <row r="90" spans="1:6" ht="13.5">
      <c r="A90" s="3115">
        <v>18</v>
      </c>
      <c r="B90" s="3801" t="s">
        <v>2684</v>
      </c>
      <c r="C90" s="3089" t="s">
        <v>2685</v>
      </c>
      <c r="D90" s="3089" t="s">
        <v>2686</v>
      </c>
      <c r="E90" s="3115">
        <v>0.2</v>
      </c>
      <c r="F90" s="3115">
        <v>25</v>
      </c>
    </row>
    <row r="91" spans="1:6" ht="24">
      <c r="A91" s="3115">
        <v>19</v>
      </c>
      <c r="B91" s="3796"/>
      <c r="C91" s="3089" t="s">
        <v>2687</v>
      </c>
      <c r="D91" s="3089" t="s">
        <v>2688</v>
      </c>
      <c r="E91" s="3115">
        <v>0.2</v>
      </c>
      <c r="F91" s="3115">
        <v>25</v>
      </c>
    </row>
    <row r="92" spans="1:6" ht="13.5">
      <c r="A92" s="3115">
        <v>20</v>
      </c>
      <c r="B92" s="3796"/>
      <c r="C92" s="3089" t="s">
        <v>2689</v>
      </c>
      <c r="D92" s="3089" t="s">
        <v>2690</v>
      </c>
      <c r="E92" s="3115">
        <v>0.15</v>
      </c>
      <c r="F92" s="3115">
        <v>20</v>
      </c>
    </row>
    <row r="93" spans="1:6" ht="13.5">
      <c r="A93" s="3115">
        <v>21</v>
      </c>
      <c r="B93" s="3796"/>
      <c r="C93" s="3089" t="s">
        <v>2691</v>
      </c>
      <c r="D93" s="3089" t="s">
        <v>2692</v>
      </c>
      <c r="E93" s="3115">
        <v>0.15</v>
      </c>
      <c r="F93" s="3115">
        <v>20</v>
      </c>
    </row>
    <row r="94" spans="1:6" ht="13.5">
      <c r="A94" s="3115">
        <v>22</v>
      </c>
      <c r="B94" s="3796"/>
      <c r="C94" s="3089" t="s">
        <v>2693</v>
      </c>
      <c r="D94" s="3089" t="s">
        <v>2694</v>
      </c>
      <c r="E94" s="3115">
        <v>0.15</v>
      </c>
      <c r="F94" s="3115">
        <v>20</v>
      </c>
    </row>
    <row r="95" spans="1:6" ht="36">
      <c r="A95" s="3115">
        <v>23</v>
      </c>
      <c r="B95" s="3796"/>
      <c r="C95" s="3089" t="s">
        <v>2695</v>
      </c>
      <c r="D95" s="3089" t="s">
        <v>2696</v>
      </c>
      <c r="E95" s="3115">
        <v>0.15</v>
      </c>
      <c r="F95" s="3115">
        <v>20</v>
      </c>
    </row>
    <row r="96" spans="1:6" ht="13.5">
      <c r="A96" s="3115">
        <v>24</v>
      </c>
      <c r="B96" s="3796"/>
      <c r="C96" s="3089" t="s">
        <v>2697</v>
      </c>
      <c r="D96" s="3089" t="s">
        <v>2698</v>
      </c>
      <c r="E96" s="3115">
        <v>0.1</v>
      </c>
      <c r="F96" s="3115">
        <v>15</v>
      </c>
    </row>
    <row r="97" spans="1:6" ht="13.5">
      <c r="A97" s="3115">
        <v>25</v>
      </c>
      <c r="B97" s="3796"/>
      <c r="C97" s="3089" t="s">
        <v>2699</v>
      </c>
      <c r="D97" s="3089" t="s">
        <v>2700</v>
      </c>
      <c r="E97" s="3115">
        <v>0.1</v>
      </c>
      <c r="F97" s="3115">
        <v>15</v>
      </c>
    </row>
    <row r="98" spans="1:6" ht="24">
      <c r="A98" s="3115">
        <v>26</v>
      </c>
      <c r="B98" s="3796"/>
      <c r="C98" s="3089" t="s">
        <v>2701</v>
      </c>
      <c r="D98" s="3089" t="s">
        <v>2702</v>
      </c>
      <c r="E98" s="3115">
        <v>0.1</v>
      </c>
      <c r="F98" s="3115">
        <v>15</v>
      </c>
    </row>
    <row r="99" spans="1:6" ht="24">
      <c r="A99" s="3115">
        <v>27</v>
      </c>
      <c r="B99" s="3796"/>
      <c r="C99" s="3089" t="s">
        <v>2703</v>
      </c>
      <c r="D99" s="3089" t="s">
        <v>2704</v>
      </c>
      <c r="E99" s="3115">
        <v>0.1</v>
      </c>
      <c r="F99" s="3115">
        <v>15</v>
      </c>
    </row>
    <row r="100" spans="1:6" ht="13.5">
      <c r="A100" s="3115">
        <v>28</v>
      </c>
      <c r="B100" s="3796"/>
      <c r="C100" s="3089" t="s">
        <v>2705</v>
      </c>
      <c r="D100" s="3089" t="s">
        <v>2706</v>
      </c>
      <c r="E100" s="3115">
        <v>0.1</v>
      </c>
      <c r="F100" s="3115">
        <v>15</v>
      </c>
    </row>
    <row r="101" spans="1:6" ht="13.5">
      <c r="A101" s="3115">
        <v>29</v>
      </c>
      <c r="B101" s="3796"/>
      <c r="C101" s="3089" t="s">
        <v>2707</v>
      </c>
      <c r="D101" s="3089" t="s">
        <v>2708</v>
      </c>
      <c r="E101" s="3115">
        <v>0.1</v>
      </c>
      <c r="F101" s="3115">
        <v>15</v>
      </c>
    </row>
    <row r="102" spans="1:6" ht="13.5">
      <c r="A102" s="3115">
        <v>30</v>
      </c>
      <c r="B102" s="3796"/>
      <c r="C102" s="3089" t="s">
        <v>2709</v>
      </c>
      <c r="D102" s="3089" t="s">
        <v>2710</v>
      </c>
      <c r="E102" s="3115">
        <v>0.1</v>
      </c>
      <c r="F102" s="3115">
        <v>15</v>
      </c>
    </row>
    <row r="103" spans="1:6" ht="24">
      <c r="A103" s="3115">
        <v>31</v>
      </c>
      <c r="B103" s="3796"/>
      <c r="C103" s="3089" t="s">
        <v>2711</v>
      </c>
      <c r="D103" s="3089" t="s">
        <v>2712</v>
      </c>
      <c r="E103" s="3115">
        <v>0.1</v>
      </c>
      <c r="F103" s="3115">
        <v>15</v>
      </c>
    </row>
    <row r="104" spans="1:6" ht="24">
      <c r="A104" s="3115">
        <v>32</v>
      </c>
      <c r="B104" s="3796"/>
      <c r="C104" s="3089" t="s">
        <v>2713</v>
      </c>
      <c r="D104" s="3089" t="s">
        <v>2714</v>
      </c>
      <c r="E104" s="3115">
        <v>0.1</v>
      </c>
      <c r="F104" s="3115">
        <v>15</v>
      </c>
    </row>
    <row r="105" spans="1:6" ht="24">
      <c r="A105" s="3115">
        <v>33</v>
      </c>
      <c r="B105" s="3796"/>
      <c r="C105" s="3089" t="s">
        <v>2715</v>
      </c>
      <c r="D105" s="3089" t="s">
        <v>2716</v>
      </c>
      <c r="E105" s="3115">
        <v>0.1</v>
      </c>
      <c r="F105" s="3115">
        <v>15</v>
      </c>
    </row>
    <row r="106" spans="1:6" ht="24">
      <c r="A106" s="3115">
        <v>34</v>
      </c>
      <c r="B106" s="3805"/>
      <c r="C106" s="3089" t="s">
        <v>2717</v>
      </c>
      <c r="D106" s="3089" t="s">
        <v>2718</v>
      </c>
      <c r="E106" s="3115">
        <v>0.1</v>
      </c>
      <c r="F106" s="3115">
        <v>15</v>
      </c>
    </row>
    <row r="107" spans="1:6" ht="24">
      <c r="A107" s="3115">
        <v>35</v>
      </c>
      <c r="B107" s="3801" t="s">
        <v>2719</v>
      </c>
      <c r="C107" s="3115" t="s">
        <v>2720</v>
      </c>
      <c r="D107" s="3089" t="s">
        <v>2721</v>
      </c>
      <c r="E107" s="3115">
        <v>0.15</v>
      </c>
      <c r="F107" s="3115">
        <v>20</v>
      </c>
    </row>
    <row r="108" spans="1:6" ht="13.5">
      <c r="A108" s="3115">
        <v>36</v>
      </c>
      <c r="B108" s="3796"/>
      <c r="C108" s="3115" t="s">
        <v>2722</v>
      </c>
      <c r="D108" s="3089" t="s">
        <v>2723</v>
      </c>
      <c r="E108" s="3115">
        <v>0.15</v>
      </c>
      <c r="F108" s="3115">
        <v>20</v>
      </c>
    </row>
    <row r="109" spans="1:6" ht="13.5">
      <c r="A109" s="3115">
        <v>37</v>
      </c>
      <c r="B109" s="3796"/>
      <c r="C109" s="3115" t="s">
        <v>2724</v>
      </c>
      <c r="D109" s="3089" t="s">
        <v>2725</v>
      </c>
      <c r="E109" s="3115">
        <v>0.15</v>
      </c>
      <c r="F109" s="3115">
        <v>20</v>
      </c>
    </row>
    <row r="110" spans="1:6" ht="13.5">
      <c r="A110" s="3115">
        <v>38</v>
      </c>
      <c r="B110" s="3796"/>
      <c r="C110" s="3115" t="s">
        <v>2726</v>
      </c>
      <c r="D110" s="3089" t="s">
        <v>2727</v>
      </c>
      <c r="E110" s="3115">
        <v>0.1</v>
      </c>
      <c r="F110" s="3115">
        <v>15</v>
      </c>
    </row>
    <row r="111" spans="1:6" ht="24">
      <c r="A111" s="3115">
        <v>39</v>
      </c>
      <c r="B111" s="3796"/>
      <c r="C111" s="3115" t="s">
        <v>2728</v>
      </c>
      <c r="D111" s="3089" t="s">
        <v>2729</v>
      </c>
      <c r="E111" s="3115">
        <v>0.1</v>
      </c>
      <c r="F111" s="3115">
        <v>15</v>
      </c>
    </row>
    <row r="112" spans="1:6" ht="24">
      <c r="A112" s="3115">
        <v>40</v>
      </c>
      <c r="B112" s="3805"/>
      <c r="C112" s="3115" t="s">
        <v>2730</v>
      </c>
      <c r="D112" s="3089" t="s">
        <v>2731</v>
      </c>
      <c r="E112" s="3115">
        <v>0.1</v>
      </c>
      <c r="F112" s="3115">
        <v>15</v>
      </c>
    </row>
    <row r="113" spans="1:6" ht="13.5">
      <c r="A113" s="3115">
        <v>41</v>
      </c>
      <c r="B113" s="3806" t="s">
        <v>2732</v>
      </c>
      <c r="C113" s="3115" t="s">
        <v>2733</v>
      </c>
      <c r="D113" s="3089" t="s">
        <v>2734</v>
      </c>
      <c r="E113" s="3115">
        <v>0.1</v>
      </c>
      <c r="F113" s="3115">
        <v>15</v>
      </c>
    </row>
    <row r="114" spans="1:6" ht="13.5">
      <c r="A114" s="3115">
        <v>42</v>
      </c>
      <c r="B114" s="3806"/>
      <c r="C114" s="3115" t="s">
        <v>2735</v>
      </c>
      <c r="D114" s="3089" t="s">
        <v>2736</v>
      </c>
      <c r="E114" s="3115">
        <v>0.1</v>
      </c>
      <c r="F114" s="3115">
        <v>15</v>
      </c>
    </row>
    <row r="115" spans="1:6" ht="24">
      <c r="A115" s="3115">
        <v>43</v>
      </c>
      <c r="B115" s="3806"/>
      <c r="C115" s="3115" t="s">
        <v>2737</v>
      </c>
      <c r="D115" s="3089" t="s">
        <v>2738</v>
      </c>
      <c r="E115" s="3115">
        <v>0.1</v>
      </c>
      <c r="F115" s="3115">
        <v>15</v>
      </c>
    </row>
    <row r="116" spans="1:6" ht="13.5">
      <c r="A116" s="3115">
        <v>44</v>
      </c>
      <c r="B116" s="3801" t="s">
        <v>2739</v>
      </c>
      <c r="C116" s="3115" t="s">
        <v>2740</v>
      </c>
      <c r="D116" s="3089" t="s">
        <v>2741</v>
      </c>
      <c r="E116" s="3115">
        <v>0.1</v>
      </c>
      <c r="F116" s="3115">
        <v>15</v>
      </c>
    </row>
    <row r="117" spans="1:6" ht="24">
      <c r="A117" s="3115">
        <v>45</v>
      </c>
      <c r="B117" s="3805"/>
      <c r="C117" s="3089" t="s">
        <v>2742</v>
      </c>
      <c r="D117" s="3089" t="s">
        <v>2743</v>
      </c>
      <c r="E117" s="3115">
        <v>0.1</v>
      </c>
      <c r="F117" s="3115">
        <v>15</v>
      </c>
    </row>
    <row r="118" spans="1:6" ht="24">
      <c r="A118" s="3115">
        <v>46</v>
      </c>
      <c r="B118" s="3801" t="s">
        <v>2744</v>
      </c>
      <c r="C118" s="3115" t="s">
        <v>2745</v>
      </c>
      <c r="D118" s="3089" t="s">
        <v>2746</v>
      </c>
      <c r="E118" s="3115">
        <v>0.1</v>
      </c>
      <c r="F118" s="3115">
        <v>15</v>
      </c>
    </row>
    <row r="119" spans="1:6" ht="24">
      <c r="A119" s="3115">
        <v>47</v>
      </c>
      <c r="B119" s="3805"/>
      <c r="C119" s="3115" t="s">
        <v>2747</v>
      </c>
      <c r="D119" s="3089" t="s">
        <v>2748</v>
      </c>
      <c r="E119" s="3115">
        <v>0.1</v>
      </c>
      <c r="F119" s="3115">
        <v>15</v>
      </c>
    </row>
    <row r="120" spans="1:6" ht="13.5">
      <c r="A120" s="3115">
        <v>48</v>
      </c>
      <c r="B120" s="3801" t="s">
        <v>2749</v>
      </c>
      <c r="C120" s="3115" t="s">
        <v>2750</v>
      </c>
      <c r="D120" s="3089" t="s">
        <v>2751</v>
      </c>
      <c r="E120" s="3115">
        <v>0.1</v>
      </c>
      <c r="F120" s="3115">
        <v>15</v>
      </c>
    </row>
    <row r="121" spans="1:6" ht="13.5">
      <c r="A121" s="3115">
        <v>49</v>
      </c>
      <c r="B121" s="3805"/>
      <c r="C121" s="3115" t="s">
        <v>2752</v>
      </c>
      <c r="D121" s="3089" t="s">
        <v>2753</v>
      </c>
      <c r="E121" s="3115">
        <v>0.1</v>
      </c>
      <c r="F121" s="3115">
        <v>15</v>
      </c>
    </row>
    <row r="122" spans="1:6" ht="24">
      <c r="A122" s="3115">
        <v>50</v>
      </c>
      <c r="B122" s="3806" t="s">
        <v>2754</v>
      </c>
      <c r="C122" s="3115" t="s">
        <v>2755</v>
      </c>
      <c r="D122" s="3089" t="s">
        <v>2756</v>
      </c>
      <c r="E122" s="3115">
        <v>0.1</v>
      </c>
      <c r="F122" s="3115">
        <v>15</v>
      </c>
    </row>
    <row r="123" spans="1:6" ht="24">
      <c r="A123" s="3115">
        <v>51</v>
      </c>
      <c r="B123" s="3806"/>
      <c r="C123" s="3115" t="s">
        <v>2757</v>
      </c>
      <c r="D123" s="3089" t="s">
        <v>2758</v>
      </c>
      <c r="E123" s="3115">
        <v>0.1</v>
      </c>
      <c r="F123" s="3115">
        <v>15</v>
      </c>
    </row>
    <row r="124" spans="1:6" ht="24">
      <c r="A124" s="3115">
        <v>52</v>
      </c>
      <c r="B124" s="3806" t="s">
        <v>2759</v>
      </c>
      <c r="C124" s="3115" t="s">
        <v>2760</v>
      </c>
      <c r="D124" s="3089" t="s">
        <v>2761</v>
      </c>
      <c r="E124" s="3115">
        <v>0.1</v>
      </c>
      <c r="F124" s="3115">
        <v>15</v>
      </c>
    </row>
    <row r="125" spans="1:6" ht="24">
      <c r="A125" s="3115">
        <v>53</v>
      </c>
      <c r="B125" s="380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6" t="s">
        <v>2767</v>
      </c>
      <c r="C127" s="3115" t="s">
        <v>2768</v>
      </c>
      <c r="D127" s="3089" t="s">
        <v>2769</v>
      </c>
      <c r="E127" s="3115">
        <v>0.1</v>
      </c>
      <c r="F127" s="3115">
        <v>15</v>
      </c>
    </row>
    <row r="128" spans="1:6" ht="13.5">
      <c r="A128" s="3115">
        <v>56</v>
      </c>
      <c r="B128" s="3806"/>
      <c r="C128" s="3115" t="s">
        <v>2770</v>
      </c>
      <c r="D128" s="3089" t="s">
        <v>2771</v>
      </c>
      <c r="E128" s="3115">
        <v>0.1</v>
      </c>
      <c r="F128" s="3115">
        <v>15</v>
      </c>
    </row>
    <row r="129" spans="1:6" ht="24">
      <c r="A129" s="3115">
        <v>57</v>
      </c>
      <c r="B129" s="3806"/>
      <c r="C129" s="3115" t="s">
        <v>2772</v>
      </c>
      <c r="D129" s="3089" t="s">
        <v>2773</v>
      </c>
      <c r="E129" s="3115">
        <v>0.1</v>
      </c>
      <c r="F129" s="3115">
        <v>15</v>
      </c>
    </row>
    <row r="130" spans="1:6" ht="24">
      <c r="A130" s="3115">
        <v>58</v>
      </c>
      <c r="B130" s="3806" t="s">
        <v>2774</v>
      </c>
      <c r="C130" s="3115" t="s">
        <v>2775</v>
      </c>
      <c r="D130" s="3089" t="s">
        <v>2776</v>
      </c>
      <c r="E130" s="3115">
        <v>0.1</v>
      </c>
      <c r="F130" s="3115">
        <v>15</v>
      </c>
    </row>
    <row r="131" spans="1:6" ht="13.5">
      <c r="A131" s="3115">
        <v>59</v>
      </c>
      <c r="B131" s="3806"/>
      <c r="C131" s="3115" t="s">
        <v>2777</v>
      </c>
      <c r="D131" s="3089" t="s">
        <v>2778</v>
      </c>
      <c r="E131" s="3115">
        <v>0.1</v>
      </c>
      <c r="F131" s="3115">
        <v>15</v>
      </c>
    </row>
    <row r="132" spans="1:6" ht="13.5">
      <c r="A132" s="3115">
        <v>60</v>
      </c>
      <c r="B132" s="3801" t="s">
        <v>2779</v>
      </c>
      <c r="C132" s="3115" t="s">
        <v>2780</v>
      </c>
      <c r="D132" s="3089" t="s">
        <v>2781</v>
      </c>
      <c r="E132" s="3115">
        <v>0.1</v>
      </c>
      <c r="F132" s="3115">
        <v>15</v>
      </c>
    </row>
    <row r="133" spans="1:6" ht="13.5">
      <c r="A133" s="3115">
        <v>61</v>
      </c>
      <c r="B133" s="380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6" t="s">
        <v>2787</v>
      </c>
      <c r="C135" s="3115" t="s">
        <v>2788</v>
      </c>
      <c r="D135" s="3089" t="s">
        <v>2789</v>
      </c>
      <c r="E135" s="3115">
        <v>0.1</v>
      </c>
      <c r="F135" s="3115">
        <v>15</v>
      </c>
    </row>
    <row r="136" spans="1:6" ht="13.5">
      <c r="A136" s="3115">
        <v>64</v>
      </c>
      <c r="B136" s="380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136</v>
      </c>
      <c r="E5" s="1491"/>
    </row>
    <row r="6" spans="1:5" ht="15.75">
      <c r="A6" s="1491"/>
      <c r="B6" s="3490"/>
      <c r="C6" s="1494" t="s">
        <v>911</v>
      </c>
      <c r="D6" s="850" t="str">
        <f ca="1">NUMBERSTRING(INT(D5*10000),2)&amp;"元整"</f>
        <v>壹佰叁拾陆万元整</v>
      </c>
      <c r="E6" s="1491"/>
    </row>
    <row r="7" spans="1:5" ht="15.75">
      <c r="A7" s="1491"/>
      <c r="B7" s="3495"/>
      <c r="C7" s="1495" t="s">
        <v>912</v>
      </c>
      <c r="D7" s="851">
        <f ca="1">结果表!H102</f>
        <v>26014</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136</v>
      </c>
      <c r="E13" s="1491"/>
    </row>
    <row r="14" spans="1:5" ht="15.75">
      <c r="A14" s="1491"/>
      <c r="B14" s="3490"/>
      <c r="C14" s="1494" t="s">
        <v>911</v>
      </c>
      <c r="D14" s="850" t="str">
        <f ca="1">NUMBERSTRING(INT(D13*10000),2)&amp;"元整"</f>
        <v>壹佰叁拾陆万元整</v>
      </c>
      <c r="E14" s="1491"/>
    </row>
    <row r="15" spans="1:5" ht="15">
      <c r="A15" s="1491"/>
      <c r="B15" s="3495"/>
      <c r="C15" s="1495" t="s">
        <v>921</v>
      </c>
      <c r="D15" s="859">
        <f ca="1">结果表!H108</f>
        <v>26014</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29275</v>
      </c>
      <c r="C2" s="2" t="s">
        <v>106</v>
      </c>
      <c r="D2" s="199"/>
      <c r="E2" s="199"/>
      <c r="F2" s="199"/>
      <c r="G2" s="199"/>
    </row>
    <row r="3" spans="1:7" s="200" customFormat="1" ht="18" customHeight="1" thickBot="1">
      <c r="A3" s="203" t="s">
        <v>58</v>
      </c>
      <c r="B3" s="204">
        <f ca="1">ROUND(B2*10000/'数据-汇总表'!E3,0)</f>
        <v>5599656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52.28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52.28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52.28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8.0000000000000004E-4</v>
      </c>
      <c r="D44" s="238"/>
      <c r="E44" s="238"/>
      <c r="F44" s="239"/>
      <c r="G44" s="3692"/>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29275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9" t="s">
        <v>2839</v>
      </c>
      <c r="B1" s="3809"/>
      <c r="C1" s="3809"/>
      <c r="D1" s="3809"/>
      <c r="E1" s="3809"/>
      <c r="F1" s="3809"/>
      <c r="G1" s="381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7"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0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1" t="s">
        <v>3181</v>
      </c>
      <c r="B1" s="3811"/>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2" t="s">
        <v>3232</v>
      </c>
      <c r="B1" s="3812"/>
      <c r="C1" s="3812"/>
      <c r="D1" s="3812"/>
      <c r="E1" s="3812"/>
      <c r="F1" s="381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4" t="s">
        <v>2826</v>
      </c>
      <c r="S21" s="3815"/>
      <c r="T21" s="3815"/>
      <c r="U21" s="3815"/>
      <c r="V21" s="3815"/>
      <c r="W21" s="3815"/>
      <c r="X21" s="3162"/>
      <c r="Y21" s="3814" t="s">
        <v>2827</v>
      </c>
      <c r="Z21" s="3815"/>
      <c r="AA21" s="3815"/>
      <c r="AB21" s="3815"/>
      <c r="AC21" s="3815"/>
      <c r="AD21" s="381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3" t="s">
        <v>3410</v>
      </c>
      <c r="B2" s="3855" t="s">
        <v>3411</v>
      </c>
      <c r="C2" s="3853" t="s">
        <v>3412</v>
      </c>
      <c r="D2" s="3857" t="s">
        <v>3413</v>
      </c>
      <c r="E2" s="3857" t="s">
        <v>3414</v>
      </c>
      <c r="F2" s="3859" t="s">
        <v>3415</v>
      </c>
      <c r="G2" s="3859"/>
      <c r="H2" s="3860"/>
      <c r="I2" s="3464"/>
      <c r="J2" s="3464"/>
      <c r="K2" s="3464"/>
      <c r="L2" s="3464"/>
      <c r="M2" s="3464"/>
      <c r="N2" s="3464"/>
      <c r="O2" s="3464"/>
      <c r="P2" s="3851"/>
      <c r="Q2" s="3851"/>
      <c r="R2" s="3851"/>
      <c r="S2" s="3851"/>
      <c r="T2" s="3851"/>
      <c r="U2" s="3465" t="s">
        <v>3416</v>
      </c>
      <c r="V2" s="3465" t="s">
        <v>3417</v>
      </c>
    </row>
    <row r="3" spans="1:22">
      <c r="A3" s="3854"/>
      <c r="B3" s="3856"/>
      <c r="C3" s="3854"/>
      <c r="D3" s="3858"/>
      <c r="E3" s="3858"/>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42">
        <v>1</v>
      </c>
      <c r="B4" s="3843">
        <v>409</v>
      </c>
      <c r="C4" s="3846" t="s">
        <v>3433</v>
      </c>
      <c r="D4" s="3852">
        <v>675</v>
      </c>
      <c r="E4" s="3852">
        <v>675</v>
      </c>
      <c r="F4" s="3468">
        <v>72720</v>
      </c>
      <c r="G4" s="3468">
        <v>48480</v>
      </c>
      <c r="H4" s="3469" t="s">
        <v>3434</v>
      </c>
      <c r="I4" s="3834">
        <v>175500</v>
      </c>
      <c r="J4" s="3834">
        <v>175500</v>
      </c>
      <c r="K4" s="3834">
        <v>175500</v>
      </c>
      <c r="L4" s="3834">
        <v>175500</v>
      </c>
      <c r="M4" s="3834">
        <v>175500</v>
      </c>
      <c r="N4" s="3834">
        <v>175500</v>
      </c>
      <c r="O4" s="3834">
        <v>175500</v>
      </c>
      <c r="P4" s="3834">
        <v>175500</v>
      </c>
      <c r="Q4" s="3834">
        <v>175500</v>
      </c>
      <c r="R4" s="3834">
        <v>175500</v>
      </c>
      <c r="S4" s="3834">
        <v>175500</v>
      </c>
      <c r="T4" s="3834">
        <v>175500</v>
      </c>
      <c r="U4" s="3834">
        <v>2106000</v>
      </c>
      <c r="V4" s="3835"/>
    </row>
    <row r="5" spans="1:22">
      <c r="A5" s="3842"/>
      <c r="B5" s="3844"/>
      <c r="C5" s="3847"/>
      <c r="D5" s="3852"/>
      <c r="E5" s="3852"/>
      <c r="F5" s="3468">
        <v>97200</v>
      </c>
      <c r="G5" s="3468">
        <v>64800</v>
      </c>
      <c r="H5" s="3469" t="s">
        <v>3435</v>
      </c>
      <c r="I5" s="3834"/>
      <c r="J5" s="3834"/>
      <c r="K5" s="3834"/>
      <c r="L5" s="3834"/>
      <c r="M5" s="3834"/>
      <c r="N5" s="3834"/>
      <c r="O5" s="3834"/>
      <c r="P5" s="3834"/>
      <c r="Q5" s="3834"/>
      <c r="R5" s="3834"/>
      <c r="S5" s="3834"/>
      <c r="T5" s="3834"/>
      <c r="U5" s="3834"/>
      <c r="V5" s="3836"/>
    </row>
    <row r="6" spans="1:22">
      <c r="A6" s="3842"/>
      <c r="B6" s="3844"/>
      <c r="C6" s="3844"/>
      <c r="D6" s="3852"/>
      <c r="E6" s="3852"/>
      <c r="F6" s="3468">
        <v>110700</v>
      </c>
      <c r="G6" s="3468">
        <v>64800</v>
      </c>
      <c r="H6" s="3469" t="s">
        <v>3436</v>
      </c>
      <c r="I6" s="3834"/>
      <c r="J6" s="3834"/>
      <c r="K6" s="3834"/>
      <c r="L6" s="3834"/>
      <c r="M6" s="3834"/>
      <c r="N6" s="3834"/>
      <c r="O6" s="3834"/>
      <c r="P6" s="3834"/>
      <c r="Q6" s="3834"/>
      <c r="R6" s="3834"/>
      <c r="S6" s="3834"/>
      <c r="T6" s="3834"/>
      <c r="U6" s="3834"/>
      <c r="V6" s="3836"/>
    </row>
    <row r="7" spans="1:22">
      <c r="A7" s="3842">
        <v>2</v>
      </c>
      <c r="B7" s="3843" t="s">
        <v>3437</v>
      </c>
      <c r="C7" s="3846" t="s">
        <v>3438</v>
      </c>
      <c r="D7" s="3848">
        <v>1823</v>
      </c>
      <c r="E7" s="3848">
        <v>1823</v>
      </c>
      <c r="F7" s="3468">
        <v>229698</v>
      </c>
      <c r="G7" s="3468">
        <v>153132</v>
      </c>
      <c r="H7" s="3469" t="s">
        <v>3439</v>
      </c>
      <c r="I7" s="3834">
        <v>382830</v>
      </c>
      <c r="J7" s="3834">
        <v>382830</v>
      </c>
      <c r="K7" s="3834">
        <v>382830</v>
      </c>
      <c r="L7" s="3834">
        <v>382830</v>
      </c>
      <c r="M7" s="3834">
        <v>382830</v>
      </c>
      <c r="N7" s="3834">
        <v>382830</v>
      </c>
      <c r="O7" s="3834">
        <v>382830</v>
      </c>
      <c r="P7" s="3834">
        <v>382830</v>
      </c>
      <c r="Q7" s="3834">
        <v>382830</v>
      </c>
      <c r="R7" s="3834">
        <v>382830</v>
      </c>
      <c r="S7" s="3834">
        <v>382830</v>
      </c>
      <c r="T7" s="3834">
        <v>382830</v>
      </c>
      <c r="U7" s="3834">
        <v>4593960</v>
      </c>
      <c r="V7" s="3835"/>
    </row>
    <row r="8" spans="1:22">
      <c r="A8" s="3842"/>
      <c r="B8" s="3844"/>
      <c r="C8" s="3847"/>
      <c r="D8" s="3849"/>
      <c r="E8" s="3849"/>
      <c r="F8" s="3468">
        <v>248839.5</v>
      </c>
      <c r="G8" s="3468">
        <v>153132</v>
      </c>
      <c r="H8" s="3469" t="s">
        <v>3440</v>
      </c>
      <c r="I8" s="3834"/>
      <c r="J8" s="3834"/>
      <c r="K8" s="3834"/>
      <c r="L8" s="3834"/>
      <c r="M8" s="3834"/>
      <c r="N8" s="3834"/>
      <c r="O8" s="3834"/>
      <c r="P8" s="3834"/>
      <c r="Q8" s="3834"/>
      <c r="R8" s="3834"/>
      <c r="S8" s="3834"/>
      <c r="T8" s="3834"/>
      <c r="U8" s="3834"/>
      <c r="V8" s="3836"/>
    </row>
    <row r="9" spans="1:22">
      <c r="A9" s="3842"/>
      <c r="B9" s="3844"/>
      <c r="C9" s="3844"/>
      <c r="D9" s="3849"/>
      <c r="E9" s="3849"/>
      <c r="F9" s="3468">
        <v>268892.5</v>
      </c>
      <c r="G9" s="3468">
        <v>153132</v>
      </c>
      <c r="H9" s="3469" t="s">
        <v>3441</v>
      </c>
      <c r="I9" s="3834"/>
      <c r="J9" s="3834"/>
      <c r="K9" s="3834"/>
      <c r="L9" s="3834"/>
      <c r="M9" s="3834"/>
      <c r="N9" s="3834"/>
      <c r="O9" s="3834"/>
      <c r="P9" s="3834"/>
      <c r="Q9" s="3834"/>
      <c r="R9" s="3834"/>
      <c r="S9" s="3834"/>
      <c r="T9" s="3834"/>
      <c r="U9" s="3834"/>
      <c r="V9" s="3836"/>
    </row>
    <row r="10" spans="1:22">
      <c r="A10" s="3842"/>
      <c r="B10" s="3845"/>
      <c r="C10" s="3845"/>
      <c r="D10" s="3850"/>
      <c r="E10" s="3850"/>
      <c r="F10" s="3468">
        <v>289857</v>
      </c>
      <c r="G10" s="3468">
        <v>153132</v>
      </c>
      <c r="H10" s="3469" t="s">
        <v>3442</v>
      </c>
      <c r="I10" s="3834"/>
      <c r="J10" s="3834"/>
      <c r="K10" s="3834"/>
      <c r="L10" s="3834"/>
      <c r="M10" s="3834"/>
      <c r="N10" s="3834"/>
      <c r="O10" s="3834"/>
      <c r="P10" s="3834"/>
      <c r="Q10" s="3834"/>
      <c r="R10" s="3834"/>
      <c r="S10" s="3834"/>
      <c r="T10" s="3834"/>
      <c r="U10" s="3834"/>
      <c r="V10" s="3837"/>
    </row>
    <row r="11" spans="1:22">
      <c r="A11" s="3842">
        <v>3</v>
      </c>
      <c r="B11" s="3843">
        <v>408</v>
      </c>
      <c r="C11" s="3846" t="s">
        <v>3438</v>
      </c>
      <c r="D11" s="3848">
        <v>45</v>
      </c>
      <c r="E11" s="3848">
        <v>45</v>
      </c>
      <c r="F11" s="3468">
        <v>5670</v>
      </c>
      <c r="G11" s="3468">
        <v>3780</v>
      </c>
      <c r="H11" s="3469" t="s">
        <v>3439</v>
      </c>
      <c r="I11" s="3834">
        <v>9450</v>
      </c>
      <c r="J11" s="3834">
        <v>9450</v>
      </c>
      <c r="K11" s="3834">
        <v>9450</v>
      </c>
      <c r="L11" s="3834">
        <v>9450</v>
      </c>
      <c r="M11" s="3834">
        <v>9450</v>
      </c>
      <c r="N11" s="3834">
        <v>9450</v>
      </c>
      <c r="O11" s="3834">
        <v>9450</v>
      </c>
      <c r="P11" s="3834">
        <v>9450</v>
      </c>
      <c r="Q11" s="3834">
        <v>9450</v>
      </c>
      <c r="R11" s="3834">
        <v>9450</v>
      </c>
      <c r="S11" s="3834">
        <v>9450</v>
      </c>
      <c r="T11" s="3834">
        <v>9450</v>
      </c>
      <c r="U11" s="3834">
        <v>113400</v>
      </c>
      <c r="V11" s="3835"/>
    </row>
    <row r="12" spans="1:22">
      <c r="A12" s="3842"/>
      <c r="B12" s="3844"/>
      <c r="C12" s="3847"/>
      <c r="D12" s="3849"/>
      <c r="E12" s="3849"/>
      <c r="F12" s="3468">
        <v>6142.5</v>
      </c>
      <c r="G12" s="3468">
        <v>3780</v>
      </c>
      <c r="H12" s="3469" t="s">
        <v>3440</v>
      </c>
      <c r="I12" s="3834"/>
      <c r="J12" s="3834"/>
      <c r="K12" s="3834"/>
      <c r="L12" s="3834"/>
      <c r="M12" s="3834"/>
      <c r="N12" s="3834"/>
      <c r="O12" s="3834"/>
      <c r="P12" s="3834"/>
      <c r="Q12" s="3834"/>
      <c r="R12" s="3834"/>
      <c r="S12" s="3834"/>
      <c r="T12" s="3834"/>
      <c r="U12" s="3834"/>
      <c r="V12" s="3836"/>
    </row>
    <row r="13" spans="1:22">
      <c r="A13" s="3842"/>
      <c r="B13" s="3844"/>
      <c r="C13" s="3844"/>
      <c r="D13" s="3849"/>
      <c r="E13" s="3849"/>
      <c r="F13" s="3468">
        <v>6637.5</v>
      </c>
      <c r="G13" s="3468">
        <v>3780</v>
      </c>
      <c r="H13" s="3469" t="s">
        <v>3441</v>
      </c>
      <c r="I13" s="3834"/>
      <c r="J13" s="3834"/>
      <c r="K13" s="3834"/>
      <c r="L13" s="3834"/>
      <c r="M13" s="3834"/>
      <c r="N13" s="3834"/>
      <c r="O13" s="3834"/>
      <c r="P13" s="3834"/>
      <c r="Q13" s="3834"/>
      <c r="R13" s="3834"/>
      <c r="S13" s="3834"/>
      <c r="T13" s="3834"/>
      <c r="U13" s="3834"/>
      <c r="V13" s="3836"/>
    </row>
    <row r="14" spans="1:22">
      <c r="A14" s="3842"/>
      <c r="B14" s="3845"/>
      <c r="C14" s="3845"/>
      <c r="D14" s="3850"/>
      <c r="E14" s="3850"/>
      <c r="F14" s="3468">
        <v>7155</v>
      </c>
      <c r="G14" s="3468">
        <v>3780</v>
      </c>
      <c r="H14" s="3469" t="s">
        <v>3442</v>
      </c>
      <c r="I14" s="3834"/>
      <c r="J14" s="3834"/>
      <c r="K14" s="3834"/>
      <c r="L14" s="3834"/>
      <c r="M14" s="3834"/>
      <c r="N14" s="3834"/>
      <c r="O14" s="3834"/>
      <c r="P14" s="3834"/>
      <c r="Q14" s="3834"/>
      <c r="R14" s="3834"/>
      <c r="S14" s="3834"/>
      <c r="T14" s="3834"/>
      <c r="U14" s="3834"/>
      <c r="V14" s="3837"/>
    </row>
    <row r="15" spans="1:22">
      <c r="A15" s="3838">
        <v>4</v>
      </c>
      <c r="B15" s="3839" t="s">
        <v>3443</v>
      </c>
      <c r="C15" s="3840"/>
      <c r="D15" s="3841">
        <v>1610.88</v>
      </c>
      <c r="E15" s="3841">
        <v>1610.88</v>
      </c>
      <c r="F15" s="3470"/>
      <c r="G15" s="3470"/>
      <c r="H15" s="3471"/>
      <c r="I15" s="3830"/>
      <c r="J15" s="3830"/>
      <c r="K15" s="3830"/>
      <c r="L15" s="3830"/>
      <c r="M15" s="3830"/>
      <c r="N15" s="3830"/>
      <c r="O15" s="3830"/>
      <c r="P15" s="3830"/>
      <c r="Q15" s="3830"/>
      <c r="R15" s="3830"/>
      <c r="S15" s="3830"/>
      <c r="T15" s="3830"/>
      <c r="U15" s="3833">
        <v>0</v>
      </c>
      <c r="V15" s="3827"/>
    </row>
    <row r="16" spans="1:22">
      <c r="A16" s="3838"/>
      <c r="B16" s="3839"/>
      <c r="C16" s="3840"/>
      <c r="D16" s="3841"/>
      <c r="E16" s="3841"/>
      <c r="F16" s="3470"/>
      <c r="G16" s="3470"/>
      <c r="H16" s="3471"/>
      <c r="I16" s="3831"/>
      <c r="J16" s="3831"/>
      <c r="K16" s="3831"/>
      <c r="L16" s="3831"/>
      <c r="M16" s="3831"/>
      <c r="N16" s="3831"/>
      <c r="O16" s="3831"/>
      <c r="P16" s="3831"/>
      <c r="Q16" s="3831"/>
      <c r="R16" s="3831"/>
      <c r="S16" s="3831"/>
      <c r="T16" s="3831"/>
      <c r="U16" s="3833"/>
      <c r="V16" s="3828"/>
    </row>
    <row r="17" spans="1:22">
      <c r="A17" s="3838"/>
      <c r="B17" s="3839"/>
      <c r="C17" s="3840"/>
      <c r="D17" s="3841"/>
      <c r="E17" s="3841"/>
      <c r="F17" s="3470"/>
      <c r="G17" s="3470"/>
      <c r="H17" s="3471"/>
      <c r="I17" s="3831"/>
      <c r="J17" s="3831"/>
      <c r="K17" s="3831"/>
      <c r="L17" s="3831"/>
      <c r="M17" s="3831"/>
      <c r="N17" s="3831"/>
      <c r="O17" s="3831"/>
      <c r="P17" s="3831"/>
      <c r="Q17" s="3831"/>
      <c r="R17" s="3831"/>
      <c r="S17" s="3831"/>
      <c r="T17" s="3831"/>
      <c r="U17" s="3833"/>
      <c r="V17" s="3828"/>
    </row>
    <row r="18" spans="1:22">
      <c r="A18" s="3838"/>
      <c r="B18" s="3839"/>
      <c r="C18" s="3840"/>
      <c r="D18" s="3841"/>
      <c r="E18" s="3841"/>
      <c r="F18" s="3470"/>
      <c r="G18" s="3470"/>
      <c r="H18" s="3471"/>
      <c r="I18" s="3831"/>
      <c r="J18" s="3831"/>
      <c r="K18" s="3831"/>
      <c r="L18" s="3831"/>
      <c r="M18" s="3831"/>
      <c r="N18" s="3831"/>
      <c r="O18" s="3831"/>
      <c r="P18" s="3831"/>
      <c r="Q18" s="3831"/>
      <c r="R18" s="3831"/>
      <c r="S18" s="3831"/>
      <c r="T18" s="3831"/>
      <c r="U18" s="3833"/>
      <c r="V18" s="3828"/>
    </row>
    <row r="19" spans="1:22">
      <c r="A19" s="3838"/>
      <c r="B19" s="3839"/>
      <c r="C19" s="3840"/>
      <c r="D19" s="3841"/>
      <c r="E19" s="3841"/>
      <c r="F19" s="3470"/>
      <c r="G19" s="3470"/>
      <c r="H19" s="3471"/>
      <c r="I19" s="3832"/>
      <c r="J19" s="3832"/>
      <c r="K19" s="3832"/>
      <c r="L19" s="3832"/>
      <c r="M19" s="3832"/>
      <c r="N19" s="3832"/>
      <c r="O19" s="3832"/>
      <c r="P19" s="3832"/>
      <c r="Q19" s="3832"/>
      <c r="R19" s="3832"/>
      <c r="S19" s="3832"/>
      <c r="T19" s="3832"/>
      <c r="U19" s="3833"/>
      <c r="V19" s="3829"/>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32.01</v>
      </c>
      <c r="G22" s="3480">
        <f>D22/F22/30</f>
        <v>360.37488284910967</v>
      </c>
      <c r="H22">
        <v>6.2</v>
      </c>
    </row>
    <row r="23" spans="1:22">
      <c r="F23" s="3480">
        <f>'数据-基础表'!I5-Sheet1!F22</f>
        <v>20.270000000000003</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394.36082474226805</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北京市昌平区平西府东路1号院一区1号楼1层4-29房地产</v>
      </c>
      <c r="B4" s="854">
        <f>项目基本情况!C17</f>
        <v>52.28</v>
      </c>
      <c r="C4" s="854">
        <f>项目基本情况!C18</f>
        <v>0</v>
      </c>
      <c r="D4" s="854">
        <f ca="1">结果表!D118</f>
        <v>107</v>
      </c>
      <c r="E4" s="854">
        <f ca="1">结果表!E118</f>
        <v>20467</v>
      </c>
      <c r="F4" s="854">
        <f ca="1">结果表!F118</f>
        <v>29</v>
      </c>
      <c r="G4" s="854">
        <f ca="1">结果表!G118</f>
        <v>5547</v>
      </c>
      <c r="H4" s="854">
        <f ca="1">结果表!H118</f>
        <v>136</v>
      </c>
      <c r="I4" s="854">
        <f ca="1">结果表!I118</f>
        <v>26014</v>
      </c>
    </row>
    <row r="5" spans="1:9" ht="30" customHeight="1">
      <c r="A5" s="3501" t="s">
        <v>927</v>
      </c>
      <c r="B5" s="3501"/>
      <c r="C5" s="3501"/>
      <c r="D5" s="3501" t="str">
        <f ca="1">结果表!D119</f>
        <v>壹佰零柒万元整</v>
      </c>
      <c r="E5" s="3501"/>
      <c r="F5" s="3501" t="str">
        <f ca="1">结果表!F119</f>
        <v>贰拾玖万元整</v>
      </c>
      <c r="G5" s="3501"/>
      <c r="H5" s="3501" t="str">
        <f ca="1">结果表!H119</f>
        <v>壹佰叁拾陆万元整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136</v>
      </c>
      <c r="E8" s="3502"/>
      <c r="F8" s="3502"/>
      <c r="G8" s="3502"/>
      <c r="H8" s="3502"/>
      <c r="I8" s="3502"/>
    </row>
    <row r="9" spans="1:9" ht="15">
      <c r="A9" s="3501" t="s">
        <v>927</v>
      </c>
      <c r="B9" s="3501"/>
      <c r="C9" s="3501"/>
      <c r="D9" s="3501" t="str">
        <f ca="1">结果表!D123</f>
        <v>壹佰叁拾陆万元整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（1）根据估价对象《房屋所有权证》原件、《国有土地使用权》原件，截至价值时点，估价对象抵押权未见登记。</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2023-06-20T05:50:55Z</dcterms:modified>
</cp:coreProperties>
</file>