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065" windowHeight="117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M20" i="1"/>
  <c r="H47" i="78" l="1"/>
  <c r="H45" i="78"/>
  <c r="H44" i="78"/>
  <c r="H43" i="78"/>
  <c r="H42" i="78"/>
  <c r="L37" i="78"/>
  <c r="K37" i="78"/>
  <c r="G37" i="78"/>
  <c r="I24" i="78"/>
  <c r="I23" i="78"/>
  <c r="H23" i="78"/>
  <c r="G23" i="78"/>
  <c r="F23" i="78"/>
  <c r="I21" i="78"/>
  <c r="H21" i="78"/>
  <c r="G21" i="78"/>
  <c r="F21" i="78"/>
  <c r="I20" i="78"/>
  <c r="H20" i="78"/>
  <c r="G20" i="78"/>
  <c r="F20" i="78"/>
  <c r="I19" i="78"/>
  <c r="H19" i="78"/>
  <c r="G19" i="78"/>
  <c r="F19" i="78"/>
  <c r="I18" i="78"/>
  <c r="H18" i="78"/>
  <c r="G18" i="78"/>
  <c r="F18" i="78"/>
  <c r="I17" i="78"/>
  <c r="H17" i="78"/>
  <c r="G17" i="78"/>
  <c r="F17" i="78"/>
  <c r="I16" i="78"/>
  <c r="H16" i="78"/>
  <c r="G16" i="78"/>
  <c r="F16" i="78"/>
  <c r="I15" i="78"/>
  <c r="H15" i="78"/>
  <c r="G15" i="78"/>
  <c r="F15" i="78"/>
  <c r="I14" i="78"/>
  <c r="H14" i="78"/>
  <c r="G14" i="78"/>
  <c r="F14" i="78"/>
  <c r="I13" i="78"/>
  <c r="H13" i="78"/>
  <c r="G13" i="78"/>
  <c r="F13" i="78"/>
  <c r="I12" i="78"/>
  <c r="H12" i="78"/>
  <c r="G12" i="78"/>
  <c r="F12" i="78"/>
  <c r="J9" i="78"/>
  <c r="L8" i="78"/>
  <c r="K8" i="78"/>
  <c r="U7" i="78"/>
  <c r="T7" i="78"/>
  <c r="S7" i="78"/>
  <c r="R7" i="78"/>
  <c r="Q7" i="78"/>
  <c r="P7" i="78"/>
  <c r="L7" i="78"/>
  <c r="K7" i="78"/>
  <c r="U6" i="78"/>
  <c r="T6" i="78"/>
  <c r="S6" i="78"/>
  <c r="R6" i="78"/>
  <c r="Q6" i="78"/>
  <c r="P6" i="78"/>
  <c r="L6" i="78"/>
  <c r="K6" i="78"/>
  <c r="L5" i="78"/>
  <c r="K5" i="78"/>
  <c r="U4" i="78"/>
  <c r="T4" i="78"/>
  <c r="S4" i="78"/>
  <c r="R4" i="78"/>
  <c r="Q4" i="78"/>
  <c r="P4" i="78"/>
  <c r="L4" i="78"/>
  <c r="K4" i="78"/>
  <c r="N3" i="78"/>
  <c r="L3" i="78"/>
  <c r="K3" i="78"/>
  <c r="G16" i="73"/>
  <c r="F16" i="73"/>
  <c r="E16" i="73"/>
  <c r="G15" i="73"/>
  <c r="F15" i="73"/>
  <c r="E15" i="73"/>
  <c r="G13" i="73"/>
  <c r="F13" i="73"/>
  <c r="E13" i="73"/>
  <c r="L1" i="73"/>
  <c r="K1" i="73"/>
  <c r="J1" i="73"/>
  <c r="E1" i="73"/>
  <c r="C1" i="73"/>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U34" i="77"/>
  <c r="R34" i="77"/>
  <c r="E34" i="77"/>
  <c r="D34" i="77"/>
  <c r="C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N10" i="77"/>
  <c r="L10" i="77"/>
  <c r="D10" i="77"/>
  <c r="R9" i="77"/>
  <c r="N9" i="77"/>
  <c r="L9" i="77"/>
  <c r="D9" i="77"/>
  <c r="R8" i="77"/>
  <c r="N8" i="77"/>
  <c r="L8" i="77"/>
  <c r="R7" i="77"/>
  <c r="L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E9" i="68"/>
  <c r="D9" i="68"/>
  <c r="C8" i="68"/>
  <c r="F7"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9" i="1"/>
  <c r="B24" i="1"/>
  <c r="B23" i="1"/>
  <c r="B22" i="1"/>
  <c r="N19" i="1"/>
  <c r="T16" i="1"/>
  <c r="S16" i="1"/>
  <c r="Q16" i="1"/>
  <c r="F27" i="11"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2" i="12" s="1"/>
  <c r="O6" i="1"/>
  <c r="O16" i="1" s="1"/>
  <c r="N6" i="1"/>
  <c r="N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S2" i="4"/>
  <c r="S1" i="4"/>
  <c r="B1" i="4"/>
  <c r="C53" i="10"/>
  <c r="C51" i="10"/>
  <c r="B51" i="10"/>
  <c r="H16" i="49"/>
  <c r="D16" i="49"/>
  <c r="D15" i="49"/>
  <c r="B2" i="49"/>
  <c r="F15" i="49" s="1"/>
  <c r="H15"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11" i="76"/>
  <c r="E7" i="76"/>
  <c r="D6" i="73"/>
  <c r="F20" i="31"/>
  <c r="B10" i="76"/>
  <c r="B6" i="76"/>
  <c r="D2" i="34"/>
  <c r="F42" i="67"/>
  <c r="M22" i="67"/>
  <c r="C76" i="15"/>
  <c r="F42" i="15"/>
  <c r="F38" i="67"/>
  <c r="M29" i="67"/>
  <c r="M23" i="67"/>
  <c r="F13" i="67"/>
  <c r="F6" i="67"/>
  <c r="M26" i="15"/>
  <c r="F16" i="15"/>
  <c r="M9" i="15"/>
  <c r="E2" i="68"/>
  <c r="AO7" i="1"/>
  <c r="M28" i="15"/>
  <c r="F8" i="15"/>
  <c r="AO10" i="1"/>
  <c r="F3" i="73"/>
  <c r="E8" i="76"/>
  <c r="D5" i="73"/>
  <c r="B11" i="76"/>
  <c r="D2" i="37"/>
  <c r="F40" i="67"/>
  <c r="F7" i="67"/>
  <c r="F40" i="15"/>
  <c r="F35" i="67"/>
  <c r="J15" i="67"/>
  <c r="M27" i="15"/>
  <c r="F13" i="15"/>
  <c r="AO9" i="1"/>
  <c r="M24" i="15"/>
  <c r="AO8" i="1"/>
  <c r="E10" i="76"/>
  <c r="B13" i="76"/>
  <c r="D2" i="36"/>
  <c r="F9" i="67"/>
  <c r="L48" i="67"/>
  <c r="M27" i="67"/>
  <c r="M9" i="67"/>
  <c r="F26" i="15"/>
  <c r="M8" i="15"/>
  <c r="F38" i="15"/>
  <c r="AO12" i="1"/>
  <c r="F6" i="73"/>
  <c r="E13" i="76"/>
  <c r="E9" i="76"/>
  <c r="D2" i="33"/>
  <c r="D4" i="73"/>
  <c r="B12" i="76"/>
  <c r="B8" i="76"/>
  <c r="D2" i="35"/>
  <c r="C76" i="67"/>
  <c r="M28" i="67"/>
  <c r="F8" i="67"/>
  <c r="L47" i="15"/>
  <c r="L47" i="67"/>
  <c r="F36" i="67"/>
  <c r="M26" i="67"/>
  <c r="F16" i="67"/>
  <c r="M8" i="67"/>
  <c r="F35" i="15"/>
  <c r="M23" i="15"/>
  <c r="C14" i="15"/>
  <c r="M6" i="15"/>
  <c r="AO11" i="1"/>
  <c r="F36" i="15"/>
  <c r="M22" i="15"/>
  <c r="E2" i="69"/>
  <c r="F7" i="73"/>
  <c r="E12" i="76"/>
  <c r="E6" i="76"/>
  <c r="D3" i="73"/>
  <c r="B7" i="76"/>
  <c r="F43" i="67"/>
  <c r="M24" i="67"/>
  <c r="L48" i="15"/>
  <c r="F41" i="67"/>
  <c r="F26" i="67"/>
  <c r="M6" i="67"/>
  <c r="M21" i="15"/>
  <c r="F6" i="15"/>
  <c r="M29" i="15"/>
  <c r="F7" i="15"/>
  <c r="F5" i="73"/>
  <c r="D7" i="73"/>
  <c r="B9" i="76"/>
  <c r="D2" i="21"/>
  <c r="F43" i="15"/>
  <c r="F37" i="67"/>
  <c r="M21" i="67"/>
  <c r="F37" i="15"/>
  <c r="J15" i="15"/>
  <c r="AO13" i="1"/>
  <c r="F9" i="15"/>
  <c r="C47" i="11" l="1"/>
  <c r="D45" i="11" s="1"/>
  <c r="C29" i="11"/>
  <c r="D27" i="11" s="1"/>
  <c r="C28" i="11"/>
  <c r="C27" i="11" s="1"/>
  <c r="F27" i="69"/>
  <c r="C47" i="69" s="1"/>
  <c r="D45" i="69" s="1"/>
  <c r="F27" i="68"/>
  <c r="C29" i="68" s="1"/>
  <c r="D27" i="68" s="1"/>
  <c r="F28" i="12"/>
  <c r="C29" i="12" s="1"/>
  <c r="D28" i="12" s="1"/>
  <c r="F50" i="69"/>
  <c r="F50" i="11"/>
  <c r="F50" i="68"/>
  <c r="C34" i="11"/>
  <c r="C35" i="11" s="1"/>
  <c r="C36" i="11"/>
  <c r="C33" i="11" s="1"/>
  <c r="C38" i="11"/>
  <c r="R16" i="1"/>
  <c r="D19" i="68"/>
  <c r="D37" i="68" s="1"/>
  <c r="C37" i="68" s="1"/>
  <c r="D19" i="69"/>
  <c r="C19" i="69" s="1"/>
  <c r="C35" i="69"/>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14" i="12"/>
  <c r="C18" i="12"/>
  <c r="B8" i="70"/>
  <c r="B10" i="70"/>
  <c r="B12" i="70"/>
  <c r="F50" i="15"/>
  <c r="M7" i="15"/>
  <c r="J6" i="15" s="1"/>
  <c r="F51" i="15"/>
  <c r="C49" i="15" s="1"/>
  <c r="F64" i="15"/>
  <c r="F66" i="15"/>
  <c r="B7" i="70"/>
  <c r="B9" i="70"/>
  <c r="B11" i="70"/>
  <c r="B13" i="70"/>
  <c r="C6" i="15"/>
  <c r="C18" i="15"/>
  <c r="C15" i="15"/>
  <c r="J20" i="15"/>
  <c r="C27" i="15"/>
  <c r="F63" i="15"/>
  <c r="C62" i="15" s="1"/>
  <c r="C34" i="15"/>
  <c r="F65" i="15"/>
  <c r="C6" i="67"/>
  <c r="J20" i="67"/>
  <c r="C27" i="67"/>
  <c r="F63" i="67"/>
  <c r="C62" i="67" s="1"/>
  <c r="C34" i="67"/>
  <c r="F64" i="67"/>
  <c r="F65" i="67"/>
  <c r="F66" i="67"/>
  <c r="F69" i="67"/>
  <c r="N59" i="67"/>
  <c r="L59" i="67"/>
  <c r="L58" i="67"/>
  <c r="M59" i="67"/>
  <c r="L56" i="67"/>
  <c r="J57" i="67"/>
  <c r="J55" i="67" s="1"/>
  <c r="J58" i="67" s="1"/>
  <c r="Q50" i="67" s="1"/>
  <c r="J53" i="67"/>
  <c r="I54" i="67"/>
  <c r="F68" i="15"/>
  <c r="F71" i="15"/>
  <c r="N59" i="15"/>
  <c r="L59" i="15"/>
  <c r="L58" i="15"/>
  <c r="M59" i="15"/>
  <c r="J60" i="15"/>
  <c r="Q48" i="15" s="1"/>
  <c r="J59" i="15"/>
  <c r="L57" i="15"/>
  <c r="L56" i="15"/>
  <c r="L60" i="15"/>
  <c r="J57" i="15"/>
  <c r="J55" i="15" s="1"/>
  <c r="J58" i="15" s="1"/>
  <c r="Q50" i="15" s="1"/>
  <c r="I54" i="15"/>
  <c r="J53" i="15"/>
  <c r="L46" i="15"/>
  <c r="Q71" i="15"/>
  <c r="F50" i="67"/>
  <c r="M7" i="67"/>
  <c r="J6" i="67" s="1"/>
  <c r="F51" i="67"/>
  <c r="C49" i="67" s="1"/>
  <c r="F68" i="67"/>
  <c r="F70" i="67"/>
  <c r="F71" i="67"/>
  <c r="Q71" i="67"/>
  <c r="B2" i="21"/>
  <c r="B3" i="21" s="1"/>
  <c r="B2" i="34"/>
  <c r="B3" i="34" s="1"/>
  <c r="B2" i="37"/>
  <c r="B3" i="37" s="1"/>
  <c r="B2" i="35"/>
  <c r="B3" i="35" s="1"/>
  <c r="B2" i="36"/>
  <c r="B3" i="36" s="1"/>
  <c r="B2" i="76"/>
  <c r="B20" i="31"/>
  <c r="B21" i="31" s="1"/>
  <c r="B2" i="33"/>
  <c r="B3" i="33" s="1"/>
  <c r="E2" i="76"/>
  <c r="I1" i="73"/>
  <c r="B39" i="1" s="1"/>
  <c r="D125" i="9"/>
  <c r="D11" i="52" s="1"/>
  <c r="H14" i="74"/>
  <c r="B7" i="74" s="1"/>
  <c r="C4" i="4"/>
  <c r="I14" i="74"/>
  <c r="B8" i="74" s="1"/>
  <c r="C92" i="9"/>
  <c r="H110" i="9"/>
  <c r="D18" i="53" s="1"/>
  <c r="B35" i="72" s="1"/>
  <c r="C9" i="68"/>
  <c r="C34" i="68"/>
  <c r="F45" i="68"/>
  <c r="C47" i="68"/>
  <c r="D45" i="68" s="1"/>
  <c r="C9" i="69"/>
  <c r="C8" i="69" s="1"/>
  <c r="C5" i="69" s="1"/>
  <c r="C15" i="12"/>
  <c r="D17" i="12"/>
  <c r="C17" i="12" s="1"/>
  <c r="C29" i="69"/>
  <c r="D27" i="69" s="1"/>
  <c r="E36" i="43"/>
  <c r="C17" i="15"/>
  <c r="C16" i="15"/>
  <c r="C14" i="67"/>
  <c r="C16" i="67"/>
  <c r="C17" i="67"/>
  <c r="G1" i="73"/>
  <c r="B40" i="1" l="1"/>
  <c r="F45" i="69"/>
  <c r="E4" i="4"/>
  <c r="B5" i="62" s="1"/>
  <c r="B73" i="72" s="1"/>
  <c r="C46" i="11"/>
  <c r="C45" i="11" s="1"/>
  <c r="C39" i="11"/>
  <c r="D37" i="69"/>
  <c r="C37" i="69" s="1"/>
  <c r="C33" i="69" s="1"/>
  <c r="C39" i="69" s="1"/>
  <c r="C16" i="12"/>
  <c r="C21" i="12" s="1"/>
  <c r="B3" i="76"/>
  <c r="C18" i="67"/>
  <c r="C15" i="67"/>
  <c r="C19" i="15"/>
  <c r="J18" i="67"/>
  <c r="C22" i="12"/>
  <c r="C30" i="12" s="1"/>
  <c r="C28" i="12" s="1"/>
  <c r="C8" i="74"/>
  <c r="D8" i="74"/>
  <c r="K4" i="4"/>
  <c r="B46" i="48" s="1"/>
  <c r="B4" i="72" s="1"/>
  <c r="B4" i="62"/>
  <c r="B71" i="72" s="1"/>
  <c r="F11" i="67"/>
  <c r="M11" i="67"/>
  <c r="J10" i="67" s="1"/>
  <c r="J5" i="67" s="1"/>
  <c r="M11" i="15"/>
  <c r="J10" i="15" s="1"/>
  <c r="J5" i="15" s="1"/>
  <c r="F11" i="15"/>
  <c r="C53" i="15" s="1"/>
  <c r="Q52" i="15"/>
  <c r="F1" i="15"/>
  <c r="Q61" i="15"/>
  <c r="Q74" i="15"/>
  <c r="Q52" i="67"/>
  <c r="F1" i="67"/>
  <c r="Q73" i="67"/>
  <c r="Q60" i="67"/>
  <c r="C32" i="67"/>
  <c r="J18" i="15"/>
  <c r="C48" i="15"/>
  <c r="C20" i="69"/>
  <c r="C28" i="69"/>
  <c r="C27" i="69" s="1"/>
  <c r="C38" i="68"/>
  <c r="C35" i="68"/>
  <c r="D7" i="74"/>
  <c r="C7" i="74"/>
  <c r="Q66" i="15"/>
  <c r="Q57" i="15"/>
  <c r="Q60" i="15"/>
  <c r="Q73" i="15"/>
  <c r="F22" i="11"/>
  <c r="F24" i="67"/>
  <c r="C24" i="67" s="1"/>
  <c r="F22" i="69"/>
  <c r="C23" i="69" s="1"/>
  <c r="F22" i="68"/>
  <c r="F24" i="15"/>
  <c r="C24" i="15" s="1"/>
  <c r="F25" i="12"/>
  <c r="C26" i="12" s="1"/>
  <c r="D25" i="12" s="1"/>
  <c r="Q74" i="67"/>
  <c r="Q61" i="67"/>
  <c r="C33" i="15"/>
  <c r="C32" i="15"/>
  <c r="C10" i="15"/>
  <c r="C5" i="15" s="1"/>
  <c r="AE6" i="1"/>
  <c r="C31" i="15" l="1"/>
  <c r="C33" i="68"/>
  <c r="C42" i="68" s="1"/>
  <c r="C19" i="67"/>
  <c r="C20" i="67" s="1"/>
  <c r="J24" i="15"/>
  <c r="J26" i="15"/>
  <c r="J26" i="67"/>
  <c r="J29" i="67" s="1"/>
  <c r="J24" i="67"/>
  <c r="C38" i="15"/>
  <c r="C44" i="68"/>
  <c r="D41" i="68" s="1"/>
  <c r="F41" i="68"/>
  <c r="C26" i="68"/>
  <c r="D22" i="68" s="1"/>
  <c r="C24" i="68"/>
  <c r="C39" i="68"/>
  <c r="C43" i="68" s="1"/>
  <c r="C42" i="69"/>
  <c r="C53" i="67"/>
  <c r="C48" i="67" s="1"/>
  <c r="C10" i="67"/>
  <c r="C5" i="67" s="1"/>
  <c r="C27" i="12"/>
  <c r="C25" i="12" s="1"/>
  <c r="C32" i="12" s="1"/>
  <c r="B2" i="12" s="1"/>
  <c r="B3" i="12" s="1"/>
  <c r="C44" i="69"/>
  <c r="D41" i="69" s="1"/>
  <c r="F41" i="69"/>
  <c r="C26" i="69"/>
  <c r="D22" i="69" s="1"/>
  <c r="C44" i="11"/>
  <c r="D41" i="11" s="1"/>
  <c r="C42" i="11"/>
  <c r="C26" i="11"/>
  <c r="D22" i="11" s="1"/>
  <c r="C24" i="11"/>
  <c r="C43" i="11"/>
  <c r="C25" i="11"/>
  <c r="C23" i="11"/>
  <c r="C24" i="69"/>
  <c r="C43" i="69"/>
  <c r="C46" i="69"/>
  <c r="C45" i="69" s="1"/>
  <c r="C25" i="69"/>
  <c r="C66" i="15"/>
  <c r="C60" i="15"/>
  <c r="C20" i="15"/>
  <c r="F41" i="15"/>
  <c r="C26" i="67" l="1"/>
  <c r="C23" i="67"/>
  <c r="F69" i="15"/>
  <c r="J29" i="15"/>
  <c r="C22" i="69"/>
  <c r="C31" i="69" s="1"/>
  <c r="C22" i="11"/>
  <c r="C31" i="11" s="1"/>
  <c r="C41" i="68"/>
  <c r="C23" i="15"/>
  <c r="C66" i="67"/>
  <c r="C60" i="67"/>
  <c r="C41" i="69"/>
  <c r="C49" i="69" s="1"/>
  <c r="C51" i="69" s="1"/>
  <c r="C26" i="15"/>
  <c r="C29" i="15" s="1"/>
  <c r="C41" i="11"/>
  <c r="C49" i="11" s="1"/>
  <c r="C51" i="11" s="1"/>
  <c r="C38" i="67"/>
  <c r="C46" i="68"/>
  <c r="C45" i="68" s="1"/>
  <c r="C29" i="67" l="1"/>
  <c r="C36" i="67"/>
  <c r="J14" i="67"/>
  <c r="Q49" i="67"/>
  <c r="J59" i="67"/>
  <c r="J60" i="67" s="1"/>
  <c r="C57" i="67"/>
  <c r="C64" i="67" s="1"/>
  <c r="J19" i="67"/>
  <c r="J17" i="67" s="1"/>
  <c r="C13" i="67"/>
  <c r="C75" i="67" s="1"/>
  <c r="C33" i="67"/>
  <c r="C31" i="67" s="1"/>
  <c r="C49" i="68"/>
  <c r="D13" i="77" s="1"/>
  <c r="D12" i="77" s="1"/>
  <c r="D11" i="77" s="1"/>
  <c r="C57" i="15"/>
  <c r="C36" i="15"/>
  <c r="Q49" i="15"/>
  <c r="J19" i="15"/>
  <c r="J17" i="15" s="1"/>
  <c r="J14" i="15"/>
  <c r="C13" i="15"/>
  <c r="Q48" i="67"/>
  <c r="L46" i="67"/>
  <c r="J13" i="67"/>
  <c r="J23" i="67" s="1"/>
  <c r="J22" i="67"/>
  <c r="C52" i="11"/>
  <c r="B2" i="11" s="1"/>
  <c r="B3" i="11" s="1"/>
  <c r="C52" i="69"/>
  <c r="B2" i="69" s="1"/>
  <c r="B3" i="69" s="1"/>
  <c r="C61" i="67" l="1"/>
  <c r="C59" i="67" s="1"/>
  <c r="Q70" i="67"/>
  <c r="C37" i="67"/>
  <c r="C30" i="67" s="1"/>
  <c r="C39" i="67" s="1"/>
  <c r="C80" i="67" s="1"/>
  <c r="C79" i="67" s="1"/>
  <c r="C51" i="68"/>
  <c r="C56" i="67"/>
  <c r="C65" i="67" s="1"/>
  <c r="C57" i="69"/>
  <c r="C56" i="69" s="1"/>
  <c r="J16" i="67"/>
  <c r="J25" i="67" s="1"/>
  <c r="C56" i="11"/>
  <c r="C57" i="11" s="1"/>
  <c r="E11" i="77"/>
  <c r="E7" i="77" s="1"/>
  <c r="C27" i="77" s="1"/>
  <c r="D7" i="77"/>
  <c r="C26" i="77" s="1"/>
  <c r="C32" i="77" s="1"/>
  <c r="C38" i="77" s="1"/>
  <c r="C39" i="77" s="1"/>
  <c r="C40" i="77" s="1"/>
  <c r="J22" i="15"/>
  <c r="J13" i="15"/>
  <c r="J23" i="15" s="1"/>
  <c r="C64" i="15"/>
  <c r="C61" i="15"/>
  <c r="C59" i="15" s="1"/>
  <c r="C6" i="68"/>
  <c r="C75" i="15"/>
  <c r="Q70" i="15"/>
  <c r="C37" i="15"/>
  <c r="C30" i="15" s="1"/>
  <c r="C39" i="15" s="1"/>
  <c r="C56" i="15"/>
  <c r="C65" i="15" s="1"/>
  <c r="L51" i="67"/>
  <c r="C58" i="67" l="1"/>
  <c r="C67" i="67" s="1"/>
  <c r="C68" i="67" s="1"/>
  <c r="C71" i="67" s="1"/>
  <c r="Q69" i="67"/>
  <c r="Q68" i="67" s="1"/>
  <c r="C40" i="67"/>
  <c r="Q65" i="67" s="1"/>
  <c r="J16" i="15"/>
  <c r="J25" i="15" s="1"/>
  <c r="C58" i="15"/>
  <c r="C67" i="15" s="1"/>
  <c r="C68" i="15" s="1"/>
  <c r="Q67" i="67"/>
  <c r="L57" i="67"/>
  <c r="L60" i="67" s="1"/>
  <c r="Q69" i="15"/>
  <c r="Q68" i="15" s="1"/>
  <c r="C40" i="15"/>
  <c r="C80" i="15"/>
  <c r="C79" i="15" s="1"/>
  <c r="C71" i="15"/>
  <c r="C41" i="77"/>
  <c r="B2" i="77"/>
  <c r="C7" i="68"/>
  <c r="C5" i="68" s="1"/>
  <c r="D19" i="9"/>
  <c r="L51" i="15"/>
  <c r="Q47" i="67" l="1"/>
  <c r="Q53" i="67" s="1"/>
  <c r="C45" i="67"/>
  <c r="C46" i="67" s="1"/>
  <c r="C83" i="67"/>
  <c r="C82" i="67" s="1"/>
  <c r="D2" i="67"/>
  <c r="B3" i="67" s="1"/>
  <c r="C43" i="67"/>
  <c r="Q56" i="67"/>
  <c r="C46" i="15"/>
  <c r="D102" i="9"/>
  <c r="D21" i="9"/>
  <c r="Q67" i="15"/>
  <c r="C23" i="68"/>
  <c r="C20" i="68"/>
  <c r="C25" i="68" s="1"/>
  <c r="C28" i="68"/>
  <c r="C27" i="68" s="1"/>
  <c r="B3" i="77"/>
  <c r="Q66" i="67"/>
  <c r="Q75" i="67" s="1"/>
  <c r="Q57" i="67"/>
  <c r="Q62" i="67" s="1"/>
  <c r="Q47" i="15"/>
  <c r="Q53" i="15" s="1"/>
  <c r="Q65" i="15"/>
  <c r="Q75" i="15" s="1"/>
  <c r="Q56" i="15"/>
  <c r="Q62" i="15" s="1"/>
  <c r="C43" i="15"/>
  <c r="B2" i="15"/>
  <c r="C83" i="15"/>
  <c r="C82" i="15" s="1"/>
  <c r="AO6" i="1"/>
  <c r="D20" i="9"/>
  <c r="B2" i="67" l="1"/>
  <c r="D103" i="9"/>
  <c r="B6" i="70"/>
  <c r="B2" i="70" s="1"/>
  <c r="B3" i="70" s="1"/>
  <c r="C22" i="68"/>
  <c r="C31" i="68" s="1"/>
  <c r="C52" i="68" s="1"/>
  <c r="B3" i="15"/>
  <c r="B2" i="68" l="1"/>
  <c r="C57" i="68"/>
  <c r="C56" i="68" s="1"/>
  <c r="C19" i="9"/>
  <c r="C21" i="9" l="1"/>
  <c r="G19" i="9"/>
  <c r="C102" i="9"/>
  <c r="D22" i="9"/>
  <c r="B3" i="68"/>
  <c r="C20" i="9"/>
  <c r="D35" i="9"/>
  <c r="D34" i="9"/>
  <c r="C103" i="9" l="1"/>
  <c r="G20" i="9"/>
  <c r="D27" i="9"/>
  <c r="G21" i="9"/>
  <c r="C32" i="9"/>
  <c r="H118" i="9" l="1"/>
  <c r="C35" i="9"/>
  <c r="F118" i="9" s="1"/>
  <c r="C34" i="9" l="1"/>
  <c r="D118" i="9" s="1"/>
  <c r="F119" i="9"/>
  <c r="F5" i="52" s="1"/>
  <c r="B53" i="72" s="1"/>
  <c r="G118" i="9"/>
  <c r="G4" i="52" s="1"/>
  <c r="B52" i="72" s="1"/>
  <c r="F4" i="52"/>
  <c r="B51" i="72" s="1"/>
  <c r="D119" i="9"/>
  <c r="D5" i="52" s="1"/>
  <c r="B49" i="72" s="1"/>
  <c r="D4" i="52"/>
  <c r="B47" i="72" s="1"/>
  <c r="H119" i="9"/>
  <c r="H5" i="52" s="1"/>
  <c r="H101" i="9"/>
  <c r="D14" i="74"/>
  <c r="I118" i="9"/>
  <c r="C104" i="9"/>
  <c r="H4" i="52"/>
  <c r="F14" i="74" l="1"/>
  <c r="B5" i="74"/>
  <c r="E14" i="74"/>
  <c r="E118" i="9"/>
  <c r="E4" i="52" s="1"/>
  <c r="B48" i="72" s="1"/>
  <c r="C105" i="9"/>
  <c r="H102" i="9"/>
  <c r="D7" i="53" s="1"/>
  <c r="B21" i="72" s="1"/>
  <c r="I4" i="52"/>
  <c r="M48" i="9"/>
  <c r="H107" i="9"/>
  <c r="D45" i="9"/>
  <c r="D5" i="53"/>
  <c r="D5" i="74" l="1"/>
  <c r="C5" i="74"/>
  <c r="C93" i="9"/>
  <c r="C86" i="9" s="1"/>
  <c r="C85" i="9"/>
  <c r="C72" i="9"/>
  <c r="C64" i="9"/>
  <c r="C63" i="9" s="1"/>
  <c r="C67" i="9" s="1"/>
  <c r="D55" i="9"/>
  <c r="M53" i="9" s="1"/>
  <c r="D53" i="9"/>
  <c r="C78" i="9"/>
  <c r="C73" i="9" s="1"/>
  <c r="D52" i="9"/>
  <c r="B20" i="72"/>
  <c r="D6" i="53"/>
  <c r="B22" i="72" s="1"/>
  <c r="D122" i="9"/>
  <c r="H108" i="9"/>
  <c r="D15" i="53" s="1"/>
  <c r="B31" i="72" s="1"/>
  <c r="M49" i="9"/>
  <c r="D13" i="53"/>
  <c r="C68" i="9" l="1"/>
  <c r="D54" i="9" s="1"/>
  <c r="D59" i="9"/>
  <c r="M55" i="9" s="1"/>
  <c r="C95" i="9"/>
  <c r="B30" i="72"/>
  <c r="D14" i="53"/>
  <c r="B32" i="72" s="1"/>
  <c r="L68" i="9"/>
  <c r="M68" i="9" s="1"/>
  <c r="L67" i="9"/>
  <c r="M67" i="9" s="1"/>
  <c r="L63" i="9"/>
  <c r="M63" i="9" s="1"/>
  <c r="L66" i="9"/>
  <c r="M66" i="9" s="1"/>
  <c r="L65" i="9"/>
  <c r="M65" i="9" s="1"/>
  <c r="L64" i="9"/>
  <c r="M64" i="9" s="1"/>
  <c r="D8" i="52"/>
  <c r="D123" i="9"/>
  <c r="D9" i="52" s="1"/>
  <c r="G14" i="74"/>
  <c r="B6" i="74" s="1"/>
  <c r="C79" i="9"/>
  <c r="M69" i="9" l="1"/>
  <c r="N69" i="9" s="1"/>
  <c r="C80" i="9"/>
  <c r="E80" i="9" s="1"/>
  <c r="E81" i="9" s="1"/>
  <c r="C6" i="74"/>
  <c r="D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<sst xmlns="http://schemas.openxmlformats.org/spreadsheetml/2006/main" count="7522" uniqueCount="2668">
  <si>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</si>
  <si>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</si>
  <si>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</si>
  <si>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</si>
  <si>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</si>
  <si>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</si>
  <si>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</si>
  <si>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</si>
  <si>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</si>
  <si>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</si>
  <si>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</si>
  <si>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</si>
  <si>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</si>
  <si>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</si>
  <si>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</si>
  <si>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</si>
  <si>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</si>
  <si>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</si>
  <si>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</si>
  <si>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</si>
  <si>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</si>
  <si>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</si>
  <si>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</si>
  <si>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</si>
  <si>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</si>
  <si>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</si>
  <si>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</si>
  <si>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</si>
  <si>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</si>
  <si>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</si>
  <si>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</si>
  <si>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</si>
  <si>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</si>
  <si>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</si>
  <si>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</si>
  <si>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</si>
  <si>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</si>
  <si>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</si>
  <si>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</si>
  <si>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</si>
  <si>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</si>
  <si>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</si>
  <si>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</si>
  <si>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</si>
  <si>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</si>
  <si>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</si>
  <si>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</si>
  <si>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</si>
  <si>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</si>
  <si>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</si>
  <si>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</si>
  <si>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</si>
  <si>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</si>
  <si>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</si>
  <si>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</si>
  <si>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</si>
  <si>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</si>
  <si>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</si>
  <si>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</si>
  <si>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</si>
  <si>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</si>
  <si>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</si>
  <si>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</si>
  <si>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</si>
  <si>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</si>
  <si>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</si>
  <si>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</si>
  <si>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</si>
  <si>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</si>
  <si>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</si>
  <si>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</si>
  <si>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</si>
  <si>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</si>
  <si>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</si>
  <si>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</si>
  <si>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</si>
  <si>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</si>
  <si>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</si>
  <si>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</si>
  <si>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</si>
  <si>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</si>
  <si>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</si>
  <si>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</si>
  <si>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</si>
  <si>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</si>
  <si>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</si>
  <si>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</si>
  <si>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</si>
  <si>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</si>
  <si>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</si>
  <si>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</si>
  <si>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</si>
  <si>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</si>
  <si>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</si>
  <si>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</si>
  <si>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</si>
  <si>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</si>
  <si>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</si>
  <si>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</si>
  <si>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</si>
  <si>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</si>
  <si>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</si>
  <si>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</si>
  <si>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</si>
  <si>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</si>
  <si>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</si>
  <si>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</si>
  <si>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</si>
  <si>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</si>
  <si>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</si>
  <si>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</si>
  <si>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</si>
  <si>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</si>
  <si>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</si>
  <si>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</si>
  <si>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</si>
  <si>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</si>
  <si>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</si>
  <si>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</si>
  <si>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</si>
  <si>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</si>
  <si>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</si>
  <si>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</si>
  <si>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</si>
  <si>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</si>
  <si>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</si>
  <si>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</si>
  <si>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</si>
  <si>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</si>
  <si>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</si>
  <si>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</si>
  <si>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</si>
  <si>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</si>
  <si>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</si>
  <si>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</si>
  <si>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</si>
  <si>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</si>
  <si>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</si>
  <si>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</si>
  <si>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</si>
  <si>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</si>
  <si>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</si>
  <si>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</si>
  <si>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</si>
  <si>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</si>
  <si>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</si>
  <si>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</si>
  <si>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</si>
  <si>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</si>
  <si>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</si>
  <si>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</si>
  <si>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</si>
  <si>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</si>
  <si>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</si>
  <si>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</si>
  <si>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</si>
  <si>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</si>
  <si>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</si>
  <si>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</si>
  <si>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</si>
  <si>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</si>
  <si>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</si>
  <si>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</si>
  <si>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</si>
  <si>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</si>
  <si>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</si>
  <si>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</si>
  <si>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</si>
  <si>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</si>
  <si>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</si>
  <si>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</si>
  <si>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</si>
  <si>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</si>
  <si>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</si>
  <si>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</si>
  <si>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</si>
  <si>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</si>
  <si>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</si>
  <si>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</si>
  <si>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</si>
  <si>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</si>
  <si>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</si>
  <si>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</si>
  <si>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</si>
  <si>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</si>
  <si>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</si>
  <si>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</si>
  <si>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</si>
  <si>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</si>
  <si>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</si>
  <si>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</si>
  <si>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</si>
  <si>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</si>
  <si>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</si>
  <si>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</si>
  <si>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</si>
  <si>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</si>
  <si>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</si>
  <si>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</si>
  <si>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</si>
  <si>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</si>
  <si>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</si>
  <si>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</si>
  <si>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</si>
  <si>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</si>
  <si>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</si>
  <si>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</si>
  <si>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</si>
  <si>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</si>
  <si>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</si>
  <si>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</si>
  <si>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</si>
  <si>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</si>
  <si>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</si>
  <si>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</si>
  <si>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</si>
  <si>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</si>
  <si>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</si>
  <si>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</si>
  <si>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</si>
  <si>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</si>
  <si>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</si>
  <si>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</si>
  <si>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</si>
  <si>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</si>
  <si>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</si>
  <si>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</si>
  <si>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</si>
  <si>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</si>
  <si>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</si>
  <si>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</si>
  <si>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</si>
  <si>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</si>
  <si>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</si>
  <si>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</si>
  <si>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</si>
  <si>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</si>
  <si>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</si>
  <si>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</si>
  <si>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</si>
  <si>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</si>
  <si>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</si>
  <si>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</si>
  <si>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</si>
  <si>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</si>
  <si>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</si>
  <si>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</si>
  <si>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</si>
  <si>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</si>
  <si>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</si>
  <si>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</si>
  <si>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</si>
  <si>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</si>
  <si>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</si>
  <si>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</si>
  <si>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</si>
  <si>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</si>
  <si>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</si>
  <si>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</si>
  <si>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</si>
  <si>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</si>
  <si>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</si>
  <si>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</si>
  <si>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</si>
  <si>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</si>
  <si>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</si>
  <si>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</si>
  <si>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</si>
  <si>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</si>
  <si>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</si>
  <si>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</si>
  <si>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</si>
  <si>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</si>
  <si>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</si>
  <si>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</si>
  <si>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</si>
  <si>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</si>
  <si>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</si>
  <si>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</si>
  <si>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</si>
  <si>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</si>
  <si>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</si>
  <si>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</si>
  <si>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</si>
  <si>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</si>
  <si>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</si>
  <si>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</si>
  <si>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</si>
  <si>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</si>
  <si>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</si>
  <si>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</si>
  <si>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</si>
  <si>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</si>
  <si>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</si>
  <si>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</si>
  <si>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</si>
  <si>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</si>
  <si>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</si>
  <si>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</si>
  <si>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</si>
  <si>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</si>
  <si>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</si>
  <si>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</si>
  <si>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</si>
  <si>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</si>
  <si>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</si>
  <si>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</si>
  <si>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</si>
  <si>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</si>
  <si>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</si>
  <si>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</si>
  <si>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</si>
  <si>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</si>
  <si>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</si>
  <si>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</si>
  <si>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</si>
  <si>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</si>
  <si>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</si>
  <si>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</si>
  <si>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</si>
  <si>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</si>
  <si>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</si>
  <si>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</si>
  <si>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</si>
  <si>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</si>
  <si>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</si>
  <si>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</si>
  <si>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</si>
  <si>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</si>
  <si>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</si>
  <si>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</si>
  <si>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</si>
  <si>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</si>
  <si>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</si>
  <si>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</si>
  <si>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</si>
  <si>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</si>
  <si>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</si>
  <si>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</si>
  <si>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</si>
  <si>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</si>
  <si>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</si>
  <si>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</si>
  <si>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</si>
  <si>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</si>
  <si>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</si>
  <si>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</si>
  <si>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</si>
  <si>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</si>
  <si>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</si>
  <si>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</si>
  <si>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</si>
  <si>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</si>
  <si>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</si>
  <si>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</si>
  <si>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</si>
  <si>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</si>
  <si>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</si>
  <si>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</si>
  <si>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</si>
  <si>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</si>
  <si>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</si>
  <si>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</si>
  <si>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</si>
  <si>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</si>
  <si>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</si>
  <si>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</si>
  <si>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</si>
  <si>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</si>
  <si>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</si>
  <si>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</si>
  <si>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</si>
  <si>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</si>
  <si>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</si>
  <si>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</si>
  <si>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</si>
  <si>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</si>
  <si>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</si>
  <si>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</si>
  <si>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</si>
  <si>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</si>
  <si>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</si>
  <si>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</si>
  <si>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</si>
  <si>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</si>
  <si>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</si>
  <si>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</si>
  <si>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</si>
  <si>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</si>
  <si>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酒店</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</si>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</sst>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4"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0">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176"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178" fontId="115" fillId="0" borderId="1" xfId="5" applyNumberFormat="1" applyFont="1" applyFill="1" applyBorder="1" applyAlignment="1">
      <alignment horizontal="left" vertical="center"/>
    </xf>
    <xf numFmtId="178" fontId="116" fillId="0" borderId="2" xfId="5" applyNumberFormat="1" applyFont="1" applyFill="1" applyBorder="1" applyAlignment="1">
      <alignment horizontal="left" vertical="center"/>
    </xf>
    <xf numFmtId="178"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184"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195"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178"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xf>
    <xf numFmtId="0" fontId="7"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4"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xf>
    <xf numFmtId="184" fontId="62" fillId="3" borderId="2" xfId="0" applyNumberFormat="1" applyFont="1" applyFill="1" applyBorder="1" applyAlignment="1" applyProtection="1">
      <alignment horizontal="left" vertical="center" wrapText="1"/>
    </xf>
    <xf numFmtId="184" fontId="62" fillId="3" borderId="3" xfId="0" applyNumberFormat="1" applyFont="1" applyFill="1" applyBorder="1" applyAlignment="1" applyProtection="1">
      <alignment horizontal="left" vertical="center" wrapText="1"/>
    </xf>
    <xf numFmtId="184" fontId="62" fillId="3" borderId="4" xfId="0" applyNumberFormat="1"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 fillId="3" borderId="1" xfId="0" applyFont="1" applyFill="1" applyBorder="1" applyAlignment="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36" fillId="3" borderId="97" xfId="0" applyFont="1" applyFill="1" applyBorder="1" applyAlignment="1" applyProtection="1">
      <alignment horizontal="left" vertical="center"/>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45" fillId="0" borderId="0" xfId="3" applyFont="1" applyAlignment="1">
      <alignment horizontal="left" vertical="center"/>
    </xf>
    <xf numFmtId="0" fontId="42" fillId="0" borderId="0" xfId="3" applyFont="1" applyAlignment="1">
      <alignment horizontal="left" vertical="center"/>
    </xf>
    <xf numFmtId="0" fontId="11" fillId="0" borderId="0" xfId="3" applyFont="1" applyAlignment="1">
      <alignment horizontal="left" vertical="center"/>
    </xf>
    <xf numFmtId="0" fontId="49" fillId="11" borderId="80" xfId="3" applyFont="1" applyFill="1" applyBorder="1" applyAlignment="1" applyProtection="1">
      <alignment horizontal="left" vertical="center" wrapText="1"/>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49" fillId="11" borderId="85"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22;&#22885;&#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55296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5" customWidth="1"/>
    <col min="2" max="2" width="81" style="3206" customWidth="1"/>
    <col min="3" max="16384" width="9" style="3207"/>
  </cols>
  <sheetData>
    <row r="1" spans="1:2" s="3202" customFormat="1" ht="15.75">
      <c r="A1" s="3208" t="s">
        <v>0</v>
      </c>
      <c r="B1" s="3209" t="s">
        <v>1</v>
      </c>
    </row>
    <row r="2" spans="1:2" s="3203" customFormat="1">
      <c r="A2" s="3210" t="s">
        <v>2</v>
      </c>
      <c r="B2" s="3211" t="str">
        <f>'预评函-封皮'!B37:I37</f>
        <v>北京市房地产抵押价值预评估</v>
      </c>
    </row>
    <row r="3" spans="1:2" s="3204" customFormat="1">
      <c r="A3" s="3212" t="s">
        <v>3</v>
      </c>
      <c r="B3" s="3213">
        <f>'预评函-封皮'!B40</f>
        <v>0</v>
      </c>
    </row>
    <row r="4" spans="1:2" s="3204" customFormat="1">
      <c r="A4" s="3212" t="s">
        <v>4</v>
      </c>
      <c r="B4" s="3213" t="str">
        <f ca="1">'预评函-封皮'!B46</f>
        <v>郑燚（注册号：1120070131)、崔锴（注册号：0)</v>
      </c>
    </row>
    <row r="5" spans="1:2" s="3202" customFormat="1">
      <c r="A5" s="3214" t="s">
        <v>5</v>
      </c>
      <c r="B5" s="3215" t="str">
        <f>'预评函-封皮'!B49</f>
        <v>康正预评字号</v>
      </c>
    </row>
    <row r="6" spans="1:2" s="3203" customFormat="1">
      <c r="A6" s="3210" t="s">
        <v>6</v>
      </c>
      <c r="B6" s="3211" t="str">
        <f>'预评函-1'!A4</f>
        <v>受贵公司委托，我公司对北京市房地产抵押价值进行了预评估。</v>
      </c>
    </row>
    <row r="7" spans="1:2" s="3204" customFormat="1">
      <c r="A7" s="3212" t="s">
        <v>7</v>
      </c>
      <c r="B7" s="3213" t="str">
        <f>'预评函-1'!A7</f>
        <v>估价对象为北京市房地产，为所有。根据《国有土地使用证》[]，估价对象（分摊）出让国有建设用地使用权面积为8299.16平方米，建筑面积为29009.8平方米。</v>
      </c>
    </row>
    <row r="8" spans="1:2" s="3204" customFormat="1">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s="3204" customFormat="1">
      <c r="A9" s="3212" t="s">
        <v>9</v>
      </c>
      <c r="B9" s="3213" t="str">
        <f>'预评函-1'!A10</f>
        <v>估价对象为北京市房地产,属开发建设的商业项目，该项目尚在开发建设中。根据《国有土地使用证》[]，估价对象（分摊）出让国有建设用地使用权面积为8299.16平方米，规划建筑面积为29009.8平方米。</v>
      </c>
    </row>
    <row r="10" spans="1:2" s="3204" customFormat="1">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4" customFormat="1">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4" customFormat="1">
      <c r="A12" s="3212" t="s">
        <v>12</v>
      </c>
      <c r="B12" s="3213" t="str">
        <f>'预评函-1'!A15</f>
        <v>2022年9月23日</v>
      </c>
    </row>
    <row r="13" spans="1:2" s="3204" customFormat="1">
      <c r="A13" s="3212" t="s">
        <v>13</v>
      </c>
      <c r="B13" s="3213"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3204" customFormat="1">
      <c r="A14" s="3212" t="s">
        <v>14</v>
      </c>
      <c r="B14" s="32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4" customFormat="1">
      <c r="A15" s="3212" t="s">
        <v>15</v>
      </c>
      <c r="B15" s="3213" t="str">
        <f>'预评函-1'!A20</f>
        <v>本次估价的“房地产抵押价值”是指估价对象在价值时点的“房地产价值”扣减估价师于价值时点所知悉的法定优先受偿款后的余额。</v>
      </c>
    </row>
    <row r="16" spans="1:2" s="3204" customFormat="1">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4" customFormat="1">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2" customFormat="1">
      <c r="A18" s="3214" t="s">
        <v>18</v>
      </c>
      <c r="B18" s="3215" t="str">
        <f>'预评函-1'!A24</f>
        <v>本次评估采用的主估价方法为成本法和收益法。</v>
      </c>
    </row>
    <row r="19" spans="1:2" s="3203"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4" customFormat="1">
      <c r="A20" s="3212" t="s">
        <v>20</v>
      </c>
      <c r="B20" s="3213">
        <f ca="1">'预评函-2'!D5</f>
        <v>90270</v>
      </c>
    </row>
    <row r="21" spans="1:2" s="3204" customFormat="1">
      <c r="A21" s="3212" t="s">
        <v>21</v>
      </c>
      <c r="B21" s="3213">
        <f ca="1">'预评函-2'!D7</f>
        <v>31117</v>
      </c>
    </row>
    <row r="22" spans="1:2" s="3204" customFormat="1">
      <c r="A22" s="3212" t="s">
        <v>22</v>
      </c>
      <c r="B22" s="3213" t="str">
        <f ca="1">'预评函-2'!D6</f>
        <v>玖亿零贰佰柒拾万元整</v>
      </c>
    </row>
    <row r="23" spans="1:2" s="3204" customFormat="1">
      <c r="A23" s="3212" t="s">
        <v>23</v>
      </c>
      <c r="B23" s="3213" t="str">
        <f>'预评函-2'!B8</f>
        <v>2.估价师知悉的法定优先受偿款</v>
      </c>
    </row>
    <row r="24" spans="1:2" s="3204" customFormat="1">
      <c r="A24" s="3212" t="s">
        <v>24</v>
      </c>
      <c r="B24" s="3213">
        <f>'预评函-2'!D8</f>
        <v>0</v>
      </c>
    </row>
    <row r="25" spans="1:2" s="3204" customFormat="1">
      <c r="A25" s="3212" t="s">
        <v>25</v>
      </c>
      <c r="B25" s="3213" t="str">
        <f>'预评函-2'!D9</f>
        <v>零元整</v>
      </c>
    </row>
    <row r="26" spans="1:2" s="3204" customFormat="1">
      <c r="A26" s="3212" t="s">
        <v>26</v>
      </c>
      <c r="B26" s="3213">
        <f>'预评函-2'!D10</f>
        <v>0</v>
      </c>
    </row>
    <row r="27" spans="1:2" s="3204" customFormat="1">
      <c r="A27" s="3212" t="s">
        <v>27</v>
      </c>
      <c r="B27" s="3213">
        <f>'预评函-2'!D11</f>
        <v>0</v>
      </c>
    </row>
    <row r="28" spans="1:2" s="3204" customFormat="1">
      <c r="A28" s="3212" t="s">
        <v>28</v>
      </c>
      <c r="B28" s="3213">
        <f>'预评函-2'!D12</f>
        <v>0</v>
      </c>
    </row>
    <row r="29" spans="1:2" s="3204" customFormat="1">
      <c r="A29" s="3212" t="s">
        <v>29</v>
      </c>
      <c r="B29" s="3213" t="str">
        <f>'预评函-2'!B13</f>
        <v>3.房地产抵押价值</v>
      </c>
    </row>
    <row r="30" spans="1:2" s="3204" customFormat="1">
      <c r="A30" s="3212" t="s">
        <v>30</v>
      </c>
      <c r="B30" s="3213">
        <f ca="1">'预评函-2'!D13</f>
        <v>90270</v>
      </c>
    </row>
    <row r="31" spans="1:2" s="3204" customFormat="1">
      <c r="A31" s="3212" t="s">
        <v>31</v>
      </c>
      <c r="B31" s="3213">
        <f ca="1">'预评函-2'!D15</f>
        <v>31117</v>
      </c>
    </row>
    <row r="32" spans="1:2" s="3204" customFormat="1">
      <c r="A32" s="3212" t="s">
        <v>32</v>
      </c>
      <c r="B32" s="3213" t="str">
        <f ca="1">'预评函-2'!D14</f>
        <v>玖亿零贰佰柒拾万元整</v>
      </c>
    </row>
    <row r="33" spans="1:2" s="3204" customFormat="1">
      <c r="A33" s="3212" t="s">
        <v>33</v>
      </c>
      <c r="B33" s="3213" t="str">
        <f>'预评函-2'!B16</f>
        <v>——</v>
      </c>
    </row>
    <row r="34" spans="1:2" s="3204" customFormat="1">
      <c r="A34" s="3212" t="s">
        <v>34</v>
      </c>
      <c r="B34" s="3213" t="str">
        <f>'预评函-2'!D16</f>
        <v>——</v>
      </c>
    </row>
    <row r="35" spans="1:2" s="3204" customFormat="1">
      <c r="A35" s="3212" t="s">
        <v>35</v>
      </c>
      <c r="B35" s="3213" t="str">
        <f>'预评函-2'!D18</f>
        <v>——</v>
      </c>
    </row>
    <row r="36" spans="1:2" s="3204" customFormat="1">
      <c r="A36" s="3212" t="s">
        <v>36</v>
      </c>
      <c r="B36" s="3213" t="e">
        <f>'预评函-2'!D17</f>
        <v>#VALUE!</v>
      </c>
    </row>
    <row r="37" spans="1:2" s="3204" customFormat="1">
      <c r="A37" s="3212" t="s">
        <v>37</v>
      </c>
      <c r="B37" s="3213" t="str">
        <f>'预评函-2'!B19</f>
        <v>——</v>
      </c>
    </row>
    <row r="38" spans="1:2" s="3204" customFormat="1">
      <c r="A38" s="3212" t="s">
        <v>38</v>
      </c>
      <c r="B38" s="3213" t="str">
        <f>'预评函-2'!D19</f>
        <v>——</v>
      </c>
    </row>
    <row r="39" spans="1:2" s="3204" customFormat="1">
      <c r="A39" s="3212" t="s">
        <v>39</v>
      </c>
      <c r="B39" s="3213" t="str">
        <f>'预评函-2'!D21</f>
        <v>——</v>
      </c>
    </row>
    <row r="40" spans="1:2" s="3204" customFormat="1">
      <c r="A40" s="3212" t="s">
        <v>40</v>
      </c>
      <c r="B40" s="3213" t="e">
        <f>'预评函-2'!D20</f>
        <v>#VALUE!</v>
      </c>
    </row>
    <row r="41" spans="1:2" s="3204" customFormat="1">
      <c r="A41" s="3212" t="s">
        <v>41</v>
      </c>
      <c r="B41" s="3213" t="str">
        <f>'预评函-3'!A4</f>
        <v>北京市房地产</v>
      </c>
    </row>
    <row r="42" spans="1:2" s="3204" customFormat="1">
      <c r="A42" s="3212" t="s">
        <v>42</v>
      </c>
      <c r="B42" s="3213" t="str">
        <f>'预评函-3'!B2</f>
        <v>建筑面积</v>
      </c>
    </row>
    <row r="43" spans="1:2" s="3204" customFormat="1">
      <c r="A43" s="3212" t="s">
        <v>43</v>
      </c>
      <c r="B43" s="3213">
        <f>'预评函-3'!B4</f>
        <v>29009.8</v>
      </c>
    </row>
    <row r="44" spans="1:2" s="3204" customFormat="1">
      <c r="A44" s="3212" t="s">
        <v>44</v>
      </c>
      <c r="B44" s="3213" t="str">
        <f>'预评函-3'!C2</f>
        <v>(分摊)土地面积</v>
      </c>
    </row>
    <row r="45" spans="1:2" s="3204" customFormat="1">
      <c r="A45" s="3212" t="s">
        <v>45</v>
      </c>
      <c r="B45" s="3213">
        <f>'预评函-3'!C4</f>
        <v>8299.16</v>
      </c>
    </row>
    <row r="46" spans="1:2" s="3204" customFormat="1">
      <c r="A46" s="3212" t="s">
        <v>46</v>
      </c>
      <c r="B46" s="3213" t="str">
        <f>'预评函-3'!D2</f>
        <v>出让国有建设用地使用权价值</v>
      </c>
    </row>
    <row r="47" spans="1:2" s="3204" customFormat="1">
      <c r="A47" s="3212" t="s">
        <v>47</v>
      </c>
      <c r="B47" s="3213">
        <f ca="1">'预评函-3'!D4</f>
        <v>71855</v>
      </c>
    </row>
    <row r="48" spans="1:2" s="3204" customFormat="1">
      <c r="A48" s="3212" t="s">
        <v>48</v>
      </c>
      <c r="B48" s="3213">
        <f ca="1">'预评函-3'!E4</f>
        <v>24769</v>
      </c>
    </row>
    <row r="49" spans="1:2" s="3204" customFormat="1">
      <c r="A49" s="3212" t="s">
        <v>49</v>
      </c>
      <c r="B49" s="3213" t="str">
        <f ca="1">'预评函-3'!D5</f>
        <v>柒亿壹仟捌佰伍拾伍万元整</v>
      </c>
    </row>
    <row r="50" spans="1:2" s="3204" customFormat="1">
      <c r="A50" s="3212" t="s">
        <v>50</v>
      </c>
      <c r="B50" s="3213" t="str">
        <f>'预评函-3'!F2</f>
        <v>在建建筑物价值</v>
      </c>
    </row>
    <row r="51" spans="1:2" s="3204" customFormat="1">
      <c r="A51" s="3212" t="s">
        <v>51</v>
      </c>
      <c r="B51" s="3213">
        <f ca="1">'预评函-3'!F4</f>
        <v>18415</v>
      </c>
    </row>
    <row r="52" spans="1:2" s="3204" customFormat="1">
      <c r="A52" s="3212" t="s">
        <v>52</v>
      </c>
      <c r="B52" s="3213">
        <f ca="1">'预评函-3'!G4</f>
        <v>6348</v>
      </c>
    </row>
    <row r="53" spans="1:2" s="3204" customFormat="1">
      <c r="A53" s="3212" t="s">
        <v>53</v>
      </c>
      <c r="B53" s="3213" t="str">
        <f ca="1">'预评函-3'!F5</f>
        <v>壹亿捌仟肆佰壹拾伍万元整</v>
      </c>
    </row>
    <row r="54" spans="1:2" s="3204" customFormat="1">
      <c r="A54" s="3212" t="s">
        <v>54</v>
      </c>
      <c r="B54" s="3213" t="str">
        <f>'预评函-3'!A8</f>
        <v>房地产抵押价值</v>
      </c>
    </row>
    <row r="55" spans="1:2" s="3204" customFormat="1">
      <c r="A55" s="3212" t="s">
        <v>55</v>
      </c>
      <c r="B55" s="3213" t="str">
        <f>'预评函-3'!A10</f>
        <v/>
      </c>
    </row>
    <row r="56" spans="1:2" s="3204" customFormat="1">
      <c r="A56" s="3212" t="s">
        <v>56</v>
      </c>
      <c r="B56" s="3213" t="str">
        <f>'预评函-3'!A12</f>
        <v/>
      </c>
    </row>
    <row r="57" spans="1:2" s="3202" customFormat="1">
      <c r="A57" s="3214" t="s">
        <v>57</v>
      </c>
      <c r="B57" s="3215" t="str">
        <f>'预评函-3'!A6</f>
        <v>估价师知悉的法定优先受偿款</v>
      </c>
    </row>
    <row r="58" spans="1:2" s="3203" customFormat="1">
      <c r="A58" s="3210" t="s">
        <v>58</v>
      </c>
      <c r="B58" s="3211" t="str">
        <f>'预评函-4'!A12</f>
        <v>2.本《评估意见函》仅供金融机构进行内部审核使用，不做其他目的之用。</v>
      </c>
    </row>
    <row r="59" spans="1:2" s="3204" customFormat="1">
      <c r="A59" s="3212" t="s">
        <v>59</v>
      </c>
      <c r="B59" s="3213" t="str">
        <f>'预评函-4'!A13</f>
        <v>3.抵押双方在办理抵押登记手续时，应使用本公司出具的正式《房地产评估报告》，特提醒报告使用者注意。</v>
      </c>
    </row>
    <row r="60" spans="1:2" s="3204" customFormat="1">
      <c r="A60" s="3212" t="s">
        <v>60</v>
      </c>
      <c r="B60" s="3213" t="str">
        <f>'预评函-4'!A14</f>
        <v>4.本次评估估价师所知悉的法定优先受偿款情况说明如下：</v>
      </c>
    </row>
    <row r="61" spans="1:2" s="3204" customFormat="1">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4" customFormat="1">
      <c r="A62" s="3212" t="s">
        <v>62</v>
      </c>
      <c r="B62" s="3213" t="str">
        <f>'预评函-4'!A16</f>
        <v>（2）根据《工程款支付情况说明》，截至价值时点，估价对象不存在应付未付工程款项。（只要没有施工方盖章的，均“设定”进行表述）</v>
      </c>
    </row>
    <row r="63" spans="1:2" s="3204" customFormat="1">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4" customFormat="1">
      <c r="A64" s="3212" t="s">
        <v>64</v>
      </c>
      <c r="B64" s="3213" t="str">
        <f>'预评函-4'!A18</f>
        <v>故，本次评估不存在估价师知悉的法定优先受偿款</v>
      </c>
    </row>
    <row r="65" spans="1:2" s="3204" customFormat="1">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4" customFormat="1">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4" customFormat="1">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4" customFormat="1">
      <c r="A68" s="3212" t="s">
        <v>68</v>
      </c>
      <c r="B68" s="3213" t="str">
        <f>'预评函-4'!A22</f>
        <v>8.其他需特殊说明事项：无（注意调整序号）</v>
      </c>
    </row>
    <row r="69" spans="1:2" s="3202"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t="str">
        <f>'预评函-4'!A5</f>
        <v>崔锴</v>
      </c>
    </row>
    <row r="73" spans="1:2" s="3202" customFormat="1">
      <c r="A73" s="3214" t="s">
        <v>73</v>
      </c>
      <c r="B73" s="3215">
        <f ca="1">'预评函-4'!B5</f>
        <v>0</v>
      </c>
    </row>
    <row r="74" spans="1:2">
      <c r="A74" s="3205" t="s">
        <v>74</v>
      </c>
      <c r="B74" s="320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0" customWidth="1"/>
    <col min="2" max="2" width="23.25" style="3081" customWidth="1"/>
    <col min="3" max="3" width="13" style="3082" customWidth="1"/>
    <col min="4" max="4" width="5.75" style="3083" customWidth="1"/>
    <col min="5" max="5" width="7.125" style="3083" customWidth="1"/>
    <col min="6" max="6" width="10.625" style="3083" customWidth="1"/>
    <col min="7" max="7" width="7.5" style="3083" customWidth="1"/>
    <col min="8" max="8" width="9" style="3082" customWidth="1"/>
    <col min="9" max="9" width="11.625" style="3082" customWidth="1"/>
    <col min="10" max="10" width="9" style="3082" customWidth="1"/>
    <col min="11" max="19" width="9" style="3083" customWidth="1"/>
    <col min="20" max="23" width="9" style="3082" customWidth="1"/>
    <col min="24" max="24" width="21.125" style="3081" customWidth="1"/>
    <col min="25" max="16384" width="9" style="3081"/>
  </cols>
  <sheetData>
    <row r="1" spans="1:23" s="3079" customFormat="1" ht="27">
      <c r="A1" s="3084" t="s">
        <v>206</v>
      </c>
      <c r="B1" s="3085" t="s">
        <v>207</v>
      </c>
      <c r="C1" s="3086" t="s">
        <v>208</v>
      </c>
      <c r="D1" s="3087" t="s">
        <v>209</v>
      </c>
      <c r="E1" s="3087" t="s">
        <v>210</v>
      </c>
      <c r="F1" s="3087" t="s">
        <v>211</v>
      </c>
      <c r="G1" s="3087" t="s">
        <v>212</v>
      </c>
      <c r="H1" s="3087" t="s">
        <v>213</v>
      </c>
      <c r="I1" s="3087" t="s">
        <v>214</v>
      </c>
      <c r="J1" s="3087" t="s">
        <v>215</v>
      </c>
      <c r="K1" s="3087" t="s">
        <v>216</v>
      </c>
      <c r="L1" s="3087" t="s">
        <v>217</v>
      </c>
      <c r="M1" s="3087" t="s">
        <v>218</v>
      </c>
      <c r="N1" s="3087" t="s">
        <v>219</v>
      </c>
      <c r="O1" s="3087" t="s">
        <v>220</v>
      </c>
      <c r="P1" s="3096" t="s">
        <v>221</v>
      </c>
      <c r="Q1" s="3096" t="s">
        <v>222</v>
      </c>
      <c r="R1" s="3087" t="s">
        <v>223</v>
      </c>
      <c r="S1" s="3087" t="s">
        <v>224</v>
      </c>
      <c r="T1" s="3097" t="s">
        <v>225</v>
      </c>
      <c r="U1" s="3087" t="s">
        <v>226</v>
      </c>
      <c r="V1" s="3087" t="s">
        <v>227</v>
      </c>
      <c r="W1" s="3087" t="s">
        <v>228</v>
      </c>
    </row>
    <row r="2" spans="1:23">
      <c r="A2" s="3088" t="s">
        <v>124</v>
      </c>
      <c r="B2" s="3088" t="s">
        <v>229</v>
      </c>
      <c r="C2" s="3089" t="s">
        <v>230</v>
      </c>
      <c r="D2" s="3083" t="s">
        <v>231</v>
      </c>
      <c r="E2" s="3083" t="s">
        <v>232</v>
      </c>
      <c r="F2" s="3083" t="s">
        <v>159</v>
      </c>
      <c r="G2" s="3083">
        <v>40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88" t="s">
        <v>239</v>
      </c>
      <c r="B3" s="3090" t="s">
        <v>240</v>
      </c>
      <c r="C3" s="3091" t="s">
        <v>241</v>
      </c>
      <c r="D3" s="3083" t="s">
        <v>242</v>
      </c>
      <c r="E3" s="3083" t="s">
        <v>124</v>
      </c>
      <c r="F3" s="3083" t="s">
        <v>160</v>
      </c>
      <c r="G3" s="3083">
        <v>50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88" t="s">
        <v>249</v>
      </c>
      <c r="B4" s="3088" t="s">
        <v>250</v>
      </c>
      <c r="C4" s="3089" t="s">
        <v>251</v>
      </c>
      <c r="D4" s="3083" t="s">
        <v>124</v>
      </c>
      <c r="E4" s="3083" t="s">
        <v>252</v>
      </c>
      <c r="F4" s="3083" t="s">
        <v>161</v>
      </c>
      <c r="G4" s="3083">
        <v>70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88" t="s">
        <v>257</v>
      </c>
      <c r="B5" s="3088" t="s">
        <v>258</v>
      </c>
      <c r="C5" s="3089" t="s">
        <v>259</v>
      </c>
      <c r="F5" s="3083" t="s">
        <v>162</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88" t="s">
        <v>265</v>
      </c>
      <c r="B6" s="3090" t="s">
        <v>266</v>
      </c>
      <c r="C6" s="3092"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88" t="s">
        <v>271</v>
      </c>
      <c r="B7" s="3090" t="s">
        <v>272</v>
      </c>
      <c r="C7" s="3089" t="s">
        <v>273</v>
      </c>
      <c r="F7" s="3083" t="s">
        <v>274</v>
      </c>
      <c r="H7" s="3083" t="s">
        <v>162</v>
      </c>
      <c r="I7" s="3083" t="s">
        <v>275</v>
      </c>
    </row>
    <row r="8" spans="1:23">
      <c r="A8" s="3088" t="s">
        <v>276</v>
      </c>
      <c r="B8" s="3088" t="s">
        <v>277</v>
      </c>
      <c r="C8" s="3089" t="s">
        <v>278</v>
      </c>
      <c r="F8" s="3083" t="s">
        <v>279</v>
      </c>
      <c r="H8" s="3083"/>
      <c r="I8" s="3083" t="s">
        <v>280</v>
      </c>
    </row>
    <row r="9" spans="1:23">
      <c r="A9" s="3088" t="s">
        <v>281</v>
      </c>
      <c r="B9" s="3088" t="s">
        <v>282</v>
      </c>
      <c r="C9" s="3089" t="s">
        <v>283</v>
      </c>
      <c r="F9" s="3083" t="s">
        <v>164</v>
      </c>
      <c r="H9" s="3083"/>
    </row>
    <row r="10" spans="1:23">
      <c r="A10" s="3088" t="s">
        <v>284</v>
      </c>
      <c r="B10" s="3088" t="s">
        <v>285</v>
      </c>
      <c r="C10" s="3089" t="s">
        <v>286</v>
      </c>
      <c r="F10" s="3083" t="s">
        <v>124</v>
      </c>
    </row>
    <row r="11" spans="1:23">
      <c r="A11" s="3088" t="s">
        <v>287</v>
      </c>
      <c r="B11" s="3088" t="s">
        <v>288</v>
      </c>
      <c r="C11" s="3089" t="s">
        <v>289</v>
      </c>
    </row>
    <row r="12" spans="1:23">
      <c r="A12" s="3088" t="s">
        <v>290</v>
      </c>
      <c r="B12" s="3088" t="s">
        <v>291</v>
      </c>
      <c r="C12" s="3089" t="s">
        <v>292</v>
      </c>
    </row>
    <row r="13" spans="1:23">
      <c r="A13" s="3088" t="s">
        <v>293</v>
      </c>
      <c r="B13" s="3088" t="s">
        <v>294</v>
      </c>
      <c r="C13" s="3089" t="s">
        <v>295</v>
      </c>
    </row>
    <row r="14" spans="1:23">
      <c r="A14" s="3088" t="s">
        <v>296</v>
      </c>
      <c r="B14" s="3088" t="s">
        <v>297</v>
      </c>
      <c r="C14" s="3083" t="s">
        <v>124</v>
      </c>
    </row>
    <row r="15" spans="1:23">
      <c r="A15" s="3088" t="s">
        <v>298</v>
      </c>
      <c r="B15" s="3088" t="s">
        <v>299</v>
      </c>
      <c r="C15" s="3089"/>
    </row>
    <row r="16" spans="1:23">
      <c r="A16" s="3088" t="s">
        <v>300</v>
      </c>
      <c r="B16" s="3088" t="s">
        <v>301</v>
      </c>
      <c r="C16" s="3089"/>
    </row>
    <row r="17" spans="1:3">
      <c r="A17" s="3088" t="s">
        <v>302</v>
      </c>
      <c r="B17" s="3088" t="s">
        <v>303</v>
      </c>
      <c r="C17" s="3089"/>
    </row>
    <row r="18" spans="1:3">
      <c r="A18" s="3088" t="s">
        <v>304</v>
      </c>
      <c r="B18" s="3088" t="s">
        <v>305</v>
      </c>
      <c r="C18" s="3089"/>
    </row>
    <row r="19" spans="1:3">
      <c r="A19" s="3088" t="s">
        <v>306</v>
      </c>
      <c r="B19" s="3088" t="s">
        <v>307</v>
      </c>
      <c r="C19" s="3089"/>
    </row>
    <row r="20" spans="1:3">
      <c r="A20" s="3088" t="s">
        <v>308</v>
      </c>
      <c r="B20" s="3088" t="s">
        <v>307</v>
      </c>
      <c r="C20" s="3089"/>
    </row>
    <row r="21" spans="1:3">
      <c r="A21" s="3088" t="s">
        <v>260</v>
      </c>
      <c r="B21" s="3088" t="s">
        <v>307</v>
      </c>
      <c r="C21" s="3089"/>
    </row>
    <row r="22" spans="1:3">
      <c r="A22" s="3088" t="s">
        <v>309</v>
      </c>
      <c r="B22" s="3088" t="s">
        <v>307</v>
      </c>
      <c r="C22" s="3089"/>
    </row>
    <row r="23" spans="1:3">
      <c r="A23" s="3088" t="s">
        <v>310</v>
      </c>
      <c r="B23" s="3088" t="s">
        <v>307</v>
      </c>
      <c r="C23" s="3089"/>
    </row>
    <row r="24" spans="1:3">
      <c r="A24" s="3088" t="s">
        <v>311</v>
      </c>
      <c r="B24" s="3088" t="s">
        <v>307</v>
      </c>
      <c r="C24" s="3089"/>
    </row>
    <row r="25" spans="1:3">
      <c r="A25" s="3088" t="s">
        <v>312</v>
      </c>
      <c r="B25" s="3088" t="s">
        <v>307</v>
      </c>
      <c r="C25" s="3089"/>
    </row>
    <row r="26" spans="1:3">
      <c r="A26" s="3088" t="s">
        <v>313</v>
      </c>
      <c r="B26" s="3088" t="s">
        <v>307</v>
      </c>
      <c r="C26" s="3089"/>
    </row>
    <row r="27" spans="1:3">
      <c r="A27" s="3088" t="s">
        <v>307</v>
      </c>
      <c r="B27" s="3088" t="s">
        <v>307</v>
      </c>
      <c r="C27" s="3089"/>
    </row>
    <row r="28" spans="1:3">
      <c r="A28" s="3088" t="s">
        <v>307</v>
      </c>
      <c r="B28" s="3088" t="s">
        <v>307</v>
      </c>
      <c r="C28" s="3089"/>
    </row>
    <row r="29" spans="1:3">
      <c r="A29" s="3088" t="s">
        <v>307</v>
      </c>
      <c r="B29" s="3088" t="s">
        <v>307</v>
      </c>
      <c r="C29" s="3089"/>
    </row>
    <row r="30" spans="1:3">
      <c r="A30" s="3088" t="s">
        <v>307</v>
      </c>
      <c r="B30" s="3088" t="s">
        <v>307</v>
      </c>
      <c r="C30" s="3089"/>
    </row>
    <row r="31" spans="1:3">
      <c r="A31" s="3088" t="s">
        <v>307</v>
      </c>
      <c r="B31" s="3088" t="s">
        <v>307</v>
      </c>
      <c r="C31" s="3089"/>
    </row>
    <row r="32" spans="1:3">
      <c r="A32" s="3088" t="s">
        <v>307</v>
      </c>
      <c r="B32" s="3088" t="s">
        <v>307</v>
      </c>
      <c r="C32" s="3089"/>
    </row>
    <row r="33" spans="1:3">
      <c r="A33" s="3088" t="s">
        <v>307</v>
      </c>
      <c r="B33" s="3088" t="s">
        <v>307</v>
      </c>
      <c r="C33" s="3089"/>
    </row>
    <row r="34" spans="1:3">
      <c r="A34" s="3088" t="s">
        <v>307</v>
      </c>
      <c r="B34" s="3088" t="s">
        <v>307</v>
      </c>
      <c r="C34" s="3089"/>
    </row>
    <row r="35" spans="1:3">
      <c r="A35" s="3088" t="s">
        <v>307</v>
      </c>
      <c r="B35" s="3088" t="s">
        <v>307</v>
      </c>
      <c r="C35" s="3089"/>
    </row>
    <row r="36" spans="1:3">
      <c r="A36" s="3088" t="s">
        <v>307</v>
      </c>
      <c r="B36" s="3088" t="s">
        <v>307</v>
      </c>
      <c r="C36" s="3089"/>
    </row>
    <row r="37" spans="1:3">
      <c r="A37" s="3088" t="s">
        <v>307</v>
      </c>
      <c r="B37" s="3088" t="s">
        <v>307</v>
      </c>
      <c r="C37" s="3089"/>
    </row>
    <row r="38" spans="1:3">
      <c r="A38" s="3088" t="s">
        <v>307</v>
      </c>
      <c r="B38" s="3088" t="s">
        <v>307</v>
      </c>
      <c r="C38" s="3089"/>
    </row>
    <row r="39" spans="1:3">
      <c r="A39" s="3088" t="s">
        <v>307</v>
      </c>
      <c r="B39" s="3088" t="s">
        <v>307</v>
      </c>
      <c r="C39" s="3089"/>
    </row>
    <row r="40" spans="1:3">
      <c r="A40" s="3088" t="s">
        <v>307</v>
      </c>
      <c r="B40" s="3088" t="s">
        <v>307</v>
      </c>
      <c r="C40" s="3089"/>
    </row>
    <row r="41" spans="1:3">
      <c r="A41" s="3088" t="s">
        <v>307</v>
      </c>
      <c r="B41" s="3088" t="s">
        <v>307</v>
      </c>
      <c r="C41" s="3089"/>
    </row>
    <row r="42" spans="1:3">
      <c r="A42" s="3088" t="s">
        <v>307</v>
      </c>
      <c r="B42" s="3088" t="s">
        <v>307</v>
      </c>
      <c r="C42" s="3089"/>
    </row>
    <row r="43" spans="1:3">
      <c r="A43" s="3088" t="s">
        <v>307</v>
      </c>
      <c r="B43" s="3088" t="s">
        <v>307</v>
      </c>
      <c r="C43" s="3089"/>
    </row>
    <row r="44" spans="1:3">
      <c r="A44" s="3088" t="s">
        <v>307</v>
      </c>
      <c r="B44" s="3088" t="s">
        <v>307</v>
      </c>
      <c r="C44" s="3089"/>
    </row>
    <row r="45" spans="1:3">
      <c r="A45" s="3088" t="s">
        <v>307</v>
      </c>
      <c r="B45" s="3088" t="s">
        <v>307</v>
      </c>
      <c r="C45" s="3089"/>
    </row>
    <row r="46" spans="1:3">
      <c r="A46" s="3088" t="s">
        <v>307</v>
      </c>
      <c r="B46" s="3088" t="s">
        <v>307</v>
      </c>
      <c r="C46" s="3089"/>
    </row>
    <row r="47" spans="1:3">
      <c r="A47" s="3088" t="s">
        <v>307</v>
      </c>
      <c r="B47" s="3088" t="s">
        <v>307</v>
      </c>
      <c r="C47" s="3089"/>
    </row>
    <row r="48" spans="1:3">
      <c r="A48" s="3088" t="s">
        <v>307</v>
      </c>
      <c r="B48" s="3088" t="s">
        <v>307</v>
      </c>
      <c r="C48" s="3089"/>
    </row>
    <row r="49" spans="1:4">
      <c r="A49" s="3088" t="s">
        <v>307</v>
      </c>
      <c r="B49" s="3088" t="s">
        <v>307</v>
      </c>
      <c r="C49" s="3089"/>
    </row>
    <row r="50" spans="1:4">
      <c r="A50" s="3088" t="s">
        <v>307</v>
      </c>
      <c r="B50" s="3088" t="s">
        <v>307</v>
      </c>
      <c r="C50" s="3089"/>
    </row>
    <row r="51" spans="1:4">
      <c r="A51" s="3093" t="s">
        <v>314</v>
      </c>
      <c r="B51" s="3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4" t="s">
        <v>315</v>
      </c>
    </row>
    <row r="52" spans="1:4">
      <c r="A52" s="3093" t="s">
        <v>316</v>
      </c>
      <c r="B52" s="3093" t="s">
        <v>317</v>
      </c>
      <c r="C52" s="3082" t="s">
        <v>318</v>
      </c>
      <c r="D52" s="3082" t="s">
        <v>319</v>
      </c>
    </row>
    <row r="53" spans="1:4">
      <c r="A53" s="3265" t="s">
        <v>320</v>
      </c>
      <c r="B53" s="3094" t="s">
        <v>321</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094" t="s">
        <v>322</v>
      </c>
      <c r="C54" s="3082" t="s">
        <v>323</v>
      </c>
    </row>
    <row r="55" spans="1:4">
      <c r="A55" s="3265"/>
      <c r="B55" s="3094" t="s">
        <v>324</v>
      </c>
      <c r="C55" s="3082" t="s">
        <v>325</v>
      </c>
    </row>
    <row r="56" spans="1:4">
      <c r="A56" s="3265"/>
      <c r="B56" s="3094" t="s">
        <v>326</v>
      </c>
      <c r="C56" s="3082" t="s">
        <v>327</v>
      </c>
    </row>
    <row r="57" spans="1:4">
      <c r="A57" s="3265"/>
      <c r="B57" s="3094" t="s">
        <v>328</v>
      </c>
      <c r="C57" s="3082" t="s">
        <v>329</v>
      </c>
    </row>
    <row r="58" spans="1:4">
      <c r="A58" s="3095"/>
      <c r="B58" s="3082"/>
    </row>
    <row r="59" spans="1:4">
      <c r="A59" s="3095"/>
      <c r="B59" s="3082"/>
    </row>
    <row r="60" spans="1:4">
      <c r="A60" s="3095"/>
      <c r="B60" s="3082"/>
    </row>
    <row r="61" spans="1:4">
      <c r="A61" s="3095"/>
      <c r="B61" s="3082"/>
    </row>
    <row r="62" spans="1:4">
      <c r="A62" s="3095"/>
      <c r="B62" s="3082"/>
    </row>
    <row r="63" spans="1:4">
      <c r="A63" s="3095"/>
      <c r="B63" s="3082"/>
    </row>
    <row r="64" spans="1:4">
      <c r="A64" s="3095"/>
      <c r="B64" s="3082"/>
    </row>
    <row r="65" spans="1:2">
      <c r="A65" s="3095"/>
      <c r="B65" s="3082"/>
    </row>
    <row r="66" spans="1:2">
      <c r="A66" s="3095"/>
      <c r="B66" s="3082"/>
    </row>
    <row r="67" spans="1:2">
      <c r="A67" s="3095"/>
      <c r="B67" s="3082"/>
    </row>
    <row r="68" spans="1:2">
      <c r="A68" s="3095"/>
      <c r="B68" s="3082"/>
    </row>
    <row r="69" spans="1:2">
      <c r="A69" s="3095"/>
      <c r="B69" s="3082"/>
    </row>
    <row r="70" spans="1:2">
      <c r="A70" s="3095"/>
      <c r="B70" s="3082"/>
    </row>
    <row r="71" spans="1:2">
      <c r="A71" s="3095"/>
      <c r="B71" s="3082"/>
    </row>
    <row r="72" spans="1:2">
      <c r="A72" s="3095"/>
      <c r="B72" s="3082"/>
    </row>
    <row r="73" spans="1:2">
      <c r="A73" s="3095"/>
      <c r="B73" s="3082"/>
    </row>
    <row r="74" spans="1:2">
      <c r="A74" s="3095"/>
      <c r="B74" s="3082"/>
    </row>
    <row r="75" spans="1:2">
      <c r="A75" s="3095"/>
      <c r="B75" s="3082"/>
    </row>
    <row r="76" spans="1:2">
      <c r="A76" s="3095"/>
      <c r="B76" s="3082"/>
    </row>
    <row r="77" spans="1:2">
      <c r="A77" s="3095"/>
      <c r="B77" s="3082"/>
    </row>
    <row r="78" spans="1:2">
      <c r="A78" s="3095"/>
      <c r="B78" s="3082"/>
    </row>
    <row r="79" spans="1:2">
      <c r="A79" s="3095"/>
      <c r="B79" s="3082"/>
    </row>
    <row r="80" spans="1:2">
      <c r="A80" s="3095"/>
      <c r="B80" s="3082"/>
    </row>
    <row r="81" spans="1:2">
      <c r="A81" s="3095"/>
      <c r="B81" s="3082"/>
    </row>
    <row r="82" spans="1:2">
      <c r="A82" s="3095"/>
      <c r="B82" s="3082"/>
    </row>
    <row r="83" spans="1:2">
      <c r="A83" s="3095"/>
      <c r="B83" s="3082"/>
    </row>
    <row r="84" spans="1:2">
      <c r="A84" s="3095"/>
      <c r="B84" s="3082"/>
    </row>
    <row r="85" spans="1:2">
      <c r="A85" s="3095"/>
      <c r="B85" s="3082"/>
    </row>
    <row r="86" spans="1:2">
      <c r="A86" s="3095"/>
      <c r="B86" s="3082"/>
    </row>
    <row r="87" spans="1:2">
      <c r="A87" s="3095"/>
      <c r="B87" s="3082"/>
    </row>
    <row r="88" spans="1:2">
      <c r="A88" s="3095"/>
      <c r="B88" s="3082"/>
    </row>
    <row r="89" spans="1:2">
      <c r="A89" s="3095"/>
      <c r="B89" s="3082"/>
    </row>
    <row r="90" spans="1:2">
      <c r="A90" s="3095"/>
      <c r="B90" s="3082"/>
    </row>
    <row r="91" spans="1:2">
      <c r="A91" s="3095"/>
      <c r="B91" s="3082"/>
    </row>
    <row r="92" spans="1:2">
      <c r="A92" s="3095"/>
      <c r="B92" s="3082"/>
    </row>
    <row r="93" spans="1:2">
      <c r="A93" s="3095"/>
      <c r="B93" s="3082"/>
    </row>
    <row r="94" spans="1:2">
      <c r="A94" s="3095"/>
      <c r="B94" s="3082"/>
    </row>
    <row r="95" spans="1:2">
      <c r="A95" s="3095"/>
      <c r="B95" s="3082"/>
    </row>
    <row r="96" spans="1:2">
      <c r="A96" s="3095"/>
      <c r="B96" s="3082"/>
    </row>
    <row r="97" spans="1:2">
      <c r="A97" s="3095"/>
      <c r="B97" s="3082"/>
    </row>
    <row r="98" spans="1:2">
      <c r="A98" s="3095"/>
      <c r="B98" s="3082"/>
    </row>
    <row r="99" spans="1:2">
      <c r="A99" s="3095"/>
      <c r="B99" s="3082"/>
    </row>
    <row r="100" spans="1:2">
      <c r="A100" s="3095"/>
      <c r="B100" s="3082"/>
    </row>
    <row r="101" spans="1:2">
      <c r="A101" s="3095"/>
      <c r="B101" s="3082"/>
    </row>
    <row r="102" spans="1:2">
      <c r="A102" s="3095"/>
      <c r="B102" s="3082"/>
    </row>
    <row r="103" spans="1:2">
      <c r="A103" s="3095"/>
      <c r="B103" s="3082"/>
    </row>
    <row r="104" spans="1:2">
      <c r="A104" s="3095"/>
      <c r="B104" s="3082"/>
    </row>
    <row r="105" spans="1:2">
      <c r="A105" s="3095"/>
      <c r="B105" s="3082"/>
    </row>
    <row r="106" spans="1:2">
      <c r="A106" s="3095"/>
      <c r="B106" s="3082"/>
    </row>
    <row r="107" spans="1:2">
      <c r="A107" s="3095"/>
      <c r="B107" s="3082"/>
    </row>
    <row r="108" spans="1:2">
      <c r="A108" s="3095"/>
      <c r="B108" s="3082"/>
    </row>
    <row r="109" spans="1:2">
      <c r="A109" s="3095"/>
      <c r="B109" s="3082"/>
    </row>
    <row r="110" spans="1:2">
      <c r="A110" s="3095"/>
      <c r="B110" s="3082"/>
    </row>
    <row r="111" spans="1:2">
      <c r="A111" s="3095"/>
      <c r="B111" s="3082"/>
    </row>
    <row r="112" spans="1:2">
      <c r="A112" s="3095"/>
      <c r="B112" s="3082"/>
    </row>
    <row r="113" spans="1:2">
      <c r="A113" s="3095"/>
      <c r="B113" s="3082"/>
    </row>
    <row r="114" spans="1:2">
      <c r="A114" s="3095"/>
      <c r="B114" s="3082"/>
    </row>
    <row r="115" spans="1:2">
      <c r="A115" s="3095"/>
      <c r="B115" s="3082"/>
    </row>
    <row r="116" spans="1:2">
      <c r="A116" s="3095"/>
      <c r="B116" s="3082"/>
    </row>
    <row r="117" spans="1:2">
      <c r="A117" s="3095"/>
      <c r="B117" s="3082"/>
    </row>
    <row r="118" spans="1:2">
      <c r="A118" s="3095"/>
      <c r="B118" s="3082"/>
    </row>
    <row r="119" spans="1:2">
      <c r="A119" s="3095"/>
      <c r="B119" s="3082"/>
    </row>
    <row r="120" spans="1:2">
      <c r="A120" s="3095"/>
      <c r="B120" s="3082"/>
    </row>
    <row r="121" spans="1:2">
      <c r="A121" s="3095"/>
      <c r="B121" s="3082"/>
    </row>
    <row r="122" spans="1:2">
      <c r="A122" s="3095"/>
      <c r="B122" s="3082"/>
    </row>
    <row r="123" spans="1:2">
      <c r="A123" s="3095"/>
      <c r="B123" s="3082"/>
    </row>
    <row r="124" spans="1:2">
      <c r="A124" s="3095"/>
      <c r="B124" s="3082"/>
    </row>
    <row r="125" spans="1:2">
      <c r="A125" s="3095"/>
      <c r="B125" s="3082"/>
    </row>
    <row r="126" spans="1:2">
      <c r="A126" s="3095"/>
      <c r="B126" s="3082"/>
    </row>
    <row r="127" spans="1:2">
      <c r="A127" s="3095"/>
      <c r="B127" s="308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7" sqref="G7"/>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3" customWidth="1"/>
    <col min="10" max="10" width="10" style="2762" customWidth="1"/>
    <col min="11" max="11" width="10" style="2949" customWidth="1"/>
    <col min="12" max="13" width="10" style="2950" customWidth="1"/>
    <col min="14" max="14" width="10" style="2762" customWidth="1"/>
    <col min="15" max="15" width="10" style="240" customWidth="1"/>
    <col min="16" max="17" width="10" style="2762"/>
    <col min="18" max="18" width="10" style="2762" customWidth="1"/>
    <col min="19" max="30" width="10" style="2762"/>
    <col min="31" max="16384" width="10" style="2567"/>
  </cols>
  <sheetData>
    <row r="1" spans="1:28">
      <c r="A1" s="2951" t="s">
        <v>330</v>
      </c>
      <c r="B1" s="3270" t="str">
        <f>IF(B10="北京市","北京市",C10)&amp;F10&amp;IF(结果表!G1="在建","出让国有建设用地使用权及在建建筑物",IF(结果表!G1="土地","出让国有建设用地使用权",))&amp;B9&amp;"预评估"</f>
        <v>北京市房地产抵押价值预评估</v>
      </c>
      <c r="C1" s="3271"/>
      <c r="D1" s="3271"/>
      <c r="E1" s="3271"/>
      <c r="F1" s="3271"/>
      <c r="G1" s="3271"/>
      <c r="H1" s="3271"/>
      <c r="I1" s="3272"/>
      <c r="J1" s="2512"/>
      <c r="K1" s="3051"/>
      <c r="L1" s="3052"/>
      <c r="M1" s="3052"/>
      <c r="N1" s="3025"/>
      <c r="O1" s="2861"/>
      <c r="P1" s="3025"/>
      <c r="Q1" s="3025"/>
      <c r="R1" s="3025"/>
      <c r="S1" s="2568"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28">
      <c r="A2" s="2952" t="s">
        <v>331</v>
      </c>
      <c r="B2" s="2953"/>
      <c r="C2" s="2954"/>
      <c r="D2" s="2955"/>
      <c r="E2" s="3028"/>
      <c r="F2" s="3028"/>
      <c r="G2" s="3001"/>
      <c r="H2" s="3001"/>
      <c r="I2" s="3001"/>
      <c r="J2" s="2512"/>
      <c r="K2" s="3051"/>
      <c r="L2" s="3052"/>
      <c r="M2" s="3052"/>
      <c r="N2" s="3025"/>
      <c r="O2" s="2861"/>
      <c r="P2" s="3025"/>
      <c r="Q2" s="3025"/>
      <c r="R2" s="3025"/>
      <c r="S2" s="2568"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28">
      <c r="A3" s="1830" t="s">
        <v>332</v>
      </c>
      <c r="B3" s="2956"/>
      <c r="C3" s="2957" t="s">
        <v>333</v>
      </c>
      <c r="D3" s="2956">
        <v>44827</v>
      </c>
      <c r="E3" s="3001"/>
      <c r="F3" s="3001"/>
      <c r="G3" s="3001"/>
      <c r="H3" s="3001"/>
      <c r="I3" s="3001"/>
      <c r="J3" s="2512"/>
      <c r="K3" s="3051"/>
      <c r="L3" s="3052"/>
      <c r="M3" s="3052"/>
      <c r="N3" s="3025"/>
      <c r="O3" s="2861"/>
      <c r="P3" s="3025"/>
      <c r="Q3" s="3025"/>
      <c r="R3" s="3025"/>
      <c r="S3" s="2568"/>
      <c r="T3" s="2567"/>
      <c r="U3" s="2567"/>
      <c r="V3" s="2567"/>
      <c r="W3" s="2567"/>
      <c r="X3" s="2567"/>
      <c r="Y3" s="2567"/>
      <c r="Z3" s="2567"/>
      <c r="AA3" s="2567"/>
      <c r="AB3" s="2567"/>
    </row>
    <row r="4" spans="1:28">
      <c r="A4" s="1838" t="s">
        <v>334</v>
      </c>
      <c r="B4" s="2958" t="s">
        <v>191</v>
      </c>
      <c r="C4" s="2959">
        <f ca="1">SUMIF(注册房地产估价师,B4,估价师及机构信息!B3:B24)</f>
        <v>1120070131</v>
      </c>
      <c r="D4" s="2958" t="s">
        <v>190</v>
      </c>
      <c r="E4" s="3029">
        <f ca="1">SUMIF(注册房地产估价师,D4,估价师及机构信息!B3:B24)</f>
        <v>0</v>
      </c>
      <c r="F4" s="2958"/>
      <c r="G4" s="3029">
        <f>SUMIF(注册房地产估价师,F4,估价师及机构信息!B3:B24)</f>
        <v>0</v>
      </c>
      <c r="H4" s="2958"/>
      <c r="I4" s="3029">
        <f>SUMIF(注册房地产估价师,H4,估价师及机构信息!B3:B24)</f>
        <v>0</v>
      </c>
      <c r="J4" s="2551"/>
      <c r="K4" s="3053" t="str">
        <f ca="1">CONCATENATE(B4,"（注册号：",C4,")、",D4,"（注册号：",E4,")")</f>
        <v>郑燚（注册号：1120070131)、崔锴（注册号：0)</v>
      </c>
      <c r="L4" s="3052"/>
      <c r="M4" s="3052"/>
      <c r="N4" s="3025"/>
      <c r="O4" s="2861"/>
      <c r="P4" s="3025"/>
      <c r="Q4" s="3025"/>
      <c r="R4" s="3025"/>
      <c r="S4" s="2568"/>
      <c r="T4" s="2567"/>
      <c r="U4" s="2567"/>
      <c r="V4" s="2567"/>
      <c r="W4" s="2567"/>
      <c r="X4" s="2567"/>
      <c r="Y4" s="2567"/>
      <c r="Z4" s="2567"/>
      <c r="AA4" s="2567"/>
      <c r="AB4" s="2567"/>
    </row>
    <row r="5" spans="1:28">
      <c r="A5" s="2960" t="s">
        <v>335</v>
      </c>
      <c r="B5" s="2961"/>
      <c r="C5" s="2962"/>
      <c r="D5" s="2963"/>
      <c r="E5" s="2662"/>
      <c r="F5" s="2662"/>
      <c r="G5" s="2662"/>
      <c r="H5" s="2662"/>
      <c r="I5" s="2662"/>
      <c r="J5" s="2551"/>
      <c r="K5" s="3053" t="str">
        <f>IF(F4="——","",IF(H4="——",F4&amp;"（注册号："&amp;G4&amp;")",CONCATENATE(F4,"（注册号：",G4,")、",H4,"（注册号：",I4,")")))</f>
        <v>（注册号：0)、（注册号：0)</v>
      </c>
      <c r="L5" s="3052"/>
      <c r="M5" s="3052"/>
      <c r="N5" s="3025"/>
      <c r="O5" s="2861"/>
      <c r="P5" s="3025"/>
      <c r="Q5" s="3025"/>
      <c r="R5" s="3025"/>
      <c r="S5" s="2567"/>
      <c r="T5" s="2567"/>
      <c r="U5" s="2567"/>
      <c r="V5" s="2567"/>
      <c r="W5" s="2567"/>
      <c r="X5" s="2567"/>
      <c r="Y5" s="2567"/>
      <c r="Z5" s="2567"/>
      <c r="AA5" s="2567"/>
      <c r="AB5" s="2567"/>
    </row>
    <row r="6" spans="1:28">
      <c r="A6" s="2964" t="s">
        <v>336</v>
      </c>
      <c r="B6" s="2965"/>
      <c r="C6" s="2966"/>
      <c r="D6" s="2967"/>
      <c r="E6" s="3028"/>
      <c r="F6" s="2662"/>
      <c r="G6" s="2662"/>
      <c r="H6" s="2662"/>
      <c r="I6" s="2662"/>
      <c r="J6" s="2551"/>
      <c r="K6" s="3054" t="str">
        <f>IF(COUNTIF(B6,"*上海银行*"),"上海银行","")</f>
        <v/>
      </c>
      <c r="L6" s="3055"/>
      <c r="M6" s="3055"/>
      <c r="N6" s="2551"/>
      <c r="O6" s="3071"/>
      <c r="P6" s="2551"/>
      <c r="Q6" s="2551"/>
      <c r="R6" s="2551"/>
    </row>
    <row r="7" spans="1:28">
      <c r="A7" s="2964" t="s">
        <v>337</v>
      </c>
      <c r="B7" s="2968"/>
      <c r="C7" s="2966"/>
      <c r="D7" s="2967"/>
      <c r="E7" s="3028"/>
      <c r="F7" s="2662"/>
      <c r="G7" s="2662"/>
      <c r="H7" s="2662"/>
      <c r="I7" s="2662"/>
      <c r="J7" s="2551"/>
      <c r="K7" s="3056"/>
      <c r="L7" s="3055"/>
      <c r="M7" s="3055"/>
      <c r="N7" s="2551"/>
      <c r="O7" s="3071"/>
      <c r="P7" s="2551"/>
      <c r="Q7" s="2551"/>
      <c r="R7" s="2551"/>
    </row>
    <row r="8" spans="1:28">
      <c r="A8" s="2969" t="s">
        <v>338</v>
      </c>
      <c r="B8" s="2970" t="s">
        <v>317</v>
      </c>
      <c r="C8" s="2971"/>
      <c r="D8" s="3285" t="s">
        <v>339</v>
      </c>
      <c r="E8" s="3030" t="s">
        <v>322</v>
      </c>
      <c r="F8" s="3031"/>
      <c r="G8" s="3001"/>
      <c r="H8" s="3001"/>
      <c r="I8" s="3001"/>
      <c r="J8" s="2551"/>
      <c r="K8" s="3057"/>
      <c r="L8" s="3055"/>
      <c r="M8" s="3055"/>
      <c r="N8" s="2551"/>
      <c r="O8" s="3071"/>
      <c r="P8" s="2551"/>
      <c r="Q8" s="2551"/>
      <c r="R8" s="2551"/>
    </row>
    <row r="9" spans="1:28">
      <c r="A9" s="2972" t="s">
        <v>340</v>
      </c>
      <c r="B9" s="2973" t="s">
        <v>322</v>
      </c>
      <c r="C9" s="2974"/>
      <c r="D9" s="3286"/>
      <c r="E9" s="2973"/>
      <c r="F9" s="3032"/>
      <c r="G9" s="3033"/>
      <c r="H9" s="3033"/>
      <c r="I9" s="3033"/>
      <c r="J9" s="2551"/>
      <c r="K9" s="3056"/>
      <c r="L9" s="3055"/>
      <c r="M9" s="3055"/>
      <c r="N9" s="2551"/>
      <c r="O9" s="3071"/>
      <c r="P9" s="2551"/>
      <c r="Q9" s="2551"/>
      <c r="R9" s="2551"/>
    </row>
    <row r="10" spans="1:28">
      <c r="A10" s="2975" t="s">
        <v>341</v>
      </c>
      <c r="B10" s="2976" t="s">
        <v>342</v>
      </c>
      <c r="C10" s="2977"/>
      <c r="D10" s="2963"/>
      <c r="E10" s="2991" t="s">
        <v>343</v>
      </c>
      <c r="F10" s="3034"/>
      <c r="G10" s="3035"/>
      <c r="H10" s="3036"/>
      <c r="I10" s="3058"/>
      <c r="J10" s="2551"/>
      <c r="K10" s="3056"/>
      <c r="L10" s="3055"/>
      <c r="M10" s="3055"/>
      <c r="N10" s="2551"/>
      <c r="O10" s="3071"/>
      <c r="P10" s="2551"/>
      <c r="Q10" s="2551"/>
      <c r="R10" s="2551"/>
    </row>
    <row r="11" spans="1:28">
      <c r="A11" s="2978" t="s">
        <v>344</v>
      </c>
      <c r="B11" s="2979" t="s">
        <v>345</v>
      </c>
      <c r="C11" s="2980"/>
      <c r="D11" s="2981"/>
      <c r="E11" s="3025"/>
      <c r="F11" s="3025"/>
      <c r="G11" s="3025"/>
      <c r="H11" s="3025"/>
      <c r="I11" s="3025"/>
      <c r="J11" s="2551"/>
      <c r="K11" s="3056"/>
      <c r="L11" s="3055"/>
      <c r="M11" s="3055"/>
      <c r="N11" s="2551"/>
      <c r="O11" s="3071"/>
      <c r="P11" s="2551"/>
      <c r="Q11" s="2551"/>
      <c r="R11" s="2551"/>
    </row>
    <row r="12" spans="1:28">
      <c r="A12" s="2982" t="s">
        <v>346</v>
      </c>
      <c r="B12" s="2979" t="s">
        <v>347</v>
      </c>
      <c r="C12" s="1835" t="s">
        <v>348</v>
      </c>
      <c r="D12" s="2983" t="s">
        <v>349</v>
      </c>
      <c r="E12" s="2983" t="s">
        <v>350</v>
      </c>
      <c r="F12" s="2983" t="s">
        <v>351</v>
      </c>
      <c r="G12" s="2983" t="s">
        <v>352</v>
      </c>
      <c r="H12" s="2983" t="s">
        <v>353</v>
      </c>
      <c r="I12" s="2983" t="s">
        <v>354</v>
      </c>
      <c r="J12" s="2551"/>
      <c r="K12" s="3056"/>
      <c r="L12" s="3055"/>
      <c r="M12" s="3055"/>
      <c r="N12" s="2551"/>
      <c r="O12" s="3071"/>
      <c r="P12" s="2551"/>
      <c r="Q12" s="2551"/>
      <c r="R12" s="2551"/>
    </row>
    <row r="13" spans="1:28">
      <c r="A13" s="1828"/>
      <c r="B13" s="2984"/>
      <c r="C13" s="2985" t="s">
        <v>355</v>
      </c>
      <c r="D13" s="2986"/>
      <c r="E13" s="2986">
        <v>54870</v>
      </c>
      <c r="F13" s="2986"/>
      <c r="G13" s="2986"/>
      <c r="H13" s="2986"/>
      <c r="I13" s="2986"/>
      <c r="J13" s="2551"/>
      <c r="K13" s="3056"/>
      <c r="L13" s="3055"/>
      <c r="M13" s="3055"/>
      <c r="N13" s="2551"/>
      <c r="O13" s="3071"/>
      <c r="P13" s="2551"/>
      <c r="Q13" s="2551"/>
      <c r="R13" s="2551"/>
    </row>
    <row r="14" spans="1:28">
      <c r="A14" s="1828"/>
      <c r="B14" s="2984"/>
      <c r="C14" s="2985" t="s">
        <v>356</v>
      </c>
      <c r="D14" s="2987"/>
      <c r="E14" s="2987">
        <v>40</v>
      </c>
      <c r="F14" s="2987"/>
      <c r="G14" s="2987"/>
      <c r="H14" s="2987"/>
      <c r="I14" s="2987"/>
      <c r="J14" s="2551"/>
      <c r="K14" s="3059"/>
      <c r="L14" s="3055"/>
      <c r="M14" s="3055"/>
      <c r="N14" s="2551"/>
      <c r="O14" s="3071"/>
      <c r="P14" s="2551"/>
      <c r="Q14" s="2551"/>
      <c r="R14" s="2551"/>
    </row>
    <row r="15" spans="1:28">
      <c r="A15" s="1833"/>
      <c r="B15" s="2988"/>
      <c r="C15" s="2989" t="s">
        <v>357</v>
      </c>
      <c r="D15" s="2990" t="str">
        <f>IF(B12="出让",IF(D13="","",ROUNDDOWN(MIN((D13-$D$3)/365,D14),2)),D14)</f>
        <v/>
      </c>
      <c r="E15" s="2990">
        <f>IF(B12="出让",IF(E13="","",ROUNDDOWN(MIN((E13-$D$3)/365,E14),2)),E14)</f>
        <v>27.51</v>
      </c>
      <c r="F15" s="2990" t="str">
        <f>IF(B12="出让",IF(F13="","",ROUNDDOWN(MIN((F13-$D$3)/365,F14),2)),F14)</f>
        <v/>
      </c>
      <c r="G15" s="2990" t="str">
        <f>IF(B12="出让",IF(G13="","",ROUNDDOWN(MIN((G13-$D$3)/365,G14),2)),G14)</f>
        <v/>
      </c>
      <c r="H15" s="2990" t="str">
        <f>IF(B12="出让",IF(H13="","",ROUNDDOWN(MIN((H13-$D$3)/365,H14),2)),H14)</f>
        <v/>
      </c>
      <c r="I15" s="2990" t="str">
        <f>IF(B12="出让",IF(I13="","",ROUNDDOWN(MIN((I13-$D$3)/365,I14),2)),I14)</f>
        <v/>
      </c>
      <c r="J15" s="2551"/>
      <c r="K15" s="3060"/>
      <c r="L15" s="3061"/>
      <c r="M15" s="3061"/>
      <c r="N15" s="2552"/>
      <c r="O15" s="3061"/>
      <c r="P15" s="2552"/>
      <c r="Q15" s="2551"/>
      <c r="R15" s="2551"/>
    </row>
    <row r="16" spans="1:28">
      <c r="A16" s="2991" t="s">
        <v>358</v>
      </c>
      <c r="B16" s="3273"/>
      <c r="C16" s="3274"/>
      <c r="D16" s="3275"/>
      <c r="E16" s="3037" t="s">
        <v>359</v>
      </c>
      <c r="F16" s="3276"/>
      <c r="G16" s="3277"/>
      <c r="H16" s="3277"/>
      <c r="I16" s="3278"/>
      <c r="J16" s="2551"/>
      <c r="K16" s="3060"/>
      <c r="L16" s="3061"/>
      <c r="M16" s="3061"/>
      <c r="N16" s="2552"/>
      <c r="O16" s="3061"/>
      <c r="P16" s="2552"/>
      <c r="Q16" s="2551"/>
      <c r="R16" s="2551"/>
    </row>
    <row r="17" spans="1:28">
      <c r="A17" s="1915" t="s">
        <v>360</v>
      </c>
      <c r="B17" s="1830" t="s">
        <v>361</v>
      </c>
      <c r="C17" s="292">
        <f>'数据-汇总表'!E3</f>
        <v>29009.8</v>
      </c>
      <c r="D17" s="1843" t="s">
        <v>362</v>
      </c>
      <c r="E17" s="3279" t="s">
        <v>363</v>
      </c>
      <c r="F17" s="3280"/>
      <c r="G17" s="3280"/>
      <c r="H17" s="3280"/>
      <c r="I17" s="3281"/>
      <c r="J17" s="2551"/>
      <c r="K17" s="3062"/>
      <c r="L17" s="3061"/>
      <c r="M17" s="3061"/>
      <c r="N17" s="2552"/>
      <c r="O17" s="3061"/>
      <c r="P17" s="2552"/>
      <c r="Q17" s="2551"/>
      <c r="R17" s="2551"/>
      <c r="S17" s="2551"/>
      <c r="T17" s="2551"/>
      <c r="U17" s="2551"/>
      <c r="V17" s="2551"/>
    </row>
    <row r="18" spans="1:28" ht="24">
      <c r="A18" s="2992" t="s">
        <v>364</v>
      </c>
      <c r="B18" s="1838" t="s">
        <v>365</v>
      </c>
      <c r="C18" s="2993">
        <f>'数据-汇总表'!D3</f>
        <v>8299.16</v>
      </c>
      <c r="D18" s="1840" t="s">
        <v>362</v>
      </c>
      <c r="E18" s="3282" t="s">
        <v>366</v>
      </c>
      <c r="F18" s="3283"/>
      <c r="G18" s="3283"/>
      <c r="H18" s="3283"/>
      <c r="I18" s="3284"/>
      <c r="J18" s="2551"/>
      <c r="K18" s="3062"/>
      <c r="L18" s="3061"/>
      <c r="M18" s="3061"/>
      <c r="N18" s="2552"/>
      <c r="O18" s="3061"/>
      <c r="P18" s="2552"/>
      <c r="Q18" s="2551"/>
      <c r="R18" s="2551"/>
      <c r="S18" s="2551"/>
      <c r="T18" s="2551"/>
      <c r="U18" s="2551"/>
      <c r="V18" s="2551"/>
    </row>
    <row r="19" spans="1:28" ht="36">
      <c r="A19" s="1850" t="s">
        <v>367</v>
      </c>
      <c r="B19" s="1813" t="s">
        <v>368</v>
      </c>
      <c r="C19" s="2994"/>
      <c r="D19" s="2995" t="s">
        <v>369</v>
      </c>
      <c r="E19" s="3038"/>
      <c r="F19" s="3039" t="str">
        <f>IF(AND(C19="是",E19="否"),"是否提供他项权证或相关说明","")</f>
        <v/>
      </c>
      <c r="G19" s="3040"/>
      <c r="H19" s="2662"/>
      <c r="I19" s="2662"/>
      <c r="J19" s="2551"/>
      <c r="K19" s="3056"/>
      <c r="L19" s="3055"/>
      <c r="M19" s="3055"/>
      <c r="N19" s="2552"/>
      <c r="O19" s="3061"/>
      <c r="P19" s="2552"/>
      <c r="Q19" s="2551"/>
      <c r="R19" s="2551"/>
      <c r="S19" s="2551"/>
      <c r="T19" s="2551"/>
      <c r="U19" s="2551"/>
      <c r="V19" s="2551"/>
    </row>
    <row r="20" spans="1:28">
      <c r="A20" s="2996" t="s">
        <v>370</v>
      </c>
      <c r="B20" s="3289" t="s">
        <v>371</v>
      </c>
      <c r="C20" s="3290"/>
      <c r="D20" s="3291" t="s">
        <v>372</v>
      </c>
      <c r="E20" s="3292"/>
      <c r="F20" s="3041" t="s">
        <v>373</v>
      </c>
      <c r="G20" s="2662"/>
      <c r="H20" s="2662"/>
      <c r="I20" s="2662"/>
      <c r="J20" s="2551"/>
      <c r="K20" s="3287" t="s">
        <v>374</v>
      </c>
      <c r="L20" s="19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2"/>
      <c r="N20" s="3072"/>
      <c r="O20" s="3073"/>
      <c r="P20" s="3072"/>
      <c r="Q20" s="3025"/>
      <c r="R20" s="3025"/>
      <c r="S20" s="3025"/>
      <c r="T20" s="3025"/>
      <c r="U20" s="3025"/>
      <c r="V20" s="3025"/>
      <c r="W20" s="2567"/>
      <c r="X20" s="2567"/>
      <c r="Y20" s="2567"/>
      <c r="Z20" s="2567"/>
      <c r="AA20" s="2567"/>
      <c r="AB20" s="2567"/>
    </row>
    <row r="21" spans="1:28" ht="24">
      <c r="A21" s="2996"/>
      <c r="B21" s="2997" t="s">
        <v>375</v>
      </c>
      <c r="C21" s="2998" t="s">
        <v>376</v>
      </c>
      <c r="D21" s="2999" t="s">
        <v>377</v>
      </c>
      <c r="E21" s="3042" t="s">
        <v>376</v>
      </c>
      <c r="F21" s="3043"/>
      <c r="G21" s="2662"/>
      <c r="H21" s="2662"/>
      <c r="I21" s="2662"/>
      <c r="J21" s="2551"/>
      <c r="K21" s="3287"/>
      <c r="L21" s="19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72"/>
      <c r="O21" s="3073"/>
      <c r="P21" s="3072"/>
      <c r="Q21" s="3025"/>
      <c r="R21" s="3025"/>
      <c r="S21" s="3025"/>
      <c r="T21" s="3025"/>
      <c r="U21" s="3025"/>
      <c r="V21" s="3025"/>
      <c r="W21" s="2567"/>
      <c r="X21" s="2567"/>
      <c r="Y21" s="2567"/>
      <c r="Z21" s="2567"/>
      <c r="AA21" s="2567"/>
      <c r="AB21" s="2567"/>
    </row>
    <row r="22" spans="1:28" ht="24">
      <c r="A22" s="2996"/>
      <c r="B22" s="3000" t="s">
        <v>378</v>
      </c>
      <c r="C22" s="2998" t="s">
        <v>379</v>
      </c>
      <c r="D22" s="3001"/>
      <c r="E22" s="3001"/>
      <c r="F22" s="3001"/>
      <c r="G22" s="2662"/>
      <c r="H22" s="2662"/>
      <c r="I22" s="2662"/>
      <c r="J22" s="2551"/>
      <c r="K22" s="3287"/>
      <c r="L22" s="19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72"/>
      <c r="O22" s="3073"/>
      <c r="P22" s="3072"/>
      <c r="Q22" s="3025"/>
      <c r="R22" s="3025"/>
      <c r="S22" s="3025"/>
      <c r="T22" s="3025"/>
      <c r="U22" s="3025"/>
      <c r="V22" s="3025"/>
      <c r="W22" s="2567"/>
      <c r="X22" s="2567"/>
      <c r="Y22" s="2567"/>
      <c r="Z22" s="2567"/>
      <c r="AA22" s="2567"/>
      <c r="AB22" s="2567"/>
    </row>
    <row r="23" spans="1:28">
      <c r="A23" s="3002" t="s">
        <v>380</v>
      </c>
      <c r="B23" s="2527" t="s">
        <v>381</v>
      </c>
      <c r="C23" s="3003"/>
      <c r="D23" s="3004" t="s">
        <v>381</v>
      </c>
      <c r="E23" s="3044"/>
      <c r="F23" s="3001"/>
      <c r="G23" s="2662"/>
      <c r="H23" s="2662"/>
      <c r="I23" s="2662"/>
      <c r="J23" s="2551"/>
      <c r="K23" s="3063"/>
      <c r="L23" s="1981"/>
      <c r="M23" s="3055"/>
      <c r="N23" s="2552"/>
      <c r="O23" s="3061"/>
      <c r="P23" s="2552"/>
      <c r="Q23" s="2551"/>
      <c r="R23" s="2551"/>
      <c r="S23" s="2551"/>
      <c r="T23" s="2551"/>
      <c r="U23" s="2551"/>
      <c r="V23" s="2551"/>
    </row>
    <row r="24" spans="1:28">
      <c r="A24" s="3002"/>
      <c r="B24" s="2527" t="s">
        <v>382</v>
      </c>
      <c r="C24" s="3005"/>
      <c r="D24" s="3002" t="s">
        <v>382</v>
      </c>
      <c r="E24" s="3045"/>
      <c r="F24" s="3001"/>
      <c r="G24" s="2662"/>
      <c r="H24" s="2662"/>
      <c r="I24" s="2662"/>
      <c r="J24" s="2551"/>
      <c r="K24" s="3063"/>
      <c r="L24" s="1981"/>
      <c r="M24" s="3055"/>
      <c r="N24" s="2552"/>
      <c r="O24" s="3061"/>
      <c r="P24" s="2552"/>
      <c r="Q24" s="2551"/>
      <c r="R24" s="2551"/>
      <c r="S24" s="2551"/>
      <c r="T24" s="2551"/>
      <c r="U24" s="2551"/>
      <c r="V24" s="2551"/>
    </row>
    <row r="25" spans="1:28">
      <c r="A25" s="3002"/>
      <c r="B25" s="2527" t="s">
        <v>383</v>
      </c>
      <c r="C25" s="3005"/>
      <c r="D25" s="3002" t="s">
        <v>383</v>
      </c>
      <c r="E25" s="3045"/>
      <c r="F25" s="3001"/>
      <c r="G25" s="2662"/>
      <c r="H25" s="2662"/>
      <c r="I25" s="2662"/>
      <c r="J25" s="2551"/>
      <c r="K25" s="3056"/>
      <c r="L25" s="3055"/>
      <c r="M25" s="3055"/>
      <c r="N25" s="2552"/>
      <c r="O25" s="3061"/>
      <c r="P25" s="2552"/>
      <c r="Q25" s="2551"/>
      <c r="R25" s="2551"/>
      <c r="S25" s="2551"/>
      <c r="T25" s="2551"/>
      <c r="U25" s="2551"/>
      <c r="V25" s="2551"/>
    </row>
    <row r="26" spans="1:28">
      <c r="A26" s="3006"/>
      <c r="B26" s="3007" t="s">
        <v>384</v>
      </c>
      <c r="C26" s="3008"/>
      <c r="D26" s="3006" t="s">
        <v>384</v>
      </c>
      <c r="E26" s="3046"/>
      <c r="F26" s="3033"/>
      <c r="G26" s="3033"/>
      <c r="H26" s="3033"/>
      <c r="I26" s="3033"/>
      <c r="J26" s="2551"/>
      <c r="K26" s="3056"/>
      <c r="L26" s="3055"/>
      <c r="M26" s="3055"/>
      <c r="N26" s="2552"/>
      <c r="O26" s="3061"/>
      <c r="P26" s="2552"/>
      <c r="Q26" s="2551"/>
      <c r="R26" s="2551"/>
      <c r="S26" s="2551"/>
      <c r="T26" s="2551"/>
      <c r="U26" s="2551"/>
      <c r="V26" s="2551"/>
    </row>
    <row r="27" spans="1:28">
      <c r="A27" s="3266" t="s">
        <v>385</v>
      </c>
      <c r="B27" s="1833" t="s">
        <v>386</v>
      </c>
      <c r="C27" s="3009" t="s">
        <v>387</v>
      </c>
      <c r="D27" s="3010"/>
      <c r="E27" s="2662"/>
      <c r="F27" s="2662"/>
      <c r="G27" s="2662"/>
      <c r="H27" s="2662"/>
      <c r="I27" s="2662"/>
      <c r="J27" s="2551"/>
      <c r="K27" s="3060"/>
      <c r="L27" s="3061"/>
      <c r="M27" s="3061"/>
      <c r="N27" s="2552"/>
      <c r="O27" s="3061"/>
      <c r="P27" s="2552"/>
      <c r="Q27" s="2551"/>
      <c r="R27" s="2551"/>
      <c r="S27" s="2551"/>
      <c r="T27" s="2551"/>
      <c r="U27" s="2551"/>
      <c r="V27" s="2551"/>
    </row>
    <row r="28" spans="1:28">
      <c r="A28" s="3266"/>
      <c r="B28" s="1830" t="s">
        <v>388</v>
      </c>
      <c r="C28" s="3011" t="s">
        <v>389</v>
      </c>
      <c r="D28" s="3012"/>
      <c r="E28" s="2662"/>
      <c r="F28" s="2662"/>
      <c r="G28" s="2662"/>
      <c r="H28" s="2662"/>
      <c r="I28" s="2662"/>
      <c r="J28" s="2551"/>
      <c r="K28" s="3056"/>
      <c r="L28" s="3055"/>
      <c r="M28" s="3055"/>
      <c r="N28" s="2551"/>
      <c r="O28" s="3071"/>
      <c r="P28" s="2551"/>
      <c r="Q28" s="2551"/>
      <c r="R28" s="2551"/>
      <c r="S28" s="2551"/>
      <c r="T28" s="2551"/>
      <c r="U28" s="2551"/>
      <c r="V28" s="2551"/>
    </row>
    <row r="29" spans="1:28">
      <c r="A29" s="3266"/>
      <c r="B29" s="1830" t="s">
        <v>390</v>
      </c>
      <c r="C29" s="3013" t="s">
        <v>391</v>
      </c>
      <c r="D29" s="3014"/>
      <c r="E29" s="2662"/>
      <c r="F29" s="2662"/>
      <c r="G29" s="2662"/>
      <c r="H29" s="2662"/>
      <c r="I29" s="2662"/>
      <c r="J29" s="2551"/>
      <c r="K29" s="3056"/>
      <c r="L29" s="3055"/>
      <c r="M29" s="3055"/>
      <c r="N29" s="2551"/>
      <c r="O29" s="3071"/>
      <c r="P29" s="2551"/>
      <c r="Q29" s="2551"/>
      <c r="R29" s="2551"/>
      <c r="S29" s="2551"/>
      <c r="T29" s="2551"/>
      <c r="U29" s="2551"/>
      <c r="V29" s="2551"/>
    </row>
    <row r="30" spans="1:28">
      <c r="A30" s="3267"/>
      <c r="B30" s="1830" t="s">
        <v>392</v>
      </c>
      <c r="C30" s="3293"/>
      <c r="D30" s="3294"/>
      <c r="E30" s="2662"/>
      <c r="F30" s="2662"/>
      <c r="G30" s="2662"/>
      <c r="H30" s="2662"/>
      <c r="I30" s="2662"/>
      <c r="J30" s="2551"/>
      <c r="K30" s="3056"/>
      <c r="L30" s="3055"/>
      <c r="M30" s="3055"/>
      <c r="N30" s="2551"/>
      <c r="O30" s="3071"/>
      <c r="P30" s="2551"/>
      <c r="Q30" s="2551"/>
      <c r="R30" s="2551"/>
      <c r="S30" s="2551"/>
      <c r="T30" s="2551"/>
      <c r="U30" s="2551"/>
      <c r="V30" s="2551"/>
    </row>
    <row r="31" spans="1:28">
      <c r="A31" s="3268" t="s">
        <v>393</v>
      </c>
      <c r="B31" s="3015" t="s">
        <v>394</v>
      </c>
      <c r="C31" s="1973" t="str">
        <f>IF(B31="现房","成新及维护状况正常否",IF(B31="在建","工程状态是否正常",IF(B31="土地","是否闲置","-")))</f>
        <v>成新及维护状况正常否</v>
      </c>
      <c r="D31" s="2075"/>
      <c r="E31" s="3047"/>
      <c r="F31" s="2662"/>
      <c r="G31" s="2662"/>
      <c r="H31" s="2662"/>
      <c r="I31" s="2662"/>
      <c r="J31" s="2551"/>
      <c r="K31" s="3054"/>
      <c r="L31" s="3055"/>
      <c r="M31" s="3055"/>
      <c r="N31" s="2551"/>
      <c r="O31" s="3071"/>
      <c r="P31" s="2551"/>
      <c r="Q31" s="2551"/>
      <c r="R31" s="2551"/>
      <c r="S31" s="2551"/>
      <c r="T31" s="2551"/>
      <c r="U31" s="2551"/>
      <c r="V31" s="2551"/>
    </row>
    <row r="32" spans="1:28">
      <c r="A32" s="3269"/>
      <c r="B32" s="3015"/>
      <c r="C32" s="1973" t="str">
        <f>IF(B32="现房","成新及维护状况是否正常",IF(B32="在建","工程状态是否正常",IF(B32="土地","是否闲置","-")))</f>
        <v>-</v>
      </c>
      <c r="D32" s="2075"/>
      <c r="E32" s="3047"/>
      <c r="F32" s="2662"/>
      <c r="G32" s="2662"/>
      <c r="H32" s="2662"/>
      <c r="I32" s="2662"/>
      <c r="J32" s="2551"/>
      <c r="K32" s="3056"/>
      <c r="L32" s="3055"/>
      <c r="M32" s="3055"/>
      <c r="N32" s="2551"/>
      <c r="O32" s="3071"/>
      <c r="P32" s="2551"/>
      <c r="Q32" s="2551"/>
      <c r="R32" s="2551"/>
      <c r="S32" s="2551"/>
      <c r="T32" s="2551"/>
      <c r="U32" s="2551"/>
      <c r="V32" s="2551"/>
    </row>
    <row r="33" spans="1:30">
      <c r="A33" s="3269"/>
      <c r="B33" s="3016"/>
      <c r="C33" s="2270" t="str">
        <f>IF(B33="现房","成新及维护状况是否正常",IF(B33="在建","工程状态是否正常",IF(B33="土地","是否闲置","-")))</f>
        <v>-</v>
      </c>
      <c r="D33" s="1816"/>
      <c r="E33" s="3048"/>
      <c r="F33" s="2662"/>
      <c r="G33" s="2662"/>
      <c r="H33" s="2662"/>
      <c r="I33" s="2662"/>
      <c r="J33" s="2551"/>
      <c r="K33" s="3056"/>
      <c r="L33" s="3055"/>
      <c r="M33" s="3055"/>
      <c r="N33" s="2551"/>
      <c r="O33" s="3071"/>
      <c r="P33" s="2551"/>
      <c r="Q33" s="2551"/>
      <c r="R33" s="2551"/>
      <c r="S33" s="2551"/>
      <c r="T33" s="2551"/>
      <c r="U33" s="2551"/>
      <c r="V33" s="2551"/>
    </row>
    <row r="34" spans="1:30">
      <c r="A34" s="1830" t="s">
        <v>395</v>
      </c>
      <c r="B34" s="613" t="s">
        <v>396</v>
      </c>
      <c r="C34" s="613" t="s">
        <v>397</v>
      </c>
      <c r="D34" s="613" t="s">
        <v>398</v>
      </c>
      <c r="E34" s="613" t="s">
        <v>399</v>
      </c>
      <c r="F34" s="613" t="s">
        <v>400</v>
      </c>
      <c r="G34" s="613" t="s">
        <v>401</v>
      </c>
      <c r="H34" s="613" t="s">
        <v>402</v>
      </c>
      <c r="I34" s="2662"/>
      <c r="J34" s="2551"/>
      <c r="K34" s="292">
        <f>COUNTIF(B34:H34,"——")</f>
        <v>0</v>
      </c>
      <c r="L34" s="1835" t="s">
        <v>403</v>
      </c>
      <c r="M34" s="1835" t="s">
        <v>404</v>
      </c>
      <c r="N34" s="1835" t="s">
        <v>405</v>
      </c>
      <c r="O34" s="1835" t="s">
        <v>406</v>
      </c>
      <c r="P34" s="1835" t="s">
        <v>407</v>
      </c>
      <c r="Q34" s="1835" t="s">
        <v>408</v>
      </c>
      <c r="R34" s="1835" t="s">
        <v>409</v>
      </c>
      <c r="S34" s="3288" t="s">
        <v>410</v>
      </c>
      <c r="T34" s="3076" t="str">
        <f>NUMBERSTRING(7-K34,1)&amp;"通"</f>
        <v>七通</v>
      </c>
      <c r="U34" s="2551"/>
      <c r="V34" s="2551"/>
    </row>
    <row r="35" spans="1:30">
      <c r="A35" s="3017"/>
      <c r="B35" s="3295" t="s">
        <v>411</v>
      </c>
      <c r="C35" s="3295"/>
      <c r="D35" s="3295"/>
      <c r="E35" s="3295"/>
      <c r="F35" s="357">
        <f>C10</f>
        <v>0</v>
      </c>
      <c r="G35" s="2662"/>
      <c r="H35" s="2662"/>
      <c r="I35" s="2662"/>
      <c r="J35" s="2551"/>
      <c r="K35" s="1835"/>
      <c r="L35" s="1835" t="str">
        <f>B34</f>
        <v>通路</v>
      </c>
      <c r="M35" s="1836" t="str">
        <f>B34&amp;"、"&amp;C34</f>
        <v>通路、通电</v>
      </c>
      <c r="N35" s="1836" t="str">
        <f>B34&amp;"、"&amp;C34&amp;"、"&amp;D34</f>
        <v>通路、通电、通讯</v>
      </c>
      <c r="O35" s="1836" t="str">
        <f>B34&amp;"、"&amp;C34&amp;"、"&amp;D34&amp;"、"&amp;E34</f>
        <v>通路、通电、通讯、通上水</v>
      </c>
      <c r="P35" s="1836" t="str">
        <f>B34&amp;"、"&amp;C34&amp;"、"&amp;D34&amp;"、"&amp;E34&amp;"、"&amp;F34</f>
        <v>通路、通电、通讯、通上水、通下水</v>
      </c>
      <c r="Q35" s="1836" t="str">
        <f>B34&amp;"、"&amp;C34&amp;"、"&amp;D34&amp;"、"&amp;E34&amp;"、"&amp;F34&amp;"、"&amp;G34</f>
        <v>通路、通电、通讯、通上水、通下水、通热</v>
      </c>
      <c r="R35" s="1836" t="str">
        <f>B34&amp;"、"&amp;C34&amp;"、"&amp;D34&amp;"、"&amp;E34&amp;"、"&amp;F34&amp;"、"&amp;G34&amp;"、"&amp;H34</f>
        <v>通路、通电、通讯、通上水、通下水、通热、燃气</v>
      </c>
      <c r="S35" s="3288"/>
      <c r="T35" s="1836" t="str">
        <f>IF(T34="一通",L35,IF(T34="二通",M35,IF(T34="三通",N35,IF(T34="四通",O35,IF(T34="五通",P35,IF(T34="六通",Q35,R35))))))</f>
        <v>通路、通电、通讯、通上水、通下水、通热、燃气</v>
      </c>
      <c r="U35" s="2551"/>
      <c r="V35" s="2551"/>
    </row>
    <row r="36" spans="1:30">
      <c r="A36" s="3018"/>
      <c r="B36" s="357" t="s">
        <v>350</v>
      </c>
      <c r="C36" s="357" t="s">
        <v>351</v>
      </c>
      <c r="D36" s="357" t="s">
        <v>349</v>
      </c>
      <c r="E36" s="357" t="s">
        <v>354</v>
      </c>
      <c r="F36" s="3049"/>
      <c r="G36" s="2662"/>
      <c r="H36" s="2662"/>
      <c r="I36" s="2662"/>
      <c r="J36" s="2551"/>
      <c r="K36" s="3056"/>
      <c r="L36" s="3055"/>
      <c r="M36" s="3055"/>
      <c r="N36" s="2551"/>
      <c r="O36" s="3071"/>
      <c r="P36" s="2551"/>
      <c r="Q36" s="2551"/>
      <c r="R36" s="2551"/>
      <c r="S36" s="2551"/>
      <c r="T36" s="2551"/>
      <c r="U36" s="2551"/>
      <c r="V36" s="2551"/>
    </row>
    <row r="37" spans="1:30">
      <c r="A37" s="3019" t="s">
        <v>412</v>
      </c>
      <c r="B37" s="3020"/>
      <c r="C37" s="3020"/>
      <c r="D37" s="3020"/>
      <c r="E37" s="3020"/>
      <c r="F37" s="3049"/>
      <c r="G37" s="2662"/>
      <c r="H37" s="2662"/>
      <c r="I37" s="2662"/>
      <c r="J37" s="2551"/>
      <c r="K37" s="3056"/>
      <c r="L37" s="3055"/>
      <c r="M37" s="3055"/>
      <c r="N37" s="2551"/>
      <c r="O37" s="3071"/>
      <c r="P37" s="2551"/>
      <c r="Q37" s="2551"/>
      <c r="R37" s="2551"/>
      <c r="S37" s="2551"/>
      <c r="T37" s="2551"/>
      <c r="U37" s="2551"/>
      <c r="V37" s="2551"/>
    </row>
    <row r="38" spans="1:30">
      <c r="A38" s="3021" t="s">
        <v>413</v>
      </c>
      <c r="B38" s="3022"/>
      <c r="C38" s="3022"/>
      <c r="D38" s="3022"/>
      <c r="E38" s="3022"/>
      <c r="F38" s="3050"/>
      <c r="G38" s="3033"/>
      <c r="H38" s="3033"/>
      <c r="I38" s="3033"/>
      <c r="J38" s="2551"/>
      <c r="K38" s="3056"/>
      <c r="L38" s="3055"/>
      <c r="M38" s="3055"/>
      <c r="N38" s="2551"/>
      <c r="O38" s="3071"/>
      <c r="P38" s="2551"/>
      <c r="Q38" s="2551"/>
      <c r="R38" s="2551"/>
      <c r="S38" s="2551"/>
      <c r="T38" s="2551"/>
      <c r="U38" s="2551"/>
      <c r="V38" s="2551"/>
    </row>
    <row r="39" spans="1:30" s="2948" customFormat="1">
      <c r="A39" s="3023" t="s">
        <v>414</v>
      </c>
      <c r="B39" s="3024"/>
      <c r="C39" s="3024"/>
      <c r="D39" s="3024"/>
      <c r="E39" s="3024"/>
      <c r="F39" s="3024"/>
      <c r="G39" s="3024"/>
      <c r="H39" s="3024"/>
      <c r="I39" s="3024"/>
      <c r="J39" s="3064"/>
      <c r="K39" s="3065"/>
      <c r="L39" s="3064"/>
      <c r="M39" s="3064"/>
      <c r="N39" s="3064"/>
      <c r="O39" s="3074"/>
      <c r="P39" s="3064"/>
      <c r="Q39" s="3064"/>
      <c r="R39" s="3064"/>
      <c r="S39" s="3064"/>
      <c r="T39" s="3064"/>
      <c r="U39" s="3064"/>
      <c r="V39" s="3064"/>
      <c r="W39" s="3078"/>
      <c r="X39" s="3078"/>
      <c r="Y39" s="3078"/>
      <c r="Z39" s="3078"/>
      <c r="AA39" s="3078"/>
      <c r="AB39" s="3078"/>
      <c r="AC39" s="3078"/>
      <c r="AD39" s="3078"/>
    </row>
    <row r="40" spans="1:30">
      <c r="A40" s="3025"/>
      <c r="B40" s="3025"/>
      <c r="C40" s="3025"/>
      <c r="D40" s="3025"/>
      <c r="E40" s="3025"/>
      <c r="F40" s="3025"/>
      <c r="G40" s="3025"/>
      <c r="H40" s="3025"/>
      <c r="I40" s="2328"/>
      <c r="J40" s="2552"/>
      <c r="K40" s="3054"/>
      <c r="L40" s="3061"/>
      <c r="M40" s="3061"/>
      <c r="N40" s="2552"/>
      <c r="O40" s="3061"/>
      <c r="P40" s="2551"/>
      <c r="Q40" s="2551"/>
      <c r="R40" s="2551"/>
      <c r="S40" s="2551"/>
      <c r="T40" s="2551"/>
      <c r="U40" s="2551"/>
      <c r="V40" s="2551"/>
    </row>
    <row r="41" spans="1:30">
      <c r="A41" s="3026" t="s">
        <v>415</v>
      </c>
      <c r="B41" s="2287"/>
      <c r="C41" s="2075"/>
      <c r="D41" s="3025"/>
      <c r="E41" s="3025"/>
      <c r="F41" s="3025"/>
      <c r="G41" s="3025"/>
      <c r="H41" s="3025"/>
      <c r="I41" s="2861"/>
      <c r="J41" s="2551"/>
      <c r="K41" s="3056"/>
      <c r="L41" s="3055"/>
      <c r="M41" s="3055"/>
      <c r="N41" s="2551"/>
      <c r="O41" s="3071"/>
      <c r="P41" s="2551"/>
      <c r="Q41" s="2551"/>
      <c r="R41" s="2551"/>
      <c r="S41" s="2551"/>
      <c r="T41" s="2551"/>
      <c r="U41" s="2551"/>
      <c r="V41" s="2551"/>
    </row>
    <row r="42" spans="1:30" ht="25.5">
      <c r="A42" s="1835" t="s">
        <v>416</v>
      </c>
      <c r="B42" s="292" t="s">
        <v>417</v>
      </c>
      <c r="C42" s="292" t="s">
        <v>418</v>
      </c>
      <c r="D42" s="292" t="s">
        <v>419</v>
      </c>
      <c r="E42" s="292" t="s">
        <v>420</v>
      </c>
      <c r="F42" s="292" t="s">
        <v>421</v>
      </c>
      <c r="G42" s="292" t="s">
        <v>422</v>
      </c>
      <c r="H42" s="292" t="s">
        <v>423</v>
      </c>
      <c r="I42" s="292" t="s">
        <v>424</v>
      </c>
      <c r="J42" s="3066" t="s">
        <v>425</v>
      </c>
      <c r="K42" s="3067" t="s">
        <v>426</v>
      </c>
      <c r="L42" s="3067" t="s">
        <v>427</v>
      </c>
      <c r="M42" s="3067" t="s">
        <v>428</v>
      </c>
      <c r="N42" s="3075" t="s">
        <v>429</v>
      </c>
      <c r="O42" s="3075" t="s">
        <v>430</v>
      </c>
      <c r="P42" s="3075" t="s">
        <v>431</v>
      </c>
      <c r="Q42" s="3077" t="s">
        <v>432</v>
      </c>
      <c r="R42" s="3077" t="s">
        <v>433</v>
      </c>
      <c r="S42" s="2551"/>
      <c r="T42" s="2551"/>
      <c r="U42" s="2551"/>
      <c r="V42" s="2551"/>
    </row>
    <row r="43" spans="1:30" s="2762" customFormat="1">
      <c r="A43" s="3027"/>
      <c r="B43" s="2873"/>
      <c r="C43" s="2873"/>
      <c r="D43" s="2873"/>
      <c r="E43" s="2873"/>
      <c r="F43" s="2873"/>
      <c r="G43" s="2873"/>
      <c r="H43" s="2873"/>
      <c r="I43" s="2873"/>
      <c r="J43" s="3068"/>
      <c r="K43" s="3069"/>
      <c r="L43" s="3069"/>
      <c r="M43" s="2873"/>
      <c r="N43" s="2873"/>
      <c r="O43" s="2873"/>
      <c r="P43" s="2873"/>
      <c r="Q43" s="2873"/>
      <c r="R43" s="2873"/>
      <c r="S43" s="2551"/>
      <c r="T43" s="2551"/>
      <c r="U43" s="2551"/>
      <c r="V43" s="2551"/>
    </row>
    <row r="44" spans="1:30" s="2762" customFormat="1">
      <c r="A44" s="3027"/>
      <c r="B44" s="3027"/>
      <c r="C44" s="2873"/>
      <c r="D44" s="2873"/>
      <c r="E44" s="2873"/>
      <c r="F44" s="2873"/>
      <c r="G44" s="2873"/>
      <c r="H44" s="2873"/>
      <c r="I44" s="2873"/>
      <c r="J44" s="3068"/>
      <c r="K44" s="3069"/>
      <c r="L44" s="3069"/>
      <c r="M44" s="2873"/>
      <c r="N44" s="2873"/>
      <c r="O44" s="2873"/>
      <c r="P44" s="2873"/>
      <c r="Q44" s="2873"/>
      <c r="R44" s="2873"/>
      <c r="S44" s="2551"/>
      <c r="T44" s="2551"/>
      <c r="U44" s="2551"/>
      <c r="V44" s="2551"/>
    </row>
    <row r="45" spans="1:30" s="2762" customFormat="1">
      <c r="A45" s="3027"/>
      <c r="B45" s="3027"/>
      <c r="C45" s="2873"/>
      <c r="D45" s="2873"/>
      <c r="E45" s="2873"/>
      <c r="F45" s="2873"/>
      <c r="G45" s="2873"/>
      <c r="H45" s="2873"/>
      <c r="I45" s="2873"/>
      <c r="J45" s="3068"/>
      <c r="K45" s="3069"/>
      <c r="L45" s="3069"/>
      <c r="M45" s="2873"/>
      <c r="N45" s="2873"/>
      <c r="O45" s="2873"/>
      <c r="P45" s="2873"/>
      <c r="Q45" s="2873"/>
      <c r="R45" s="2873"/>
      <c r="S45" s="2551"/>
      <c r="T45" s="2551"/>
      <c r="U45" s="2551"/>
      <c r="V45" s="2551"/>
    </row>
    <row r="46" spans="1:30" s="2762" customFormat="1">
      <c r="A46" s="3027"/>
      <c r="B46" s="3027"/>
      <c r="C46" s="2873"/>
      <c r="D46" s="2873"/>
      <c r="E46" s="2873"/>
      <c r="F46" s="2873"/>
      <c r="G46" s="2873"/>
      <c r="H46" s="2873"/>
      <c r="I46" s="2873"/>
      <c r="J46" s="3068"/>
      <c r="K46" s="3069"/>
      <c r="L46" s="3069"/>
      <c r="M46" s="2873"/>
      <c r="N46" s="2873"/>
      <c r="O46" s="2873"/>
      <c r="P46" s="2873"/>
      <c r="Q46" s="2873"/>
      <c r="R46" s="2873"/>
      <c r="S46" s="2551"/>
      <c r="T46" s="2551"/>
      <c r="U46" s="2551"/>
      <c r="V46" s="2551"/>
    </row>
    <row r="47" spans="1:30" s="2762" customFormat="1">
      <c r="A47" s="3027"/>
      <c r="B47" s="3027"/>
      <c r="C47" s="2873"/>
      <c r="D47" s="2873"/>
      <c r="E47" s="2873"/>
      <c r="F47" s="2873"/>
      <c r="G47" s="2873"/>
      <c r="H47" s="2873"/>
      <c r="I47" s="2873"/>
      <c r="J47" s="3068"/>
      <c r="K47" s="3069"/>
      <c r="L47" s="3069"/>
      <c r="M47" s="2873"/>
      <c r="N47" s="2873"/>
      <c r="O47" s="2873"/>
      <c r="P47" s="2873"/>
      <c r="Q47" s="2873"/>
      <c r="R47" s="2873"/>
      <c r="S47" s="2551"/>
      <c r="T47" s="2551"/>
      <c r="U47" s="2551"/>
      <c r="V47" s="2551"/>
    </row>
    <row r="48" spans="1:30" s="2762" customFormat="1">
      <c r="A48" s="3027"/>
      <c r="B48" s="3027"/>
      <c r="C48" s="2873"/>
      <c r="D48" s="2873"/>
      <c r="E48" s="2873"/>
      <c r="F48" s="2873"/>
      <c r="G48" s="2873"/>
      <c r="H48" s="2873"/>
      <c r="I48" s="2873"/>
      <c r="J48" s="3068"/>
      <c r="K48" s="3069"/>
      <c r="L48" s="3069"/>
      <c r="M48" s="2873"/>
      <c r="N48" s="2873"/>
      <c r="O48" s="2873"/>
      <c r="P48" s="2873"/>
      <c r="Q48" s="2873"/>
      <c r="R48" s="2873"/>
      <c r="S48" s="2551"/>
      <c r="T48" s="2551"/>
      <c r="U48" s="2551"/>
      <c r="V48" s="2551"/>
    </row>
    <row r="49" spans="1:22" s="2762" customFormat="1">
      <c r="A49" s="3027"/>
      <c r="B49" s="3027"/>
      <c r="C49" s="2873"/>
      <c r="D49" s="2873"/>
      <c r="E49" s="2873"/>
      <c r="F49" s="2873"/>
      <c r="G49" s="2873"/>
      <c r="H49" s="2873"/>
      <c r="I49" s="2873"/>
      <c r="J49" s="3068"/>
      <c r="K49" s="3069"/>
      <c r="L49" s="3069"/>
      <c r="M49" s="2873"/>
      <c r="N49" s="2873"/>
      <c r="O49" s="2873"/>
      <c r="P49" s="2873"/>
      <c r="Q49" s="2873"/>
      <c r="R49" s="2873"/>
      <c r="S49" s="2551"/>
      <c r="T49" s="2551"/>
      <c r="U49" s="2551"/>
      <c r="V49" s="2551"/>
    </row>
    <row r="50" spans="1:22" s="2762" customFormat="1">
      <c r="A50" s="3027"/>
      <c r="B50" s="3027"/>
      <c r="C50" s="2873"/>
      <c r="D50" s="2873"/>
      <c r="E50" s="2873"/>
      <c r="F50" s="2873"/>
      <c r="G50" s="2873"/>
      <c r="H50" s="2873"/>
      <c r="I50" s="2873"/>
      <c r="J50" s="3068"/>
      <c r="K50" s="3069"/>
      <c r="L50" s="3069"/>
      <c r="M50" s="2873"/>
      <c r="N50" s="2873"/>
      <c r="O50" s="2873"/>
      <c r="P50" s="2873"/>
      <c r="Q50" s="2873"/>
      <c r="R50" s="2873"/>
      <c r="S50" s="2551"/>
      <c r="T50" s="2551"/>
      <c r="U50" s="2551"/>
      <c r="V50" s="2551"/>
    </row>
    <row r="51" spans="1:22" s="2762" customFormat="1">
      <c r="A51" s="3027"/>
      <c r="B51" s="3027"/>
      <c r="C51" s="2873"/>
      <c r="D51" s="2873"/>
      <c r="E51" s="2873"/>
      <c r="F51" s="2873"/>
      <c r="G51" s="2873"/>
      <c r="H51" s="2873"/>
      <c r="I51" s="2873"/>
      <c r="J51" s="3068"/>
      <c r="K51" s="3069"/>
      <c r="L51" s="3069"/>
      <c r="M51" s="2873"/>
      <c r="N51" s="2873"/>
      <c r="O51" s="2873"/>
      <c r="P51" s="2873"/>
      <c r="Q51" s="2873"/>
      <c r="R51" s="2873"/>
    </row>
    <row r="52" spans="1:22" s="2762" customFormat="1">
      <c r="A52" s="3027"/>
      <c r="B52" s="3027"/>
      <c r="C52" s="3027"/>
      <c r="D52" s="3027"/>
      <c r="E52" s="3027"/>
      <c r="F52" s="2873"/>
      <c r="G52" s="3027"/>
      <c r="H52" s="3027"/>
      <c r="I52" s="3027"/>
      <c r="J52" s="3070"/>
      <c r="K52" s="3069"/>
      <c r="L52" s="3069"/>
      <c r="M52" s="3069"/>
      <c r="N52" s="3027"/>
      <c r="O52" s="3027"/>
      <c r="P52" s="3027"/>
      <c r="Q52" s="3027"/>
      <c r="R52" s="3027"/>
    </row>
    <row r="53" spans="1:22" s="2762" customFormat="1">
      <c r="A53" s="3027"/>
      <c r="B53" s="3027"/>
      <c r="C53" s="3027"/>
      <c r="D53" s="3027"/>
      <c r="E53" s="3027"/>
      <c r="F53" s="2873"/>
      <c r="G53" s="3027"/>
      <c r="H53" s="3027"/>
      <c r="I53" s="3027"/>
      <c r="J53" s="3070"/>
      <c r="K53" s="3069"/>
      <c r="L53" s="3069"/>
      <c r="M53" s="3069"/>
      <c r="N53" s="3027"/>
      <c r="O53" s="3027"/>
      <c r="P53" s="3027"/>
      <c r="Q53" s="3027"/>
      <c r="R53" s="3027"/>
    </row>
    <row r="54" spans="1:22" s="2762" customFormat="1">
      <c r="A54" s="3027"/>
      <c r="B54" s="3027"/>
      <c r="C54" s="3027"/>
      <c r="D54" s="3027"/>
      <c r="E54" s="3027"/>
      <c r="F54" s="2873"/>
      <c r="G54" s="3027"/>
      <c r="H54" s="3027"/>
      <c r="I54" s="3027"/>
      <c r="J54" s="3070"/>
      <c r="K54" s="3069"/>
      <c r="L54" s="3069"/>
      <c r="M54" s="3069"/>
      <c r="N54" s="3027"/>
      <c r="O54" s="3027"/>
      <c r="P54" s="3027"/>
      <c r="Q54" s="3027"/>
      <c r="R54" s="3027"/>
    </row>
    <row r="55" spans="1:22" s="2762" customFormat="1">
      <c r="A55" s="3027"/>
      <c r="B55" s="3027"/>
      <c r="C55" s="3027"/>
      <c r="D55" s="3027"/>
      <c r="E55" s="3027"/>
      <c r="F55" s="2873"/>
      <c r="G55" s="3027"/>
      <c r="H55" s="3027"/>
      <c r="I55" s="3027"/>
      <c r="J55" s="3070"/>
      <c r="K55" s="3069"/>
      <c r="L55" s="3069"/>
      <c r="M55" s="3069"/>
      <c r="N55" s="3027"/>
      <c r="O55" s="3027"/>
      <c r="P55" s="3027"/>
      <c r="Q55" s="3027"/>
      <c r="R55" s="3027"/>
    </row>
    <row r="56" spans="1:22" s="2762" customFormat="1">
      <c r="A56" s="3027"/>
      <c r="B56" s="3027"/>
      <c r="C56" s="3027"/>
      <c r="D56" s="3027"/>
      <c r="E56" s="3027"/>
      <c r="F56" s="2873"/>
      <c r="G56" s="3027"/>
      <c r="H56" s="3027"/>
      <c r="I56" s="3027"/>
      <c r="J56" s="3070"/>
      <c r="K56" s="3069"/>
      <c r="L56" s="3069"/>
      <c r="M56" s="3069"/>
      <c r="N56" s="3027"/>
      <c r="O56" s="3027"/>
      <c r="P56" s="3027"/>
      <c r="Q56" s="3027"/>
      <c r="R56" s="30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58" customWidth="1"/>
    <col min="2" max="2" width="11" style="2858" customWidth="1"/>
    <col min="3" max="3" width="10.375" style="2858" customWidth="1"/>
    <col min="4" max="4" width="9.125" style="2858" customWidth="1"/>
    <col min="5" max="6" width="10" style="2856" customWidth="1"/>
    <col min="7" max="8" width="10" style="2858" customWidth="1"/>
    <col min="9" max="9" width="10.625" style="2858" customWidth="1"/>
    <col min="10" max="10" width="9.5" style="2858" customWidth="1"/>
    <col min="11" max="11" width="11" style="2858" customWidth="1"/>
    <col min="12" max="14" width="9.5" style="2858" customWidth="1"/>
    <col min="15" max="15" width="9.875" style="2858" customWidth="1"/>
    <col min="16" max="16" width="9.75" style="2858" customWidth="1"/>
    <col min="17" max="17" width="9.375" style="2858" customWidth="1"/>
    <col min="18" max="18" width="9.25" style="2858" customWidth="1"/>
    <col min="19" max="19" width="10.875" style="2858" customWidth="1"/>
    <col min="20" max="21" width="10.75" style="2858" customWidth="1"/>
    <col min="22" max="22" width="10.875" style="2858" customWidth="1"/>
    <col min="23" max="27" width="10.75" style="2858" customWidth="1"/>
    <col min="28" max="28" width="10.875" style="2858" customWidth="1"/>
    <col min="29" max="29" width="11" style="2858" customWidth="1"/>
    <col min="30" max="30" width="10" style="2858" customWidth="1"/>
    <col min="31" max="31" width="9.75" style="2858" customWidth="1"/>
    <col min="32" max="46" width="9.5" style="2858" customWidth="1"/>
    <col min="47" max="47" width="18.125" style="2858" customWidth="1"/>
    <col min="48" max="50" width="9.75" style="2858" customWidth="1"/>
    <col min="51" max="55" width="10.5" style="2858" customWidth="1"/>
    <col min="56" max="56" width="9.5" style="2858" customWidth="1"/>
    <col min="57" max="63" width="9.125" style="2858" customWidth="1"/>
    <col min="64" max="64" width="9.5" style="2858" customWidth="1"/>
    <col min="65" max="65" width="9.125" style="2858" customWidth="1"/>
    <col min="66" max="66" width="9.5" style="2858" customWidth="1"/>
    <col min="67" max="69" width="9.125" style="2858" customWidth="1"/>
    <col min="70" max="70" width="9.5" style="2858" customWidth="1"/>
    <col min="71" max="71" width="9" style="2858" customWidth="1"/>
    <col min="72" max="72" width="9.125" style="2858" customWidth="1"/>
    <col min="73" max="16384" width="8.875" style="2858"/>
  </cols>
  <sheetData>
    <row r="1" spans="1:72" ht="20.25">
      <c r="A1" s="2859" t="s">
        <v>434</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1" t="s">
        <v>435</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pans="1:72" s="2853" customFormat="1" ht="24">
      <c r="A2" s="292" t="s">
        <v>365</v>
      </c>
      <c r="B2" s="292" t="s">
        <v>361</v>
      </c>
      <c r="C2" s="292" t="s">
        <v>436</v>
      </c>
      <c r="D2" s="2861"/>
      <c r="E2" s="2262"/>
      <c r="F2" s="2328"/>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1" t="s">
        <v>437</v>
      </c>
      <c r="AZ2" s="2922" t="s">
        <v>438</v>
      </c>
      <c r="BA2" s="292" t="s">
        <v>439</v>
      </c>
      <c r="BB2" s="2861"/>
      <c r="BC2" s="2861"/>
      <c r="BD2" s="2861"/>
      <c r="BE2" s="2861"/>
      <c r="BF2" s="2861"/>
      <c r="BG2" s="2861"/>
      <c r="BH2" s="2861"/>
      <c r="BI2" s="2861"/>
      <c r="BJ2" s="2861"/>
      <c r="BK2" s="2861"/>
      <c r="BL2" s="2861"/>
      <c r="BM2" s="2861"/>
      <c r="BN2" s="2861"/>
      <c r="BO2" s="2861"/>
      <c r="BP2" s="2861"/>
      <c r="BQ2" s="2861"/>
      <c r="BR2" s="2861"/>
      <c r="BS2" s="2861"/>
      <c r="BT2" s="2861"/>
    </row>
    <row r="3" spans="1:72" s="2853" customFormat="1" ht="12.75">
      <c r="A3" s="2862">
        <v>8299.16</v>
      </c>
      <c r="B3" s="2863">
        <f>IF(C3="否",G5-AT5,G5)</f>
        <v>29009.8</v>
      </c>
      <c r="C3" s="2864" t="s">
        <v>440</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3"/>
      <c r="AZ3" s="2873"/>
      <c r="BA3" s="2929"/>
      <c r="BB3" s="2861"/>
      <c r="BC3" s="2861"/>
      <c r="BD3" s="2861"/>
      <c r="BE3" s="2861"/>
      <c r="BF3" s="2861"/>
      <c r="BG3" s="2861"/>
      <c r="BH3" s="2861"/>
      <c r="BI3" s="2861"/>
      <c r="BJ3" s="2861"/>
      <c r="BK3" s="2861"/>
      <c r="BL3" s="2861"/>
      <c r="BM3" s="2861"/>
      <c r="BN3" s="2861"/>
      <c r="BO3" s="2861"/>
      <c r="BP3" s="2861"/>
      <c r="BQ3" s="2861"/>
      <c r="BR3" s="2861"/>
      <c r="BS3" s="2861"/>
      <c r="BT3" s="2861"/>
    </row>
    <row r="4" spans="1:72" s="2854" customFormat="1" ht="12.75">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30"/>
      <c r="BB4" s="2861"/>
      <c r="BC4" s="2861"/>
      <c r="BD4" s="2861"/>
      <c r="BE4" s="2861"/>
      <c r="BF4" s="2861"/>
      <c r="BG4" s="2861"/>
      <c r="BH4" s="2861"/>
      <c r="BI4" s="2861"/>
      <c r="BJ4" s="2861"/>
      <c r="BK4" s="2861"/>
      <c r="BL4" s="2861"/>
      <c r="BM4" s="2861"/>
      <c r="BN4" s="2861"/>
      <c r="BO4" s="2861"/>
      <c r="BP4" s="2861"/>
      <c r="BQ4" s="2861"/>
      <c r="BR4" s="2861"/>
      <c r="BS4" s="2861"/>
      <c r="BT4" s="2861"/>
    </row>
    <row r="5" spans="1:72" s="2853" customFormat="1" ht="12.75">
      <c r="A5" s="1973" t="s">
        <v>441</v>
      </c>
      <c r="B5" s="2286"/>
      <c r="C5" s="2286"/>
      <c r="D5" s="2335"/>
      <c r="E5" s="2878" t="s">
        <v>124</v>
      </c>
      <c r="F5" s="2878">
        <f>SUM(F13:F587)</f>
        <v>0</v>
      </c>
      <c r="G5" s="2878">
        <f>SUM(G13:G587)</f>
        <v>29009.8</v>
      </c>
      <c r="H5" s="2878">
        <f t="shared" ref="H5:AT5" si="0">SUM(H13:H656)</f>
        <v>29009.8</v>
      </c>
      <c r="I5" s="2878">
        <f t="shared" si="0"/>
        <v>25462.9</v>
      </c>
      <c r="J5" s="2878">
        <f t="shared" si="0"/>
        <v>0</v>
      </c>
      <c r="K5" s="2878">
        <f t="shared" si="0"/>
        <v>3546.9</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85"/>
      <c r="AV5" s="1973" t="s">
        <v>441</v>
      </c>
      <c r="AW5" s="2286"/>
      <c r="AX5" s="2286"/>
      <c r="AY5" s="2924" t="s">
        <v>124</v>
      </c>
      <c r="AZ5" s="2925">
        <f t="shared" ref="AZ5:BT5" si="1">SUM(AZ13:AZ656)</f>
        <v>29009.8</v>
      </c>
      <c r="BA5" s="2925">
        <f t="shared" si="1"/>
        <v>29009.8</v>
      </c>
      <c r="BB5" s="2925">
        <f t="shared" si="1"/>
        <v>25462.9</v>
      </c>
      <c r="BC5" s="2925">
        <f t="shared" si="1"/>
        <v>3546.9</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6">
        <f t="shared" si="1"/>
        <v>0</v>
      </c>
    </row>
    <row r="6" spans="1:72" s="2855" customFormat="1" ht="12.75">
      <c r="A6" s="1973" t="s">
        <v>442</v>
      </c>
      <c r="B6" s="2868"/>
      <c r="C6" s="2868"/>
      <c r="D6" s="2869"/>
      <c r="E6" s="2878">
        <f>H6+AC6+AT6</f>
        <v>8299.16</v>
      </c>
      <c r="F6" s="2878" t="s">
        <v>124</v>
      </c>
      <c r="G6" s="2878" t="s">
        <v>124</v>
      </c>
      <c r="H6" s="2879">
        <f>SUMIF(I$12:AB$12,"总值",I6:AB6)</f>
        <v>8299.16</v>
      </c>
      <c r="I6" s="2878">
        <f t="shared" ref="I6:AB6" si="2">ROUND($A$3*I5/$B$3,2)</f>
        <v>7284.46</v>
      </c>
      <c r="J6" s="2878">
        <f t="shared" si="2"/>
        <v>0</v>
      </c>
      <c r="K6" s="2878">
        <f t="shared" si="2"/>
        <v>1014.7</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79">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79">
        <f>IF(C3="是",ROUND($A$3*AT5/$B$3,2),0)</f>
        <v>0</v>
      </c>
      <c r="AU6" s="2912"/>
      <c r="AV6" s="1973" t="s">
        <v>442</v>
      </c>
      <c r="AW6" s="2868"/>
      <c r="AX6" s="2868"/>
      <c r="AY6" s="2926">
        <f>IF(AY3&gt;0,AY3,ROUND($A$3*AZ5/$B$3,2))</f>
        <v>8299.16</v>
      </c>
      <c r="AZ6" s="2878" t="s">
        <v>124</v>
      </c>
      <c r="BA6" s="2878">
        <f>ROUND($AY$6*BA5/$AZ$5,2)</f>
        <v>8299.16</v>
      </c>
      <c r="BB6" s="2878">
        <f>ROUND($AY$6*BB5/$AZ$5,2)</f>
        <v>7284.46</v>
      </c>
      <c r="BC6" s="2878">
        <f t="shared" ref="BC6:BH6" si="4">ROUND($AY$6*BC5/$AZ$5,2)</f>
        <v>1014.7</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37">
        <f t="shared" si="5"/>
        <v>0</v>
      </c>
    </row>
    <row r="7" spans="1:72" s="2853" customFormat="1" ht="24.75">
      <c r="A7" s="2870" t="s">
        <v>443</v>
      </c>
      <c r="B7" s="2870" t="s">
        <v>444</v>
      </c>
      <c r="C7" s="2870" t="s">
        <v>417</v>
      </c>
      <c r="D7" s="2870" t="s">
        <v>445</v>
      </c>
      <c r="E7" s="2870" t="s">
        <v>442</v>
      </c>
      <c r="F7" s="2870" t="s">
        <v>446</v>
      </c>
      <c r="G7" s="2270" t="s">
        <v>447</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5"/>
      <c r="AU7" s="2880" t="s">
        <v>448</v>
      </c>
      <c r="AV7" s="2913" t="s">
        <v>443</v>
      </c>
      <c r="AW7" s="2328" t="s">
        <v>444</v>
      </c>
      <c r="AX7" s="2913" t="s">
        <v>417</v>
      </c>
      <c r="AY7" s="2286" t="s">
        <v>449</v>
      </c>
      <c r="AZ7" s="2904"/>
      <c r="BA7" s="2880"/>
      <c r="BB7" s="2880"/>
      <c r="BC7" s="2880"/>
      <c r="BD7" s="2880"/>
      <c r="BE7" s="2880"/>
      <c r="BF7" s="2880"/>
      <c r="BG7" s="2880"/>
      <c r="BH7" s="2880"/>
      <c r="BI7" s="2880"/>
      <c r="BJ7" s="2880"/>
      <c r="BK7" s="2880"/>
      <c r="BL7" s="2880"/>
      <c r="BM7" s="2880"/>
      <c r="BN7" s="2880"/>
      <c r="BO7" s="2880"/>
      <c r="BP7" s="2880"/>
      <c r="BQ7" s="2880"/>
      <c r="BR7" s="2880"/>
      <c r="BS7" s="2880"/>
      <c r="BT7" s="2938"/>
    </row>
    <row r="8" spans="1:72" s="2570" customFormat="1" ht="24">
      <c r="A8" s="2871"/>
      <c r="B8" s="2871"/>
      <c r="C8" s="2871"/>
      <c r="D8" s="2871"/>
      <c r="E8" s="2871"/>
      <c r="F8" s="2871"/>
      <c r="G8" s="2881" t="s">
        <v>450</v>
      </c>
      <c r="H8" s="2882" t="s">
        <v>451</v>
      </c>
      <c r="I8" s="2893"/>
      <c r="J8" s="291"/>
      <c r="K8" s="291"/>
      <c r="L8" s="291"/>
      <c r="M8" s="291"/>
      <c r="N8" s="291"/>
      <c r="O8" s="291"/>
      <c r="P8" s="291"/>
      <c r="Q8" s="291"/>
      <c r="R8" s="291"/>
      <c r="S8" s="291"/>
      <c r="T8" s="291"/>
      <c r="U8" s="291"/>
      <c r="V8" s="2900"/>
      <c r="W8" s="291"/>
      <c r="X8" s="291"/>
      <c r="Y8" s="291"/>
      <c r="Z8" s="291"/>
      <c r="AA8" s="2900"/>
      <c r="AB8" s="2902"/>
      <c r="AC8" s="2146" t="s">
        <v>452</v>
      </c>
      <c r="AD8" s="2903"/>
      <c r="AE8" s="2904"/>
      <c r="AF8" s="291"/>
      <c r="AG8" s="291"/>
      <c r="AH8" s="291"/>
      <c r="AI8" s="291"/>
      <c r="AJ8" s="291"/>
      <c r="AK8" s="291"/>
      <c r="AL8" s="291"/>
      <c r="AM8" s="291"/>
      <c r="AN8" s="291"/>
      <c r="AO8" s="291"/>
      <c r="AP8" s="291"/>
      <c r="AQ8" s="291"/>
      <c r="AR8" s="291"/>
      <c r="AS8" s="291"/>
      <c r="AT8" s="1806" t="s">
        <v>453</v>
      </c>
      <c r="AU8" s="2871" t="s">
        <v>454</v>
      </c>
      <c r="AV8" s="1806"/>
      <c r="AW8" s="2262"/>
      <c r="AX8" s="1806"/>
      <c r="AY8" s="2328" t="s">
        <v>442</v>
      </c>
      <c r="AZ8" s="290" t="s">
        <v>361</v>
      </c>
      <c r="BA8" s="291"/>
      <c r="BB8" s="291"/>
      <c r="BC8" s="291"/>
      <c r="BD8" s="291"/>
      <c r="BE8" s="291"/>
      <c r="BF8" s="291"/>
      <c r="BG8" s="291"/>
      <c r="BH8" s="291"/>
      <c r="BI8" s="291"/>
      <c r="BJ8" s="291"/>
      <c r="BK8" s="291"/>
      <c r="BL8" s="291"/>
      <c r="BM8" s="291"/>
      <c r="BN8" s="291"/>
      <c r="BO8" s="291"/>
      <c r="BP8" s="291"/>
      <c r="BQ8" s="291"/>
      <c r="BR8" s="291"/>
      <c r="BS8" s="291"/>
      <c r="BT8" s="1926"/>
    </row>
    <row r="9" spans="1:72" s="2570" customFormat="1" ht="12.75">
      <c r="A9" s="2871"/>
      <c r="B9" s="2871"/>
      <c r="C9" s="2871"/>
      <c r="D9" s="2871"/>
      <c r="E9" s="2871"/>
      <c r="F9" s="2871"/>
      <c r="G9" s="1806"/>
      <c r="H9" s="2883" t="s">
        <v>455</v>
      </c>
      <c r="I9" s="2894" t="s">
        <v>456</v>
      </c>
      <c r="J9" s="2146"/>
      <c r="K9" s="2894" t="s">
        <v>457</v>
      </c>
      <c r="L9" s="2146"/>
      <c r="M9" s="2894"/>
      <c r="N9" s="2146"/>
      <c r="O9" s="2894"/>
      <c r="P9" s="2146"/>
      <c r="Q9" s="2894"/>
      <c r="R9" s="2146"/>
      <c r="S9" s="2894"/>
      <c r="T9" s="2146"/>
      <c r="U9" s="2894"/>
      <c r="V9" s="2146"/>
      <c r="W9" s="2894"/>
      <c r="X9" s="2901"/>
      <c r="Y9" s="2894"/>
      <c r="Z9" s="2146"/>
      <c r="AA9" s="2894"/>
      <c r="AB9" s="2146"/>
      <c r="AC9" s="2881" t="s">
        <v>455</v>
      </c>
      <c r="AD9" s="1973" t="s">
        <v>458</v>
      </c>
      <c r="AE9" s="1913"/>
      <c r="AF9" s="1973" t="s">
        <v>459</v>
      </c>
      <c r="AG9" s="1913"/>
      <c r="AH9" s="1973" t="s">
        <v>458</v>
      </c>
      <c r="AI9" s="1913"/>
      <c r="AJ9" s="1973" t="s">
        <v>459</v>
      </c>
      <c r="AK9" s="1913"/>
      <c r="AL9" s="1973" t="s">
        <v>458</v>
      </c>
      <c r="AM9" s="1913"/>
      <c r="AN9" s="1973" t="s">
        <v>459</v>
      </c>
      <c r="AO9" s="1913"/>
      <c r="AP9" s="1973" t="s">
        <v>458</v>
      </c>
      <c r="AQ9" s="1913"/>
      <c r="AR9" s="1973" t="s">
        <v>459</v>
      </c>
      <c r="AS9" s="2914"/>
      <c r="AT9" s="2871"/>
      <c r="AU9" s="2871" t="s">
        <v>460</v>
      </c>
      <c r="AV9" s="1806"/>
      <c r="AW9" s="2262"/>
      <c r="AX9" s="1806"/>
      <c r="AY9" s="2884"/>
      <c r="AZ9" s="2884" t="s">
        <v>450</v>
      </c>
      <c r="BA9" s="2931" t="s">
        <v>461</v>
      </c>
      <c r="BB9" s="2932"/>
      <c r="BC9" s="1930"/>
      <c r="BD9" s="1930"/>
      <c r="BE9" s="1930"/>
      <c r="BF9" s="1930"/>
      <c r="BG9" s="1930"/>
      <c r="BH9" s="1930"/>
      <c r="BI9" s="1930"/>
      <c r="BJ9" s="1930"/>
      <c r="BK9" s="2935"/>
      <c r="BL9" s="1973" t="s">
        <v>462</v>
      </c>
      <c r="BM9" s="291"/>
      <c r="BN9" s="2893"/>
      <c r="BO9" s="291"/>
      <c r="BP9" s="291"/>
      <c r="BQ9" s="291"/>
      <c r="BR9" s="291"/>
      <c r="BS9" s="291"/>
      <c r="BT9" s="1926"/>
    </row>
    <row r="10" spans="1:72" s="2570" customFormat="1" ht="12.75">
      <c r="A10" s="2871"/>
      <c r="B10" s="2871"/>
      <c r="C10" s="2871"/>
      <c r="D10" s="2871"/>
      <c r="E10" s="2871"/>
      <c r="F10" s="2871"/>
      <c r="G10" s="1806"/>
      <c r="H10" s="2884"/>
      <c r="I10" s="2894" t="s">
        <v>463</v>
      </c>
      <c r="J10" s="2146"/>
      <c r="K10" s="2895" t="s">
        <v>463</v>
      </c>
      <c r="L10" s="2146"/>
      <c r="M10" s="2895"/>
      <c r="N10" s="2146"/>
      <c r="O10" s="2895"/>
      <c r="P10" s="2146"/>
      <c r="Q10" s="2895"/>
      <c r="R10" s="2146"/>
      <c r="S10" s="2895"/>
      <c r="T10" s="2146"/>
      <c r="U10" s="2895"/>
      <c r="V10" s="2146"/>
      <c r="W10" s="2895"/>
      <c r="X10" s="2146"/>
      <c r="Y10" s="2895"/>
      <c r="Z10" s="2146"/>
      <c r="AA10" s="2895"/>
      <c r="AB10" s="2146"/>
      <c r="AC10" s="1806"/>
      <c r="AD10" s="1973" t="s">
        <v>464</v>
      </c>
      <c r="AE10" s="2905"/>
      <c r="AF10" s="1973" t="s">
        <v>464</v>
      </c>
      <c r="AG10" s="2905"/>
      <c r="AH10" s="1973" t="s">
        <v>465</v>
      </c>
      <c r="AI10" s="2905"/>
      <c r="AJ10" s="1973" t="s">
        <v>465</v>
      </c>
      <c r="AK10" s="2905"/>
      <c r="AL10" s="1973" t="s">
        <v>466</v>
      </c>
      <c r="AM10" s="1913"/>
      <c r="AN10" s="1973" t="s">
        <v>466</v>
      </c>
      <c r="AO10" s="1913"/>
      <c r="AP10" s="1973" t="s">
        <v>467</v>
      </c>
      <c r="AQ10" s="1913"/>
      <c r="AR10" s="1973" t="s">
        <v>467</v>
      </c>
      <c r="AS10" s="1913"/>
      <c r="AT10" s="2871"/>
      <c r="AU10" s="2871"/>
      <c r="AV10" s="1806"/>
      <c r="AW10" s="2262"/>
      <c r="AX10" s="1806"/>
      <c r="AY10" s="2884"/>
      <c r="AZ10" s="2884"/>
      <c r="BA10" s="2885" t="s">
        <v>455</v>
      </c>
      <c r="BB10" s="2933" t="str">
        <f>I9</f>
        <v>地上</v>
      </c>
      <c r="BC10" s="1849" t="str">
        <f>K9</f>
        <v>地下</v>
      </c>
      <c r="BD10" s="1849">
        <f>M9</f>
        <v>0</v>
      </c>
      <c r="BE10" s="1849">
        <f>O9</f>
        <v>0</v>
      </c>
      <c r="BF10" s="1849">
        <f>Q9</f>
        <v>0</v>
      </c>
      <c r="BG10" s="1849">
        <f>S9</f>
        <v>0</v>
      </c>
      <c r="BH10" s="1849">
        <f>U9</f>
        <v>0</v>
      </c>
      <c r="BI10" s="1849">
        <f>W9</f>
        <v>0</v>
      </c>
      <c r="BJ10" s="1849">
        <f>Y9</f>
        <v>0</v>
      </c>
      <c r="BK10" s="1849">
        <f>AA9</f>
        <v>0</v>
      </c>
      <c r="BL10" s="1845" t="s">
        <v>455</v>
      </c>
      <c r="BM10" s="290" t="str">
        <f>AD9</f>
        <v>地上</v>
      </c>
      <c r="BN10" s="1849" t="str">
        <f>AF9</f>
        <v>地下</v>
      </c>
      <c r="BO10" s="290" t="str">
        <f>AH9</f>
        <v>地上</v>
      </c>
      <c r="BP10" s="1849" t="str">
        <f>AJ9</f>
        <v>地下</v>
      </c>
      <c r="BQ10" s="290" t="str">
        <f>AL9</f>
        <v>地上</v>
      </c>
      <c r="BR10" s="1849" t="str">
        <f>AN9</f>
        <v>地下</v>
      </c>
      <c r="BS10" s="290" t="str">
        <f>AP9</f>
        <v>地上</v>
      </c>
      <c r="BT10" s="2939" t="str">
        <f>AR9</f>
        <v>地下</v>
      </c>
    </row>
    <row r="11" spans="1:72" s="2570" customFormat="1" ht="12.75">
      <c r="A11" s="2871"/>
      <c r="B11" s="2871"/>
      <c r="C11" s="2871"/>
      <c r="D11" s="2871"/>
      <c r="E11" s="2871"/>
      <c r="F11" s="2871"/>
      <c r="G11" s="1806"/>
      <c r="H11" s="2885"/>
      <c r="I11" s="2896" t="s">
        <v>389</v>
      </c>
      <c r="J11" s="2897"/>
      <c r="K11" s="2896" t="s">
        <v>389</v>
      </c>
      <c r="L11" s="2897"/>
      <c r="M11" s="2896"/>
      <c r="N11" s="2897"/>
      <c r="O11" s="2896"/>
      <c r="P11" s="2897"/>
      <c r="Q11" s="2896"/>
      <c r="R11" s="2897"/>
      <c r="S11" s="2896"/>
      <c r="T11" s="2897"/>
      <c r="U11" s="2896"/>
      <c r="V11" s="2897"/>
      <c r="W11" s="2896"/>
      <c r="X11" s="2897"/>
      <c r="Y11" s="2896"/>
      <c r="Z11" s="2897"/>
      <c r="AA11" s="2896"/>
      <c r="AB11" s="2897"/>
      <c r="AC11" s="1806"/>
      <c r="AD11" s="2906" t="s">
        <v>468</v>
      </c>
      <c r="AE11" s="355"/>
      <c r="AF11" s="2906" t="s">
        <v>468</v>
      </c>
      <c r="AG11" s="355"/>
      <c r="AH11" s="2906" t="s">
        <v>469</v>
      </c>
      <c r="AI11" s="2910"/>
      <c r="AJ11" s="2906" t="s">
        <v>469</v>
      </c>
      <c r="AK11" s="355"/>
      <c r="AL11" s="290"/>
      <c r="AM11" s="355"/>
      <c r="AN11" s="290"/>
      <c r="AO11" s="355"/>
      <c r="AP11" s="290"/>
      <c r="AQ11" s="355"/>
      <c r="AR11" s="290"/>
      <c r="AS11" s="355"/>
      <c r="AT11" s="2262"/>
      <c r="AU11" s="2871"/>
      <c r="AV11" s="1806"/>
      <c r="AW11" s="2262"/>
      <c r="AX11" s="1806"/>
      <c r="AY11" s="2884"/>
      <c r="AZ11" s="2884"/>
      <c r="BA11" s="2884"/>
      <c r="BB11" s="2902" t="str">
        <f>I10</f>
        <v>商业</v>
      </c>
      <c r="BC11" s="2902" t="str">
        <f>K10</f>
        <v>商业</v>
      </c>
      <c r="BD11" s="2902">
        <f>M10</f>
        <v>0</v>
      </c>
      <c r="BE11" s="2902">
        <f>O10</f>
        <v>0</v>
      </c>
      <c r="BF11" s="2902">
        <f>Q10</f>
        <v>0</v>
      </c>
      <c r="BG11" s="2902">
        <f>S10</f>
        <v>0</v>
      </c>
      <c r="BH11" s="2902">
        <f>U10</f>
        <v>0</v>
      </c>
      <c r="BI11" s="2902">
        <f>W10</f>
        <v>0</v>
      </c>
      <c r="BJ11" s="2902">
        <f>Y10</f>
        <v>0</v>
      </c>
      <c r="BK11" s="2902">
        <f>AA10</f>
        <v>0</v>
      </c>
      <c r="BL11" s="1806"/>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5" t="str">
        <f>AP10</f>
        <v>未注明</v>
      </c>
      <c r="BT11" s="2940" t="str">
        <f>AR10</f>
        <v>未注明</v>
      </c>
    </row>
    <row r="12" spans="1:72" s="2853" customFormat="1" ht="12.75">
      <c r="A12" s="2872"/>
      <c r="B12" s="2872"/>
      <c r="C12" s="2872"/>
      <c r="D12" s="2872"/>
      <c r="E12" s="2872"/>
      <c r="F12" s="2872"/>
      <c r="G12" s="723"/>
      <c r="H12" s="2886"/>
      <c r="I12" s="2335" t="s">
        <v>470</v>
      </c>
      <c r="J12" s="292" t="s">
        <v>471</v>
      </c>
      <c r="K12" s="292" t="s">
        <v>470</v>
      </c>
      <c r="L12" s="292" t="s">
        <v>471</v>
      </c>
      <c r="M12" s="292" t="s">
        <v>470</v>
      </c>
      <c r="N12" s="292" t="s">
        <v>471</v>
      </c>
      <c r="O12" s="292" t="s">
        <v>470</v>
      </c>
      <c r="P12" s="292" t="s">
        <v>471</v>
      </c>
      <c r="Q12" s="292" t="s">
        <v>470</v>
      </c>
      <c r="R12" s="292" t="s">
        <v>471</v>
      </c>
      <c r="S12" s="292" t="s">
        <v>470</v>
      </c>
      <c r="T12" s="292" t="s">
        <v>471</v>
      </c>
      <c r="U12" s="292" t="s">
        <v>470</v>
      </c>
      <c r="V12" s="2285" t="s">
        <v>471</v>
      </c>
      <c r="W12" s="292" t="s">
        <v>470</v>
      </c>
      <c r="X12" s="292" t="s">
        <v>471</v>
      </c>
      <c r="Y12" s="292" t="s">
        <v>470</v>
      </c>
      <c r="Z12" s="292" t="s">
        <v>471</v>
      </c>
      <c r="AA12" s="292" t="s">
        <v>470</v>
      </c>
      <c r="AB12" s="292" t="s">
        <v>471</v>
      </c>
      <c r="AC12" s="2907"/>
      <c r="AD12" s="2335" t="s">
        <v>470</v>
      </c>
      <c r="AE12" s="292" t="s">
        <v>471</v>
      </c>
      <c r="AF12" s="292" t="s">
        <v>470</v>
      </c>
      <c r="AG12" s="292" t="s">
        <v>471</v>
      </c>
      <c r="AH12" s="292" t="s">
        <v>470</v>
      </c>
      <c r="AI12" s="292" t="s">
        <v>471</v>
      </c>
      <c r="AJ12" s="292" t="s">
        <v>470</v>
      </c>
      <c r="AK12" s="292" t="s">
        <v>471</v>
      </c>
      <c r="AL12" s="292" t="s">
        <v>470</v>
      </c>
      <c r="AM12" s="292" t="s">
        <v>471</v>
      </c>
      <c r="AN12" s="292" t="s">
        <v>470</v>
      </c>
      <c r="AO12" s="292" t="s">
        <v>471</v>
      </c>
      <c r="AP12" s="292" t="s">
        <v>470</v>
      </c>
      <c r="AQ12" s="292" t="s">
        <v>471</v>
      </c>
      <c r="AR12" s="723" t="s">
        <v>470</v>
      </c>
      <c r="AS12" s="2872" t="s">
        <v>471</v>
      </c>
      <c r="AT12" s="2915"/>
      <c r="AU12" s="2872"/>
      <c r="AV12" s="2916"/>
      <c r="AW12" s="2328"/>
      <c r="AX12" s="2916"/>
      <c r="AY12" s="2927"/>
      <c r="AZ12" s="2884"/>
      <c r="BA12" s="2885"/>
      <c r="BB12" s="289" t="str">
        <f>I11</f>
        <v>酒店</v>
      </c>
      <c r="BC12" s="2934" t="str">
        <f>K11</f>
        <v>酒店</v>
      </c>
      <c r="BD12" s="2934">
        <f>M11</f>
        <v>0</v>
      </c>
      <c r="BE12" s="2902">
        <f>O11</f>
        <v>0</v>
      </c>
      <c r="BF12" s="2902">
        <f>Q11</f>
        <v>0</v>
      </c>
      <c r="BG12" s="2902">
        <f>S11</f>
        <v>0</v>
      </c>
      <c r="BH12" s="2902">
        <f>U11</f>
        <v>0</v>
      </c>
      <c r="BI12" s="2902">
        <f>W11</f>
        <v>0</v>
      </c>
      <c r="BJ12" s="2902">
        <f>Y11</f>
        <v>0</v>
      </c>
      <c r="BK12" s="2902">
        <f>AA11</f>
        <v>0</v>
      </c>
      <c r="BL12" s="1806"/>
      <c r="BM12" s="290" t="str">
        <f>AD11</f>
        <v>（住宅）</v>
      </c>
      <c r="BN12" s="290" t="str">
        <f>AF11</f>
        <v>（住宅）</v>
      </c>
      <c r="BO12" s="289" t="str">
        <f>AH11</f>
        <v>（住宅、计出让金）</v>
      </c>
      <c r="BP12" s="289" t="str">
        <f>AJ11</f>
        <v>（住宅、计出让金）</v>
      </c>
      <c r="BQ12" s="289">
        <f>AL11</f>
        <v>0</v>
      </c>
      <c r="BR12" s="289">
        <f>AN11</f>
        <v>0</v>
      </c>
      <c r="BS12" s="1845">
        <f>AP11</f>
        <v>0</v>
      </c>
      <c r="BT12" s="2940">
        <f>AR11</f>
        <v>0</v>
      </c>
    </row>
    <row r="13" spans="1:72" s="2853" customFormat="1" ht="12.75">
      <c r="A13" s="2873"/>
      <c r="B13" s="2873"/>
      <c r="C13" s="2873">
        <v>1</v>
      </c>
      <c r="D13" s="2874" t="s">
        <v>472</v>
      </c>
      <c r="E13" s="2878">
        <f>IF($C$3="是",ROUND($A$3*G13/$B$3,2),ROUND($A$3*(G13-AT13)/$B$3,2))</f>
        <v>67.06</v>
      </c>
      <c r="F13" s="2887"/>
      <c r="G13" s="2888">
        <f>H13+AC13+AT13</f>
        <v>234.4</v>
      </c>
      <c r="H13" s="2879">
        <f>SUMIF(I$12:AB$12,"总值",I13:AB13)</f>
        <v>234.4</v>
      </c>
      <c r="I13" s="2898">
        <v>234.4</v>
      </c>
      <c r="J13" s="2898"/>
      <c r="K13" s="2898"/>
      <c r="L13" s="2898"/>
      <c r="M13" s="2898"/>
      <c r="N13" s="2898"/>
      <c r="O13" s="2898"/>
      <c r="P13" s="2898"/>
      <c r="Q13" s="2898"/>
      <c r="R13" s="2898"/>
      <c r="S13" s="2898"/>
      <c r="T13" s="2898"/>
      <c r="U13" s="2898"/>
      <c r="V13" s="2898"/>
      <c r="W13" s="2898"/>
      <c r="X13" s="2898"/>
      <c r="Y13" s="2898"/>
      <c r="Z13" s="2898"/>
      <c r="AA13" s="2898"/>
      <c r="AB13" s="2898"/>
      <c r="AC13" s="2878">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2">
        <f t="shared" ref="AV13:AX17" si="6">A13</f>
        <v>0</v>
      </c>
      <c r="AW13" s="292">
        <f t="shared" si="6"/>
        <v>0</v>
      </c>
      <c r="AX13" s="292">
        <f t="shared" si="6"/>
        <v>1</v>
      </c>
      <c r="AY13" s="2335">
        <f>ROUND($AY$6*AZ13/$AZ$5,2)</f>
        <v>67.06</v>
      </c>
      <c r="AZ13" s="2878">
        <f>BA13+BL13</f>
        <v>234.4</v>
      </c>
      <c r="BA13" s="2878">
        <f>SUM(BB13:BK13)</f>
        <v>234.4</v>
      </c>
      <c r="BB13" s="2878">
        <f>IF($D13="是",I13-J13,0)</f>
        <v>234.4</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37">
        <f>IF($D13="是",AR13-AS13,0)</f>
        <v>0</v>
      </c>
    </row>
    <row r="14" spans="1:72" s="2853" customFormat="1" ht="12.75">
      <c r="A14" s="2873"/>
      <c r="B14" s="2873"/>
      <c r="C14" s="2873">
        <v>2</v>
      </c>
      <c r="D14" s="2874" t="s">
        <v>472</v>
      </c>
      <c r="E14" s="2878">
        <f>IF($C$3="是",ROUND($A$3*G14/$B$3,2),ROUND($A$3*(G14-AT14)/$B$3,2))</f>
        <v>6401.04</v>
      </c>
      <c r="F14" s="2887"/>
      <c r="G14" s="2888">
        <f>H14+AC14+AT14</f>
        <v>22374.9</v>
      </c>
      <c r="H14" s="2879">
        <f>SUMIF(I$12:AB$12,"总值",I14:AB14)</f>
        <v>22374.9</v>
      </c>
      <c r="I14" s="2898">
        <f>22374.9-K14</f>
        <v>18828</v>
      </c>
      <c r="J14" s="2898"/>
      <c r="K14" s="2898">
        <v>3546.9</v>
      </c>
      <c r="L14" s="2898"/>
      <c r="M14" s="2898"/>
      <c r="N14" s="2898"/>
      <c r="O14" s="2898"/>
      <c r="P14" s="2898"/>
      <c r="Q14" s="2898"/>
      <c r="R14" s="2898"/>
      <c r="S14" s="2898"/>
      <c r="T14" s="2898"/>
      <c r="U14" s="2898"/>
      <c r="V14" s="2898"/>
      <c r="W14" s="2898"/>
      <c r="X14" s="2898"/>
      <c r="Y14" s="2898"/>
      <c r="Z14" s="2898"/>
      <c r="AA14" s="2898"/>
      <c r="AB14" s="2898"/>
      <c r="AC14" s="2878">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2">
        <f t="shared" si="6"/>
        <v>0</v>
      </c>
      <c r="AW14" s="292">
        <f t="shared" si="6"/>
        <v>0</v>
      </c>
      <c r="AX14" s="292">
        <f t="shared" si="6"/>
        <v>2</v>
      </c>
      <c r="AY14" s="2335">
        <f>ROUND($AY$6*AZ14/$AZ$5,2)</f>
        <v>6401.04</v>
      </c>
      <c r="AZ14" s="2878">
        <f>BA14+BL14</f>
        <v>22374.9</v>
      </c>
      <c r="BA14" s="2878">
        <f>SUM(BB14:BK14)</f>
        <v>22374.9</v>
      </c>
      <c r="BB14" s="2878">
        <f>IF($D14="是",I14-J14,0)</f>
        <v>18828</v>
      </c>
      <c r="BC14" s="2878">
        <f>IF($D14="是",K14-L14,0)</f>
        <v>3546.9</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37">
        <f>IF($D14="是",AR14-AS14,0)</f>
        <v>0</v>
      </c>
    </row>
    <row r="15" spans="1:72" s="2853" customFormat="1" ht="12.75">
      <c r="A15" s="2873"/>
      <c r="B15" s="2873"/>
      <c r="C15" s="2873">
        <v>3</v>
      </c>
      <c r="D15" s="2874" t="s">
        <v>472</v>
      </c>
      <c r="E15" s="2878">
        <f>IF($C$3="是",ROUND($A$3*G15/$B$3,2),ROUND($A$3*(G15-AT15)/$B$3,2))</f>
        <v>1205.3499999999999</v>
      </c>
      <c r="F15" s="2887"/>
      <c r="G15" s="2888">
        <f>H15+AC15+AT15</f>
        <v>4213.3</v>
      </c>
      <c r="H15" s="2879">
        <f>SUMIF(I$12:AB$12,"总值",I15:AB15)</f>
        <v>4213.3</v>
      </c>
      <c r="I15" s="2898">
        <v>4213.3</v>
      </c>
      <c r="J15" s="2898"/>
      <c r="K15" s="2898"/>
      <c r="L15" s="2898"/>
      <c r="M15" s="2898"/>
      <c r="N15" s="2898"/>
      <c r="O15" s="2898"/>
      <c r="P15" s="2898"/>
      <c r="Q15" s="2898"/>
      <c r="R15" s="2898"/>
      <c r="S15" s="2898"/>
      <c r="T15" s="2898"/>
      <c r="U15" s="2898"/>
      <c r="V15" s="2898"/>
      <c r="W15" s="2898"/>
      <c r="X15" s="2898"/>
      <c r="Y15" s="2898"/>
      <c r="Z15" s="2898"/>
      <c r="AA15" s="2898"/>
      <c r="AB15" s="2898"/>
      <c r="AC15" s="2878">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2">
        <f t="shared" si="6"/>
        <v>0</v>
      </c>
      <c r="AW15" s="292">
        <f t="shared" si="6"/>
        <v>0</v>
      </c>
      <c r="AX15" s="292">
        <f t="shared" si="6"/>
        <v>3</v>
      </c>
      <c r="AY15" s="2335">
        <f>ROUND($AY$6*AZ15/$AZ$5,2)</f>
        <v>1205.3499999999999</v>
      </c>
      <c r="AZ15" s="2878">
        <f>BA15+BL15</f>
        <v>4213.3</v>
      </c>
      <c r="BA15" s="2878">
        <f>SUM(BB15:BK15)</f>
        <v>4213.3</v>
      </c>
      <c r="BB15" s="2878">
        <f>IF($D15="是",I15-J15,0)</f>
        <v>4213.3</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37">
        <f>IF($D15="是",AR15-AS15,0)</f>
        <v>0</v>
      </c>
    </row>
    <row r="16" spans="1:72" s="2853" customFormat="1" ht="12.75">
      <c r="A16" s="2873"/>
      <c r="B16" s="2873"/>
      <c r="C16" s="2873">
        <v>4</v>
      </c>
      <c r="D16" s="2874" t="s">
        <v>472</v>
      </c>
      <c r="E16" s="2878">
        <f>IF($C$3="是",ROUND($A$3*G16/$B$3,2),ROUND($A$3*(G16-AT16)/$B$3,2))</f>
        <v>534.26</v>
      </c>
      <c r="F16" s="2887"/>
      <c r="G16" s="2888">
        <f>H16+AC16+AT16</f>
        <v>1867.5</v>
      </c>
      <c r="H16" s="2879">
        <f>SUMIF(I$12:AB$12,"总值",I16:AB16)</f>
        <v>1867.5</v>
      </c>
      <c r="I16" s="2898">
        <v>1867.5</v>
      </c>
      <c r="J16" s="2898"/>
      <c r="K16" s="2898"/>
      <c r="L16" s="2898"/>
      <c r="M16" s="2898"/>
      <c r="N16" s="2898"/>
      <c r="O16" s="2898"/>
      <c r="P16" s="2898"/>
      <c r="Q16" s="2898"/>
      <c r="R16" s="2898"/>
      <c r="S16" s="2898"/>
      <c r="T16" s="2898"/>
      <c r="U16" s="2898"/>
      <c r="V16" s="2898"/>
      <c r="W16" s="2898"/>
      <c r="X16" s="2898"/>
      <c r="Y16" s="2898"/>
      <c r="Z16" s="2898"/>
      <c r="AA16" s="2898"/>
      <c r="AB16" s="2898"/>
      <c r="AC16" s="2878">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2">
        <f t="shared" si="6"/>
        <v>0</v>
      </c>
      <c r="AW16" s="292">
        <f t="shared" si="6"/>
        <v>0</v>
      </c>
      <c r="AX16" s="292">
        <f t="shared" si="6"/>
        <v>4</v>
      </c>
      <c r="AY16" s="2335">
        <f>ROUND($AY$6*AZ16/$AZ$5,2)</f>
        <v>534.26</v>
      </c>
      <c r="AZ16" s="2878">
        <f>BA16+BL16</f>
        <v>1867.5</v>
      </c>
      <c r="BA16" s="2878">
        <f>SUM(BB16:BK16)</f>
        <v>1867.5</v>
      </c>
      <c r="BB16" s="2878">
        <f>IF($D16="是",I16-J16,0)</f>
        <v>1867.5</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37">
        <f>IF($D16="是",AR16-AS16,0)</f>
        <v>0</v>
      </c>
    </row>
    <row r="17" spans="1:72" s="2853" customFormat="1" ht="12.75">
      <c r="A17" s="2873"/>
      <c r="B17" s="2873"/>
      <c r="C17" s="2873">
        <v>5</v>
      </c>
      <c r="D17" s="2874" t="s">
        <v>472</v>
      </c>
      <c r="E17" s="2878">
        <f>IF($C$3="是",ROUND($A$3*G17/$B$3,2),ROUND($A$3*(G17-AT17)/$B$3,2))</f>
        <v>91.46</v>
      </c>
      <c r="F17" s="2887"/>
      <c r="G17" s="2888">
        <f>H17+AC17+AT17</f>
        <v>319.7</v>
      </c>
      <c r="H17" s="2879">
        <f>SUMIF(I$12:AB$12,"总值",I17:AB17)</f>
        <v>319.7</v>
      </c>
      <c r="I17" s="2898">
        <v>319.7</v>
      </c>
      <c r="J17" s="2898"/>
      <c r="K17" s="2898"/>
      <c r="L17" s="2898"/>
      <c r="M17" s="2898"/>
      <c r="N17" s="2898"/>
      <c r="O17" s="2898"/>
      <c r="P17" s="2898"/>
      <c r="Q17" s="2898"/>
      <c r="R17" s="2898"/>
      <c r="S17" s="2898"/>
      <c r="T17" s="2898"/>
      <c r="U17" s="2898"/>
      <c r="V17" s="2898"/>
      <c r="W17" s="2898"/>
      <c r="X17" s="2898"/>
      <c r="Y17" s="2898"/>
      <c r="Z17" s="2898"/>
      <c r="AA17" s="2898"/>
      <c r="AB17" s="2898"/>
      <c r="AC17" s="2878">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2">
        <f t="shared" si="6"/>
        <v>0</v>
      </c>
      <c r="AW17" s="292">
        <f t="shared" si="6"/>
        <v>0</v>
      </c>
      <c r="AX17" s="292">
        <f t="shared" si="6"/>
        <v>5</v>
      </c>
      <c r="AY17" s="2335">
        <f>ROUND($AY$6*AZ17/$AZ$5,2)</f>
        <v>91.46</v>
      </c>
      <c r="AZ17" s="2878">
        <f>BA17+BL17</f>
        <v>319.7</v>
      </c>
      <c r="BA17" s="2878">
        <f>SUM(BB17:BK17)</f>
        <v>319.7</v>
      </c>
      <c r="BB17" s="2878">
        <f>IF($D17="是",I17-J17,0)</f>
        <v>319.7</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37">
        <f>IF($D17="是",AR17-AS17,0)</f>
        <v>0</v>
      </c>
    </row>
    <row r="18" spans="1:72">
      <c r="A18" s="2875"/>
      <c r="B18" s="2876"/>
      <c r="C18" s="2876"/>
      <c r="D18" s="2877"/>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4">
        <f t="shared" ref="AV18:AV112" si="11">A18</f>
        <v>0</v>
      </c>
      <c r="AW18" s="1124">
        <f t="shared" ref="AW18:AW112" si="12">B18</f>
        <v>0</v>
      </c>
      <c r="AX18" s="1124">
        <f t="shared" ref="AX18:AX112" si="13">C18</f>
        <v>0</v>
      </c>
      <c r="AY18" s="2928">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75"/>
      <c r="B19" s="2876"/>
      <c r="C19" s="2876"/>
      <c r="D19" s="2877"/>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4">
        <f t="shared" si="11"/>
        <v>0</v>
      </c>
      <c r="AW19" s="1124">
        <f t="shared" si="12"/>
        <v>0</v>
      </c>
      <c r="AX19" s="1124">
        <f t="shared" si="13"/>
        <v>0</v>
      </c>
      <c r="AY19" s="2928">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75"/>
      <c r="B20" s="2876"/>
      <c r="C20" s="2876"/>
      <c r="D20" s="2877"/>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4">
        <f t="shared" si="11"/>
        <v>0</v>
      </c>
      <c r="AW20" s="1124">
        <f t="shared" si="12"/>
        <v>0</v>
      </c>
      <c r="AX20" s="1124">
        <f t="shared" si="13"/>
        <v>0</v>
      </c>
      <c r="AY20" s="2928">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75"/>
      <c r="B21" s="2876"/>
      <c r="C21" s="2876"/>
      <c r="D21" s="2877"/>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4">
        <f t="shared" si="11"/>
        <v>0</v>
      </c>
      <c r="AW21" s="1124">
        <f t="shared" si="12"/>
        <v>0</v>
      </c>
      <c r="AX21" s="1124">
        <f t="shared" si="13"/>
        <v>0</v>
      </c>
      <c r="AY21" s="2928">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75"/>
      <c r="B22" s="2876"/>
      <c r="C22" s="2876"/>
      <c r="D22" s="2877"/>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4">
        <f t="shared" si="11"/>
        <v>0</v>
      </c>
      <c r="AW22" s="1124">
        <f t="shared" si="12"/>
        <v>0</v>
      </c>
      <c r="AX22" s="1124">
        <f t="shared" si="13"/>
        <v>0</v>
      </c>
      <c r="AY22" s="2928">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75"/>
      <c r="B23" s="2876"/>
      <c r="C23" s="2876"/>
      <c r="D23" s="2877"/>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4">
        <f t="shared" si="11"/>
        <v>0</v>
      </c>
      <c r="AW23" s="1124">
        <f t="shared" si="12"/>
        <v>0</v>
      </c>
      <c r="AX23" s="1124">
        <f t="shared" si="13"/>
        <v>0</v>
      </c>
      <c r="AY23" s="2928">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75"/>
      <c r="B24" s="2876"/>
      <c r="C24" s="2876"/>
      <c r="D24" s="2877"/>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4">
        <f t="shared" si="11"/>
        <v>0</v>
      </c>
      <c r="AW24" s="1124">
        <f t="shared" si="12"/>
        <v>0</v>
      </c>
      <c r="AX24" s="1124">
        <f t="shared" si="13"/>
        <v>0</v>
      </c>
      <c r="AY24" s="2928">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75"/>
      <c r="B25" s="2876"/>
      <c r="C25" s="2876"/>
      <c r="D25" s="2877"/>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4">
        <f t="shared" si="11"/>
        <v>0</v>
      </c>
      <c r="AW25" s="1124">
        <f t="shared" si="12"/>
        <v>0</v>
      </c>
      <c r="AX25" s="1124">
        <f t="shared" si="13"/>
        <v>0</v>
      </c>
      <c r="AY25" s="2928">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75"/>
      <c r="B26" s="2876"/>
      <c r="C26" s="2876"/>
      <c r="D26" s="2877"/>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4">
        <f t="shared" si="11"/>
        <v>0</v>
      </c>
      <c r="AW26" s="1124">
        <f t="shared" si="12"/>
        <v>0</v>
      </c>
      <c r="AX26" s="1124">
        <f t="shared" si="13"/>
        <v>0</v>
      </c>
      <c r="AY26" s="2928">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75"/>
      <c r="B27" s="2876"/>
      <c r="C27" s="2876"/>
      <c r="D27" s="2877"/>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4">
        <f t="shared" si="11"/>
        <v>0</v>
      </c>
      <c r="AW27" s="1124">
        <f t="shared" si="12"/>
        <v>0</v>
      </c>
      <c r="AX27" s="1124">
        <f t="shared" si="13"/>
        <v>0</v>
      </c>
      <c r="AY27" s="2928">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75"/>
      <c r="B28" s="2876"/>
      <c r="C28" s="2876"/>
      <c r="D28" s="2877"/>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4">
        <f t="shared" si="11"/>
        <v>0</v>
      </c>
      <c r="AW28" s="1124">
        <f t="shared" si="12"/>
        <v>0</v>
      </c>
      <c r="AX28" s="1124">
        <f t="shared" si="13"/>
        <v>0</v>
      </c>
      <c r="AY28" s="2928">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75"/>
      <c r="B29" s="2876"/>
      <c r="C29" s="2876"/>
      <c r="D29" s="2877"/>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4">
        <f t="shared" si="11"/>
        <v>0</v>
      </c>
      <c r="AW29" s="1124">
        <f t="shared" si="12"/>
        <v>0</v>
      </c>
      <c r="AX29" s="1124">
        <f t="shared" si="13"/>
        <v>0</v>
      </c>
      <c r="AY29" s="2928">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75"/>
      <c r="B30" s="2876"/>
      <c r="C30" s="2876"/>
      <c r="D30" s="2877"/>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4">
        <f t="shared" si="11"/>
        <v>0</v>
      </c>
      <c r="AW30" s="1124">
        <f t="shared" si="12"/>
        <v>0</v>
      </c>
      <c r="AX30" s="1124">
        <f t="shared" si="13"/>
        <v>0</v>
      </c>
      <c r="AY30" s="2928">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75"/>
      <c r="B31" s="2876"/>
      <c r="C31" s="2876"/>
      <c r="D31" s="2877"/>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4">
        <f t="shared" si="11"/>
        <v>0</v>
      </c>
      <c r="AW31" s="1124">
        <f t="shared" si="12"/>
        <v>0</v>
      </c>
      <c r="AX31" s="1124">
        <f t="shared" si="13"/>
        <v>0</v>
      </c>
      <c r="AY31" s="2928">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75"/>
      <c r="B32" s="2876"/>
      <c r="C32" s="2876"/>
      <c r="D32" s="2877"/>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4">
        <f t="shared" si="11"/>
        <v>0</v>
      </c>
      <c r="AW32" s="1124">
        <f t="shared" si="12"/>
        <v>0</v>
      </c>
      <c r="AX32" s="1124">
        <f t="shared" si="13"/>
        <v>0</v>
      </c>
      <c r="AY32" s="2928">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75"/>
      <c r="B33" s="2876"/>
      <c r="C33" s="2876"/>
      <c r="D33" s="2877"/>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4">
        <f t="shared" si="11"/>
        <v>0</v>
      </c>
      <c r="AW33" s="1124">
        <f t="shared" si="12"/>
        <v>0</v>
      </c>
      <c r="AX33" s="1124">
        <f t="shared" si="13"/>
        <v>0</v>
      </c>
      <c r="AY33" s="2928">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75"/>
      <c r="B34" s="2876"/>
      <c r="C34" s="2876"/>
      <c r="D34" s="2877"/>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4">
        <f t="shared" si="11"/>
        <v>0</v>
      </c>
      <c r="AW34" s="1124">
        <f t="shared" si="12"/>
        <v>0</v>
      </c>
      <c r="AX34" s="1124">
        <f t="shared" si="13"/>
        <v>0</v>
      </c>
      <c r="AY34" s="2928">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75"/>
      <c r="B35" s="2876"/>
      <c r="C35" s="2876"/>
      <c r="D35" s="2877"/>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4">
        <f t="shared" si="11"/>
        <v>0</v>
      </c>
      <c r="AW35" s="1124">
        <f t="shared" si="12"/>
        <v>0</v>
      </c>
      <c r="AX35" s="1124">
        <f t="shared" si="13"/>
        <v>0</v>
      </c>
      <c r="AY35" s="2928">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75"/>
      <c r="B36" s="2876"/>
      <c r="C36" s="2876"/>
      <c r="D36" s="2877"/>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4">
        <f t="shared" si="11"/>
        <v>0</v>
      </c>
      <c r="AW36" s="1124">
        <f t="shared" si="12"/>
        <v>0</v>
      </c>
      <c r="AX36" s="1124">
        <f t="shared" si="13"/>
        <v>0</v>
      </c>
      <c r="AY36" s="2928">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75"/>
      <c r="B37" s="2876"/>
      <c r="C37" s="2876"/>
      <c r="D37" s="2877"/>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4">
        <f t="shared" si="11"/>
        <v>0</v>
      </c>
      <c r="AW37" s="1124">
        <f t="shared" si="12"/>
        <v>0</v>
      </c>
      <c r="AX37" s="1124">
        <f t="shared" si="13"/>
        <v>0</v>
      </c>
      <c r="AY37" s="2928">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75"/>
      <c r="B38" s="2876"/>
      <c r="C38" s="2876"/>
      <c r="D38" s="2877"/>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4">
        <f t="shared" si="11"/>
        <v>0</v>
      </c>
      <c r="AW38" s="1124">
        <f t="shared" si="12"/>
        <v>0</v>
      </c>
      <c r="AX38" s="1124">
        <f t="shared" si="13"/>
        <v>0</v>
      </c>
      <c r="AY38" s="2928">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75"/>
      <c r="B39" s="2876"/>
      <c r="C39" s="2876"/>
      <c r="D39" s="2877"/>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4">
        <f t="shared" si="11"/>
        <v>0</v>
      </c>
      <c r="AW39" s="1124">
        <f t="shared" si="12"/>
        <v>0</v>
      </c>
      <c r="AX39" s="1124">
        <f t="shared" si="13"/>
        <v>0</v>
      </c>
      <c r="AY39" s="2928">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75"/>
      <c r="B40" s="2876"/>
      <c r="C40" s="2876"/>
      <c r="D40" s="2877"/>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4">
        <f t="shared" si="11"/>
        <v>0</v>
      </c>
      <c r="AW40" s="1124">
        <f t="shared" si="12"/>
        <v>0</v>
      </c>
      <c r="AX40" s="1124">
        <f t="shared" si="13"/>
        <v>0</v>
      </c>
      <c r="AY40" s="2928">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75"/>
      <c r="B41" s="2876"/>
      <c r="C41" s="2876"/>
      <c r="D41" s="2877"/>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4">
        <f t="shared" si="11"/>
        <v>0</v>
      </c>
      <c r="AW41" s="1124">
        <f t="shared" si="12"/>
        <v>0</v>
      </c>
      <c r="AX41" s="1124">
        <f t="shared" si="13"/>
        <v>0</v>
      </c>
      <c r="AY41" s="2928">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75"/>
      <c r="B42" s="2876"/>
      <c r="C42" s="2876"/>
      <c r="D42" s="2877"/>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4">
        <f t="shared" si="11"/>
        <v>0</v>
      </c>
      <c r="AW42" s="1124">
        <f t="shared" si="12"/>
        <v>0</v>
      </c>
      <c r="AX42" s="1124">
        <f t="shared" si="13"/>
        <v>0</v>
      </c>
      <c r="AY42" s="2928">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75"/>
      <c r="B43" s="2876"/>
      <c r="C43" s="2876"/>
      <c r="D43" s="2877"/>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4">
        <f t="shared" si="11"/>
        <v>0</v>
      </c>
      <c r="AW43" s="1124">
        <f t="shared" si="12"/>
        <v>0</v>
      </c>
      <c r="AX43" s="1124">
        <f t="shared" si="13"/>
        <v>0</v>
      </c>
      <c r="AY43" s="2928">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75"/>
      <c r="B44" s="2876"/>
      <c r="C44" s="2876"/>
      <c r="D44" s="2877"/>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4">
        <f t="shared" si="11"/>
        <v>0</v>
      </c>
      <c r="AW44" s="1124">
        <f t="shared" si="12"/>
        <v>0</v>
      </c>
      <c r="AX44" s="1124">
        <f t="shared" si="13"/>
        <v>0</v>
      </c>
      <c r="AY44" s="2928">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75"/>
      <c r="B45" s="2876"/>
      <c r="C45" s="2876"/>
      <c r="D45" s="2877"/>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4">
        <f t="shared" si="11"/>
        <v>0</v>
      </c>
      <c r="AW45" s="1124">
        <f t="shared" si="12"/>
        <v>0</v>
      </c>
      <c r="AX45" s="1124">
        <f t="shared" si="13"/>
        <v>0</v>
      </c>
      <c r="AY45" s="2928">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75"/>
      <c r="B46" s="2876"/>
      <c r="C46" s="2876"/>
      <c r="D46" s="2877"/>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4">
        <f t="shared" si="11"/>
        <v>0</v>
      </c>
      <c r="AW46" s="1124">
        <f t="shared" si="12"/>
        <v>0</v>
      </c>
      <c r="AX46" s="1124">
        <f t="shared" si="13"/>
        <v>0</v>
      </c>
      <c r="AY46" s="2928">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75"/>
      <c r="B47" s="2876"/>
      <c r="C47" s="2876"/>
      <c r="D47" s="2877"/>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4">
        <f t="shared" si="11"/>
        <v>0</v>
      </c>
      <c r="AW47" s="1124">
        <f t="shared" si="12"/>
        <v>0</v>
      </c>
      <c r="AX47" s="1124">
        <f t="shared" si="13"/>
        <v>0</v>
      </c>
      <c r="AY47" s="2928">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75"/>
      <c r="B48" s="2876"/>
      <c r="C48" s="2876"/>
      <c r="D48" s="2877"/>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4">
        <f t="shared" si="11"/>
        <v>0</v>
      </c>
      <c r="AW48" s="1124">
        <f t="shared" si="12"/>
        <v>0</v>
      </c>
      <c r="AX48" s="1124">
        <f t="shared" si="13"/>
        <v>0</v>
      </c>
      <c r="AY48" s="2928">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75"/>
      <c r="B49" s="2876"/>
      <c r="C49" s="2876"/>
      <c r="D49" s="2877"/>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4">
        <f t="shared" si="11"/>
        <v>0</v>
      </c>
      <c r="AW49" s="1124">
        <f t="shared" si="12"/>
        <v>0</v>
      </c>
      <c r="AX49" s="1124">
        <f t="shared" si="13"/>
        <v>0</v>
      </c>
      <c r="AY49" s="2928">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75"/>
      <c r="B50" s="2876"/>
      <c r="C50" s="2876"/>
      <c r="D50" s="2877"/>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4">
        <f t="shared" si="11"/>
        <v>0</v>
      </c>
      <c r="AW50" s="1124">
        <f t="shared" si="12"/>
        <v>0</v>
      </c>
      <c r="AX50" s="1124">
        <f t="shared" si="13"/>
        <v>0</v>
      </c>
      <c r="AY50" s="2928">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75"/>
      <c r="B51" s="2876"/>
      <c r="C51" s="2876"/>
      <c r="D51" s="2877"/>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4">
        <f t="shared" si="11"/>
        <v>0</v>
      </c>
      <c r="AW51" s="1124">
        <f t="shared" si="12"/>
        <v>0</v>
      </c>
      <c r="AX51" s="1124">
        <f t="shared" si="13"/>
        <v>0</v>
      </c>
      <c r="AY51" s="2928">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75"/>
      <c r="B52" s="2876"/>
      <c r="C52" s="2876"/>
      <c r="D52" s="2877"/>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4">
        <f t="shared" si="11"/>
        <v>0</v>
      </c>
      <c r="AW52" s="1124">
        <f t="shared" si="12"/>
        <v>0</v>
      </c>
      <c r="AX52" s="1124">
        <f t="shared" si="13"/>
        <v>0</v>
      </c>
      <c r="AY52" s="2928">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75"/>
      <c r="B53" s="2876"/>
      <c r="C53" s="2876"/>
      <c r="D53" s="2877"/>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4">
        <f t="shared" si="11"/>
        <v>0</v>
      </c>
      <c r="AW53" s="1124">
        <f t="shared" si="12"/>
        <v>0</v>
      </c>
      <c r="AX53" s="1124">
        <f t="shared" si="13"/>
        <v>0</v>
      </c>
      <c r="AY53" s="2928">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75"/>
      <c r="B54" s="2876"/>
      <c r="C54" s="2876"/>
      <c r="D54" s="2877"/>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4">
        <f t="shared" si="11"/>
        <v>0</v>
      </c>
      <c r="AW54" s="1124">
        <f t="shared" si="12"/>
        <v>0</v>
      </c>
      <c r="AX54" s="1124">
        <f t="shared" si="13"/>
        <v>0</v>
      </c>
      <c r="AY54" s="2928">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75"/>
      <c r="B55" s="2876"/>
      <c r="C55" s="2876"/>
      <c r="D55" s="2877"/>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4">
        <f t="shared" si="11"/>
        <v>0</v>
      </c>
      <c r="AW55" s="1124">
        <f t="shared" si="12"/>
        <v>0</v>
      </c>
      <c r="AX55" s="1124">
        <f t="shared" si="13"/>
        <v>0</v>
      </c>
      <c r="AY55" s="2928">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75"/>
      <c r="B56" s="2876"/>
      <c r="C56" s="2876"/>
      <c r="D56" s="2877"/>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4">
        <f t="shared" si="11"/>
        <v>0</v>
      </c>
      <c r="AW56" s="1124">
        <f t="shared" si="12"/>
        <v>0</v>
      </c>
      <c r="AX56" s="1124">
        <f t="shared" si="13"/>
        <v>0</v>
      </c>
      <c r="AY56" s="2928">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75"/>
      <c r="B57" s="2876"/>
      <c r="C57" s="2876"/>
      <c r="D57" s="2877"/>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4">
        <f t="shared" si="11"/>
        <v>0</v>
      </c>
      <c r="AW57" s="1124">
        <f t="shared" si="12"/>
        <v>0</v>
      </c>
      <c r="AX57" s="1124">
        <f t="shared" si="13"/>
        <v>0</v>
      </c>
      <c r="AY57" s="2928">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75"/>
      <c r="B58" s="2876"/>
      <c r="C58" s="2876"/>
      <c r="D58" s="2877"/>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4">
        <f t="shared" si="11"/>
        <v>0</v>
      </c>
      <c r="AW58" s="1124">
        <f t="shared" si="12"/>
        <v>0</v>
      </c>
      <c r="AX58" s="1124">
        <f t="shared" si="13"/>
        <v>0</v>
      </c>
      <c r="AY58" s="2928">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75"/>
      <c r="B59" s="2876"/>
      <c r="C59" s="2876"/>
      <c r="D59" s="2877"/>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4">
        <f t="shared" si="11"/>
        <v>0</v>
      </c>
      <c r="AW59" s="1124">
        <f t="shared" si="12"/>
        <v>0</v>
      </c>
      <c r="AX59" s="1124">
        <f t="shared" si="13"/>
        <v>0</v>
      </c>
      <c r="AY59" s="2928">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75"/>
      <c r="B60" s="2876"/>
      <c r="C60" s="2876"/>
      <c r="D60" s="2877"/>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4">
        <f t="shared" si="11"/>
        <v>0</v>
      </c>
      <c r="AW60" s="1124">
        <f t="shared" si="12"/>
        <v>0</v>
      </c>
      <c r="AX60" s="1124">
        <f t="shared" si="13"/>
        <v>0</v>
      </c>
      <c r="AY60" s="2928">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75"/>
      <c r="B61" s="2876"/>
      <c r="C61" s="2876"/>
      <c r="D61" s="2877"/>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4">
        <f t="shared" si="11"/>
        <v>0</v>
      </c>
      <c r="AW61" s="1124">
        <f t="shared" si="12"/>
        <v>0</v>
      </c>
      <c r="AX61" s="1124">
        <f t="shared" si="13"/>
        <v>0</v>
      </c>
      <c r="AY61" s="2928">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75"/>
      <c r="B62" s="2876"/>
      <c r="C62" s="2876"/>
      <c r="D62" s="2877"/>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4">
        <f t="shared" si="11"/>
        <v>0</v>
      </c>
      <c r="AW62" s="1124">
        <f t="shared" si="12"/>
        <v>0</v>
      </c>
      <c r="AX62" s="1124">
        <f t="shared" si="13"/>
        <v>0</v>
      </c>
      <c r="AY62" s="2928">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75"/>
      <c r="B63" s="2876"/>
      <c r="C63" s="2876"/>
      <c r="D63" s="2877"/>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4">
        <f t="shared" si="11"/>
        <v>0</v>
      </c>
      <c r="AW63" s="1124">
        <f t="shared" si="12"/>
        <v>0</v>
      </c>
      <c r="AX63" s="1124">
        <f t="shared" si="13"/>
        <v>0</v>
      </c>
      <c r="AY63" s="2928">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75"/>
      <c r="B64" s="2876"/>
      <c r="C64" s="2876"/>
      <c r="D64" s="2877"/>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4">
        <f t="shared" si="11"/>
        <v>0</v>
      </c>
      <c r="AW64" s="1124">
        <f t="shared" si="12"/>
        <v>0</v>
      </c>
      <c r="AX64" s="1124">
        <f t="shared" si="13"/>
        <v>0</v>
      </c>
      <c r="AY64" s="2928">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75"/>
      <c r="B65" s="2876"/>
      <c r="C65" s="2876"/>
      <c r="D65" s="2877"/>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4">
        <f t="shared" si="11"/>
        <v>0</v>
      </c>
      <c r="AW65" s="1124">
        <f t="shared" si="12"/>
        <v>0</v>
      </c>
      <c r="AX65" s="1124">
        <f t="shared" si="13"/>
        <v>0</v>
      </c>
      <c r="AY65" s="2928">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75"/>
      <c r="B66" s="2876"/>
      <c r="C66" s="2876"/>
      <c r="D66" s="2877"/>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4">
        <f t="shared" si="11"/>
        <v>0</v>
      </c>
      <c r="AW66" s="1124">
        <f t="shared" si="12"/>
        <v>0</v>
      </c>
      <c r="AX66" s="1124">
        <f t="shared" si="13"/>
        <v>0</v>
      </c>
      <c r="AY66" s="2928">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75"/>
      <c r="B67" s="2876"/>
      <c r="C67" s="2876"/>
      <c r="D67" s="2877"/>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4">
        <f t="shared" si="11"/>
        <v>0</v>
      </c>
      <c r="AW67" s="1124">
        <f t="shared" si="12"/>
        <v>0</v>
      </c>
      <c r="AX67" s="1124">
        <f t="shared" si="13"/>
        <v>0</v>
      </c>
      <c r="AY67" s="2928">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75"/>
      <c r="B68" s="2876"/>
      <c r="C68" s="2876"/>
      <c r="D68" s="2877"/>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4">
        <f t="shared" si="11"/>
        <v>0</v>
      </c>
      <c r="AW68" s="1124">
        <f t="shared" si="12"/>
        <v>0</v>
      </c>
      <c r="AX68" s="1124">
        <f t="shared" si="13"/>
        <v>0</v>
      </c>
      <c r="AY68" s="2928">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75"/>
      <c r="B69" s="2876"/>
      <c r="C69" s="2876"/>
      <c r="D69" s="2877"/>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4">
        <f t="shared" si="11"/>
        <v>0</v>
      </c>
      <c r="AW69" s="1124">
        <f t="shared" si="12"/>
        <v>0</v>
      </c>
      <c r="AX69" s="1124">
        <f t="shared" si="13"/>
        <v>0</v>
      </c>
      <c r="AY69" s="2928">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75"/>
      <c r="B70" s="2876"/>
      <c r="C70" s="2876"/>
      <c r="D70" s="2877"/>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4">
        <f t="shared" si="11"/>
        <v>0</v>
      </c>
      <c r="AW70" s="1124">
        <f t="shared" si="12"/>
        <v>0</v>
      </c>
      <c r="AX70" s="1124">
        <f t="shared" si="13"/>
        <v>0</v>
      </c>
      <c r="AY70" s="2928">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75"/>
      <c r="B71" s="2876"/>
      <c r="C71" s="2876"/>
      <c r="D71" s="2877"/>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4">
        <f t="shared" si="11"/>
        <v>0</v>
      </c>
      <c r="AW71" s="1124">
        <f t="shared" si="12"/>
        <v>0</v>
      </c>
      <c r="AX71" s="1124">
        <f t="shared" si="13"/>
        <v>0</v>
      </c>
      <c r="AY71" s="2928">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75"/>
      <c r="B72" s="2876"/>
      <c r="C72" s="2876"/>
      <c r="D72" s="2877"/>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4">
        <f t="shared" si="11"/>
        <v>0</v>
      </c>
      <c r="AW72" s="1124">
        <f t="shared" si="12"/>
        <v>0</v>
      </c>
      <c r="AX72" s="1124">
        <f t="shared" si="13"/>
        <v>0</v>
      </c>
      <c r="AY72" s="2928">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75"/>
      <c r="B73" s="2876"/>
      <c r="C73" s="2876"/>
      <c r="D73" s="2877"/>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4">
        <f t="shared" si="11"/>
        <v>0</v>
      </c>
      <c r="AW73" s="1124">
        <f t="shared" si="12"/>
        <v>0</v>
      </c>
      <c r="AX73" s="1124">
        <f t="shared" si="13"/>
        <v>0</v>
      </c>
      <c r="AY73" s="2928">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75"/>
      <c r="B74" s="2876"/>
      <c r="C74" s="2876"/>
      <c r="D74" s="2877"/>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4">
        <f t="shared" si="11"/>
        <v>0</v>
      </c>
      <c r="AW74" s="1124">
        <f t="shared" si="12"/>
        <v>0</v>
      </c>
      <c r="AX74" s="1124">
        <f t="shared" si="13"/>
        <v>0</v>
      </c>
      <c r="AY74" s="2928">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75"/>
      <c r="B75" s="2876"/>
      <c r="C75" s="2876"/>
      <c r="D75" s="2877"/>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4">
        <f t="shared" si="11"/>
        <v>0</v>
      </c>
      <c r="AW75" s="1124">
        <f t="shared" si="12"/>
        <v>0</v>
      </c>
      <c r="AX75" s="1124">
        <f t="shared" si="13"/>
        <v>0</v>
      </c>
      <c r="AY75" s="2928">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75"/>
      <c r="B76" s="2876"/>
      <c r="C76" s="2876"/>
      <c r="D76" s="2877"/>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4">
        <f t="shared" si="11"/>
        <v>0</v>
      </c>
      <c r="AW76" s="1124">
        <f t="shared" si="12"/>
        <v>0</v>
      </c>
      <c r="AX76" s="1124">
        <f t="shared" si="13"/>
        <v>0</v>
      </c>
      <c r="AY76" s="2928">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75"/>
      <c r="B77" s="2876"/>
      <c r="C77" s="2876"/>
      <c r="D77" s="2877"/>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4">
        <f t="shared" si="11"/>
        <v>0</v>
      </c>
      <c r="AW77" s="1124">
        <f t="shared" si="12"/>
        <v>0</v>
      </c>
      <c r="AX77" s="1124">
        <f t="shared" si="13"/>
        <v>0</v>
      </c>
      <c r="AY77" s="2928">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75"/>
      <c r="B78" s="2876"/>
      <c r="C78" s="2876"/>
      <c r="D78" s="2877"/>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4">
        <f t="shared" si="11"/>
        <v>0</v>
      </c>
      <c r="AW78" s="1124">
        <f t="shared" si="12"/>
        <v>0</v>
      </c>
      <c r="AX78" s="1124">
        <f t="shared" si="13"/>
        <v>0</v>
      </c>
      <c r="AY78" s="2928">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75"/>
      <c r="B79" s="2876"/>
      <c r="C79" s="2876"/>
      <c r="D79" s="2877"/>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4">
        <f t="shared" si="11"/>
        <v>0</v>
      </c>
      <c r="AW79" s="1124">
        <f t="shared" si="12"/>
        <v>0</v>
      </c>
      <c r="AX79" s="1124">
        <f t="shared" si="13"/>
        <v>0</v>
      </c>
      <c r="AY79" s="2928">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75"/>
      <c r="B80" s="2876"/>
      <c r="C80" s="2876"/>
      <c r="D80" s="2877"/>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4">
        <f t="shared" si="11"/>
        <v>0</v>
      </c>
      <c r="AW80" s="1124">
        <f t="shared" si="12"/>
        <v>0</v>
      </c>
      <c r="AX80" s="1124">
        <f t="shared" si="13"/>
        <v>0</v>
      </c>
      <c r="AY80" s="2928">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75"/>
      <c r="B81" s="2876"/>
      <c r="C81" s="2876"/>
      <c r="D81" s="2877"/>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4">
        <f t="shared" si="11"/>
        <v>0</v>
      </c>
      <c r="AW81" s="1124">
        <f t="shared" si="12"/>
        <v>0</v>
      </c>
      <c r="AX81" s="1124">
        <f t="shared" si="13"/>
        <v>0</v>
      </c>
      <c r="AY81" s="2928">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75"/>
      <c r="B82" s="2876"/>
      <c r="C82" s="2876"/>
      <c r="D82" s="2877"/>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4">
        <f t="shared" si="11"/>
        <v>0</v>
      </c>
      <c r="AW82" s="1124">
        <f t="shared" si="12"/>
        <v>0</v>
      </c>
      <c r="AX82" s="1124">
        <f t="shared" si="13"/>
        <v>0</v>
      </c>
      <c r="AY82" s="2928">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75"/>
      <c r="B83" s="2876"/>
      <c r="C83" s="2876"/>
      <c r="D83" s="2877"/>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4">
        <f t="shared" si="11"/>
        <v>0</v>
      </c>
      <c r="AW83" s="1124">
        <f t="shared" si="12"/>
        <v>0</v>
      </c>
      <c r="AX83" s="1124">
        <f t="shared" si="13"/>
        <v>0</v>
      </c>
      <c r="AY83" s="2928">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75"/>
      <c r="B84" s="2876"/>
      <c r="C84" s="2876"/>
      <c r="D84" s="2877"/>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4">
        <f t="shared" si="11"/>
        <v>0</v>
      </c>
      <c r="AW84" s="1124">
        <f t="shared" si="12"/>
        <v>0</v>
      </c>
      <c r="AX84" s="1124">
        <f t="shared" si="13"/>
        <v>0</v>
      </c>
      <c r="AY84" s="2928">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75"/>
      <c r="B85" s="2876"/>
      <c r="C85" s="2876"/>
      <c r="D85" s="2877"/>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4">
        <f t="shared" si="11"/>
        <v>0</v>
      </c>
      <c r="AW85" s="1124">
        <f t="shared" si="12"/>
        <v>0</v>
      </c>
      <c r="AX85" s="1124">
        <f t="shared" si="13"/>
        <v>0</v>
      </c>
      <c r="AY85" s="2928">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75"/>
      <c r="B86" s="2876"/>
      <c r="C86" s="2876"/>
      <c r="D86" s="2877"/>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4">
        <f t="shared" si="11"/>
        <v>0</v>
      </c>
      <c r="AW86" s="1124">
        <f t="shared" si="12"/>
        <v>0</v>
      </c>
      <c r="AX86" s="1124">
        <f t="shared" si="13"/>
        <v>0</v>
      </c>
      <c r="AY86" s="2928">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75"/>
      <c r="B87" s="2876"/>
      <c r="C87" s="2876"/>
      <c r="D87" s="2877"/>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4">
        <f t="shared" si="11"/>
        <v>0</v>
      </c>
      <c r="AW87" s="1124">
        <f t="shared" si="12"/>
        <v>0</v>
      </c>
      <c r="AX87" s="1124">
        <f t="shared" si="13"/>
        <v>0</v>
      </c>
      <c r="AY87" s="2928">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75"/>
      <c r="B88" s="2876"/>
      <c r="C88" s="2876"/>
      <c r="D88" s="2877"/>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4">
        <f t="shared" si="11"/>
        <v>0</v>
      </c>
      <c r="AW88" s="1124">
        <f t="shared" si="12"/>
        <v>0</v>
      </c>
      <c r="AX88" s="1124">
        <f t="shared" si="13"/>
        <v>0</v>
      </c>
      <c r="AY88" s="2928">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75"/>
      <c r="B89" s="2876"/>
      <c r="C89" s="2876"/>
      <c r="D89" s="2877"/>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4">
        <f t="shared" si="11"/>
        <v>0</v>
      </c>
      <c r="AW89" s="1124">
        <f t="shared" si="12"/>
        <v>0</v>
      </c>
      <c r="AX89" s="1124">
        <f t="shared" si="13"/>
        <v>0</v>
      </c>
      <c r="AY89" s="2928">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75"/>
      <c r="B90" s="2876"/>
      <c r="C90" s="2876"/>
      <c r="D90" s="2877"/>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4">
        <f t="shared" si="11"/>
        <v>0</v>
      </c>
      <c r="AW90" s="1124">
        <f t="shared" si="12"/>
        <v>0</v>
      </c>
      <c r="AX90" s="1124">
        <f t="shared" si="13"/>
        <v>0</v>
      </c>
      <c r="AY90" s="2928">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75"/>
      <c r="B91" s="2876"/>
      <c r="C91" s="2876"/>
      <c r="D91" s="2877"/>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4">
        <f t="shared" si="11"/>
        <v>0</v>
      </c>
      <c r="AW91" s="1124">
        <f t="shared" si="12"/>
        <v>0</v>
      </c>
      <c r="AX91" s="1124">
        <f t="shared" si="13"/>
        <v>0</v>
      </c>
      <c r="AY91" s="2928">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75"/>
      <c r="B92" s="2876"/>
      <c r="C92" s="2876"/>
      <c r="D92" s="2877"/>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4">
        <f t="shared" si="11"/>
        <v>0</v>
      </c>
      <c r="AW92" s="1124">
        <f t="shared" si="12"/>
        <v>0</v>
      </c>
      <c r="AX92" s="1124">
        <f t="shared" si="13"/>
        <v>0</v>
      </c>
      <c r="AY92" s="2928">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75"/>
      <c r="B93" s="2876"/>
      <c r="C93" s="2876"/>
      <c r="D93" s="2877"/>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4">
        <f t="shared" si="11"/>
        <v>0</v>
      </c>
      <c r="AW93" s="1124">
        <f t="shared" si="12"/>
        <v>0</v>
      </c>
      <c r="AX93" s="1124">
        <f t="shared" si="13"/>
        <v>0</v>
      </c>
      <c r="AY93" s="2928">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75"/>
      <c r="B94" s="2876"/>
      <c r="C94" s="2876"/>
      <c r="D94" s="2877"/>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4">
        <f t="shared" si="11"/>
        <v>0</v>
      </c>
      <c r="AW94" s="1124">
        <f t="shared" si="12"/>
        <v>0</v>
      </c>
      <c r="AX94" s="1124">
        <f t="shared" si="13"/>
        <v>0</v>
      </c>
      <c r="AY94" s="2928">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75"/>
      <c r="B95" s="2876"/>
      <c r="C95" s="2876"/>
      <c r="D95" s="2877"/>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4">
        <f t="shared" si="11"/>
        <v>0</v>
      </c>
      <c r="AW95" s="1124">
        <f t="shared" si="12"/>
        <v>0</v>
      </c>
      <c r="AX95" s="1124">
        <f t="shared" si="13"/>
        <v>0</v>
      </c>
      <c r="AY95" s="2928">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75"/>
      <c r="B96" s="2876"/>
      <c r="C96" s="2876"/>
      <c r="D96" s="2877"/>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4">
        <f t="shared" si="11"/>
        <v>0</v>
      </c>
      <c r="AW96" s="1124">
        <f t="shared" si="12"/>
        <v>0</v>
      </c>
      <c r="AX96" s="1124">
        <f t="shared" si="13"/>
        <v>0</v>
      </c>
      <c r="AY96" s="2928">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75"/>
      <c r="B97" s="2876"/>
      <c r="C97" s="2876"/>
      <c r="D97" s="2877"/>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4">
        <f t="shared" si="11"/>
        <v>0</v>
      </c>
      <c r="AW97" s="1124">
        <f t="shared" si="12"/>
        <v>0</v>
      </c>
      <c r="AX97" s="1124">
        <f t="shared" si="13"/>
        <v>0</v>
      </c>
      <c r="AY97" s="2928">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75"/>
      <c r="B98" s="2876"/>
      <c r="C98" s="2876"/>
      <c r="D98" s="2877"/>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4">
        <f t="shared" si="11"/>
        <v>0</v>
      </c>
      <c r="AW98" s="1124">
        <f t="shared" si="12"/>
        <v>0</v>
      </c>
      <c r="AX98" s="1124">
        <f t="shared" si="13"/>
        <v>0</v>
      </c>
      <c r="AY98" s="2928">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75"/>
      <c r="B99" s="2876"/>
      <c r="C99" s="2876"/>
      <c r="D99" s="2877"/>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4">
        <f t="shared" si="11"/>
        <v>0</v>
      </c>
      <c r="AW99" s="1124">
        <f t="shared" si="12"/>
        <v>0</v>
      </c>
      <c r="AX99" s="1124">
        <f t="shared" si="13"/>
        <v>0</v>
      </c>
      <c r="AY99" s="2928">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75"/>
      <c r="B100" s="2876"/>
      <c r="C100" s="2876"/>
      <c r="D100" s="2877"/>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4">
        <f t="shared" si="11"/>
        <v>0</v>
      </c>
      <c r="AW100" s="1124">
        <f t="shared" si="12"/>
        <v>0</v>
      </c>
      <c r="AX100" s="1124">
        <f t="shared" si="13"/>
        <v>0</v>
      </c>
      <c r="AY100" s="2928">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75"/>
      <c r="B101" s="2876"/>
      <c r="C101" s="2876"/>
      <c r="D101" s="2877"/>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4">
        <f t="shared" si="11"/>
        <v>0</v>
      </c>
      <c r="AW101" s="1124">
        <f t="shared" si="12"/>
        <v>0</v>
      </c>
      <c r="AX101" s="1124">
        <f t="shared" si="13"/>
        <v>0</v>
      </c>
      <c r="AY101" s="2928">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75"/>
      <c r="B102" s="2876"/>
      <c r="C102" s="2876"/>
      <c r="D102" s="2877"/>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4">
        <f t="shared" si="11"/>
        <v>0</v>
      </c>
      <c r="AW102" s="1124">
        <f t="shared" si="12"/>
        <v>0</v>
      </c>
      <c r="AX102" s="1124">
        <f t="shared" si="13"/>
        <v>0</v>
      </c>
      <c r="AY102" s="2928">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75"/>
      <c r="B103" s="2876"/>
      <c r="C103" s="2876"/>
      <c r="D103" s="2877"/>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4">
        <f t="shared" si="11"/>
        <v>0</v>
      </c>
      <c r="AW103" s="1124">
        <f t="shared" si="12"/>
        <v>0</v>
      </c>
      <c r="AX103" s="1124">
        <f t="shared" si="13"/>
        <v>0</v>
      </c>
      <c r="AY103" s="2928">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75"/>
      <c r="B104" s="2876"/>
      <c r="C104" s="2876"/>
      <c r="D104" s="2877"/>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4">
        <f t="shared" si="11"/>
        <v>0</v>
      </c>
      <c r="AW104" s="1124">
        <f t="shared" si="12"/>
        <v>0</v>
      </c>
      <c r="AX104" s="1124">
        <f t="shared" si="13"/>
        <v>0</v>
      </c>
      <c r="AY104" s="2928">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75"/>
      <c r="B105" s="2876"/>
      <c r="C105" s="2876"/>
      <c r="D105" s="2877"/>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4">
        <f t="shared" si="11"/>
        <v>0</v>
      </c>
      <c r="AW105" s="1124">
        <f t="shared" si="12"/>
        <v>0</v>
      </c>
      <c r="AX105" s="1124">
        <f t="shared" si="13"/>
        <v>0</v>
      </c>
      <c r="AY105" s="2928">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75"/>
      <c r="B106" s="2876"/>
      <c r="C106" s="2876"/>
      <c r="D106" s="2877"/>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4">
        <f t="shared" si="11"/>
        <v>0</v>
      </c>
      <c r="AW106" s="1124">
        <f t="shared" si="12"/>
        <v>0</v>
      </c>
      <c r="AX106" s="1124">
        <f t="shared" si="13"/>
        <v>0</v>
      </c>
      <c r="AY106" s="2928">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75"/>
      <c r="B107" s="2876"/>
      <c r="C107" s="2876"/>
      <c r="D107" s="2877"/>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4">
        <f t="shared" si="11"/>
        <v>0</v>
      </c>
      <c r="AW107" s="1124">
        <f t="shared" si="12"/>
        <v>0</v>
      </c>
      <c r="AX107" s="1124">
        <f t="shared" si="13"/>
        <v>0</v>
      </c>
      <c r="AY107" s="2928">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75"/>
      <c r="B108" s="2876"/>
      <c r="C108" s="2876"/>
      <c r="D108" s="2877"/>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4">
        <f t="shared" si="11"/>
        <v>0</v>
      </c>
      <c r="AW108" s="1124">
        <f t="shared" si="12"/>
        <v>0</v>
      </c>
      <c r="AX108" s="1124">
        <f t="shared" si="13"/>
        <v>0</v>
      </c>
      <c r="AY108" s="2928">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75"/>
      <c r="B109" s="2876"/>
      <c r="C109" s="2876"/>
      <c r="D109" s="2877"/>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4">
        <f t="shared" si="11"/>
        <v>0</v>
      </c>
      <c r="AW109" s="1124">
        <f t="shared" si="12"/>
        <v>0</v>
      </c>
      <c r="AX109" s="1124">
        <f t="shared" si="13"/>
        <v>0</v>
      </c>
      <c r="AY109" s="2928">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75"/>
      <c r="B110" s="2875"/>
      <c r="C110" s="2875"/>
      <c r="D110" s="2877"/>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4">
        <f t="shared" si="11"/>
        <v>0</v>
      </c>
      <c r="AW110" s="1124">
        <f t="shared" si="12"/>
        <v>0</v>
      </c>
      <c r="AX110" s="1124">
        <f t="shared" si="13"/>
        <v>0</v>
      </c>
      <c r="AY110" s="2928">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75"/>
      <c r="B111" s="2875"/>
      <c r="C111" s="2875"/>
      <c r="D111" s="2877"/>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4">
        <f t="shared" si="11"/>
        <v>0</v>
      </c>
      <c r="AW111" s="1124">
        <f t="shared" si="12"/>
        <v>0</v>
      </c>
      <c r="AX111" s="1124">
        <f t="shared" si="13"/>
        <v>0</v>
      </c>
      <c r="AY111" s="2928">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75"/>
      <c r="B112" s="2875"/>
      <c r="C112" s="2875"/>
      <c r="D112" s="2877"/>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4">
        <f t="shared" si="11"/>
        <v>0</v>
      </c>
      <c r="AW112" s="1124">
        <f t="shared" si="12"/>
        <v>0</v>
      </c>
      <c r="AX112" s="1124">
        <f t="shared" si="13"/>
        <v>0</v>
      </c>
      <c r="AY112" s="2928">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75"/>
      <c r="B113" s="2876"/>
      <c r="C113" s="2876"/>
      <c r="D113" s="2877"/>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4">
        <f t="shared" ref="AV113:AV144" si="62">A113</f>
        <v>0</v>
      </c>
      <c r="AW113" s="1124">
        <f t="shared" ref="AW113:AW144" si="63">B113</f>
        <v>0</v>
      </c>
      <c r="AX113" s="1124">
        <f t="shared" ref="AX113:AX144" si="64">C113</f>
        <v>0</v>
      </c>
      <c r="AY113" s="2928">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75"/>
      <c r="B114" s="2876"/>
      <c r="C114" s="2876"/>
      <c r="D114" s="2877"/>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4">
        <f t="shared" si="62"/>
        <v>0</v>
      </c>
      <c r="AW114" s="1124">
        <f t="shared" si="63"/>
        <v>0</v>
      </c>
      <c r="AX114" s="1124">
        <f t="shared" si="64"/>
        <v>0</v>
      </c>
      <c r="AY114" s="2928">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75"/>
      <c r="B115" s="2876"/>
      <c r="C115" s="2876"/>
      <c r="D115" s="2877"/>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4">
        <f t="shared" si="62"/>
        <v>0</v>
      </c>
      <c r="AW115" s="1124">
        <f t="shared" si="63"/>
        <v>0</v>
      </c>
      <c r="AX115" s="1124">
        <f t="shared" si="64"/>
        <v>0</v>
      </c>
      <c r="AY115" s="2928">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75"/>
      <c r="B116" s="2876"/>
      <c r="C116" s="2876"/>
      <c r="D116" s="2877"/>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4">
        <f t="shared" si="62"/>
        <v>0</v>
      </c>
      <c r="AW116" s="1124">
        <f t="shared" si="63"/>
        <v>0</v>
      </c>
      <c r="AX116" s="1124">
        <f t="shared" si="64"/>
        <v>0</v>
      </c>
      <c r="AY116" s="2928">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75"/>
      <c r="B117" s="2876"/>
      <c r="C117" s="2876"/>
      <c r="D117" s="2877"/>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4">
        <f t="shared" si="62"/>
        <v>0</v>
      </c>
      <c r="AW117" s="1124">
        <f t="shared" si="63"/>
        <v>0</v>
      </c>
      <c r="AX117" s="1124">
        <f t="shared" si="64"/>
        <v>0</v>
      </c>
      <c r="AY117" s="2928">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75"/>
      <c r="B118" s="2876"/>
      <c r="C118" s="2876"/>
      <c r="D118" s="2877"/>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4">
        <f t="shared" si="62"/>
        <v>0</v>
      </c>
      <c r="AW118" s="1124">
        <f t="shared" si="63"/>
        <v>0</v>
      </c>
      <c r="AX118" s="1124">
        <f t="shared" si="64"/>
        <v>0</v>
      </c>
      <c r="AY118" s="2928">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75"/>
      <c r="B119" s="2876"/>
      <c r="C119" s="2876"/>
      <c r="D119" s="2877"/>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4">
        <f t="shared" si="62"/>
        <v>0</v>
      </c>
      <c r="AW119" s="1124">
        <f t="shared" si="63"/>
        <v>0</v>
      </c>
      <c r="AX119" s="1124">
        <f t="shared" si="64"/>
        <v>0</v>
      </c>
      <c r="AY119" s="2928">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75"/>
      <c r="B120" s="2876"/>
      <c r="C120" s="2876"/>
      <c r="D120" s="2877"/>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4">
        <f t="shared" si="62"/>
        <v>0</v>
      </c>
      <c r="AW120" s="1124">
        <f t="shared" si="63"/>
        <v>0</v>
      </c>
      <c r="AX120" s="1124">
        <f t="shared" si="64"/>
        <v>0</v>
      </c>
      <c r="AY120" s="2928">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75"/>
      <c r="B121" s="2876"/>
      <c r="C121" s="2876"/>
      <c r="D121" s="2877"/>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4">
        <f t="shared" si="62"/>
        <v>0</v>
      </c>
      <c r="AW121" s="1124">
        <f t="shared" si="63"/>
        <v>0</v>
      </c>
      <c r="AX121" s="1124">
        <f t="shared" si="64"/>
        <v>0</v>
      </c>
      <c r="AY121" s="2928">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75"/>
      <c r="B122" s="2876"/>
      <c r="C122" s="2876"/>
      <c r="D122" s="2877"/>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4">
        <f t="shared" si="62"/>
        <v>0</v>
      </c>
      <c r="AW122" s="1124">
        <f t="shared" si="63"/>
        <v>0</v>
      </c>
      <c r="AX122" s="1124">
        <f t="shared" si="64"/>
        <v>0</v>
      </c>
      <c r="AY122" s="2928">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75"/>
      <c r="B123" s="2876"/>
      <c r="C123" s="2876"/>
      <c r="D123" s="2877"/>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4">
        <f t="shared" si="62"/>
        <v>0</v>
      </c>
      <c r="AW123" s="1124">
        <f t="shared" si="63"/>
        <v>0</v>
      </c>
      <c r="AX123" s="1124">
        <f t="shared" si="64"/>
        <v>0</v>
      </c>
      <c r="AY123" s="2928">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75"/>
      <c r="B124" s="2876"/>
      <c r="C124" s="2876"/>
      <c r="D124" s="2877"/>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4">
        <f t="shared" si="62"/>
        <v>0</v>
      </c>
      <c r="AW124" s="1124">
        <f t="shared" si="63"/>
        <v>0</v>
      </c>
      <c r="AX124" s="1124">
        <f t="shared" si="64"/>
        <v>0</v>
      </c>
      <c r="AY124" s="2928">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75"/>
      <c r="B125" s="2876"/>
      <c r="C125" s="2876"/>
      <c r="D125" s="2877"/>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4">
        <f t="shared" si="62"/>
        <v>0</v>
      </c>
      <c r="AW125" s="1124">
        <f t="shared" si="63"/>
        <v>0</v>
      </c>
      <c r="AX125" s="1124">
        <f t="shared" si="64"/>
        <v>0</v>
      </c>
      <c r="AY125" s="2928">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75"/>
      <c r="B126" s="2876"/>
      <c r="C126" s="2876"/>
      <c r="D126" s="2877"/>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4">
        <f t="shared" si="62"/>
        <v>0</v>
      </c>
      <c r="AW126" s="1124">
        <f t="shared" si="63"/>
        <v>0</v>
      </c>
      <c r="AX126" s="1124">
        <f t="shared" si="64"/>
        <v>0</v>
      </c>
      <c r="AY126" s="2928">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75"/>
      <c r="B127" s="2876"/>
      <c r="C127" s="2876"/>
      <c r="D127" s="2877"/>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4">
        <f t="shared" si="62"/>
        <v>0</v>
      </c>
      <c r="AW127" s="1124">
        <f t="shared" si="63"/>
        <v>0</v>
      </c>
      <c r="AX127" s="1124">
        <f t="shared" si="64"/>
        <v>0</v>
      </c>
      <c r="AY127" s="2928">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75"/>
      <c r="B128" s="2876"/>
      <c r="C128" s="2876"/>
      <c r="D128" s="2877"/>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4">
        <f t="shared" si="62"/>
        <v>0</v>
      </c>
      <c r="AW128" s="1124">
        <f t="shared" si="63"/>
        <v>0</v>
      </c>
      <c r="AX128" s="1124">
        <f t="shared" si="64"/>
        <v>0</v>
      </c>
      <c r="AY128" s="2928">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75"/>
      <c r="B129" s="2876"/>
      <c r="C129" s="2876"/>
      <c r="D129" s="2877"/>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4">
        <f t="shared" si="62"/>
        <v>0</v>
      </c>
      <c r="AW129" s="1124">
        <f t="shared" si="63"/>
        <v>0</v>
      </c>
      <c r="AX129" s="1124">
        <f t="shared" si="64"/>
        <v>0</v>
      </c>
      <c r="AY129" s="2928">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75"/>
      <c r="B130" s="2876"/>
      <c r="C130" s="2876"/>
      <c r="D130" s="2877"/>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4">
        <f t="shared" si="62"/>
        <v>0</v>
      </c>
      <c r="AW130" s="1124">
        <f t="shared" si="63"/>
        <v>0</v>
      </c>
      <c r="AX130" s="1124">
        <f t="shared" si="64"/>
        <v>0</v>
      </c>
      <c r="AY130" s="2928">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75"/>
      <c r="B131" s="2876"/>
      <c r="C131" s="2876"/>
      <c r="D131" s="2877"/>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4">
        <f t="shared" si="62"/>
        <v>0</v>
      </c>
      <c r="AW131" s="1124">
        <f t="shared" si="63"/>
        <v>0</v>
      </c>
      <c r="AX131" s="1124">
        <f t="shared" si="64"/>
        <v>0</v>
      </c>
      <c r="AY131" s="2928">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75"/>
      <c r="B132" s="2876"/>
      <c r="C132" s="2876"/>
      <c r="D132" s="2877"/>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4">
        <f t="shared" si="62"/>
        <v>0</v>
      </c>
      <c r="AW132" s="1124">
        <f t="shared" si="63"/>
        <v>0</v>
      </c>
      <c r="AX132" s="1124">
        <f t="shared" si="64"/>
        <v>0</v>
      </c>
      <c r="AY132" s="2928">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75"/>
      <c r="B133" s="2876"/>
      <c r="C133" s="2876"/>
      <c r="D133" s="2877"/>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4">
        <f t="shared" si="62"/>
        <v>0</v>
      </c>
      <c r="AW133" s="1124">
        <f t="shared" si="63"/>
        <v>0</v>
      </c>
      <c r="AX133" s="1124">
        <f t="shared" si="64"/>
        <v>0</v>
      </c>
      <c r="AY133" s="2928">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75"/>
      <c r="B134" s="2876"/>
      <c r="C134" s="2876"/>
      <c r="D134" s="2877"/>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4">
        <f t="shared" si="62"/>
        <v>0</v>
      </c>
      <c r="AW134" s="1124">
        <f t="shared" si="63"/>
        <v>0</v>
      </c>
      <c r="AX134" s="1124">
        <f t="shared" si="64"/>
        <v>0</v>
      </c>
      <c r="AY134" s="2928">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75"/>
      <c r="B135" s="2876"/>
      <c r="C135" s="2876"/>
      <c r="D135" s="2877"/>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4">
        <f t="shared" si="62"/>
        <v>0</v>
      </c>
      <c r="AW135" s="1124">
        <f t="shared" si="63"/>
        <v>0</v>
      </c>
      <c r="AX135" s="1124">
        <f t="shared" si="64"/>
        <v>0</v>
      </c>
      <c r="AY135" s="2928">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75"/>
      <c r="B136" s="2876"/>
      <c r="C136" s="2876"/>
      <c r="D136" s="2877"/>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4">
        <f t="shared" si="62"/>
        <v>0</v>
      </c>
      <c r="AW136" s="1124">
        <f t="shared" si="63"/>
        <v>0</v>
      </c>
      <c r="AX136" s="1124">
        <f t="shared" si="64"/>
        <v>0</v>
      </c>
      <c r="AY136" s="2928">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75"/>
      <c r="B137" s="2876"/>
      <c r="C137" s="2876"/>
      <c r="D137" s="2877"/>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4">
        <f t="shared" si="62"/>
        <v>0</v>
      </c>
      <c r="AW137" s="1124">
        <f t="shared" si="63"/>
        <v>0</v>
      </c>
      <c r="AX137" s="1124">
        <f t="shared" si="64"/>
        <v>0</v>
      </c>
      <c r="AY137" s="2928">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75"/>
      <c r="B138" s="2876"/>
      <c r="C138" s="2876"/>
      <c r="D138" s="2877"/>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4">
        <f t="shared" si="62"/>
        <v>0</v>
      </c>
      <c r="AW138" s="1124">
        <f t="shared" si="63"/>
        <v>0</v>
      </c>
      <c r="AX138" s="1124">
        <f t="shared" si="64"/>
        <v>0</v>
      </c>
      <c r="AY138" s="2928">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75"/>
      <c r="B139" s="2876"/>
      <c r="C139" s="2876"/>
      <c r="D139" s="2877"/>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4">
        <f t="shared" si="62"/>
        <v>0</v>
      </c>
      <c r="AW139" s="1124">
        <f t="shared" si="63"/>
        <v>0</v>
      </c>
      <c r="AX139" s="1124">
        <f t="shared" si="64"/>
        <v>0</v>
      </c>
      <c r="AY139" s="2928">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75"/>
      <c r="B140" s="2876"/>
      <c r="C140" s="2876"/>
      <c r="D140" s="2877"/>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4">
        <f t="shared" si="62"/>
        <v>0</v>
      </c>
      <c r="AW140" s="1124">
        <f t="shared" si="63"/>
        <v>0</v>
      </c>
      <c r="AX140" s="1124">
        <f t="shared" si="64"/>
        <v>0</v>
      </c>
      <c r="AY140" s="2928">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75"/>
      <c r="B141" s="2876"/>
      <c r="C141" s="2876"/>
      <c r="D141" s="2877"/>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4">
        <f t="shared" si="62"/>
        <v>0</v>
      </c>
      <c r="AW141" s="1124">
        <f t="shared" si="63"/>
        <v>0</v>
      </c>
      <c r="AX141" s="1124">
        <f t="shared" si="64"/>
        <v>0</v>
      </c>
      <c r="AY141" s="2928">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75"/>
      <c r="B142" s="2876"/>
      <c r="C142" s="2876"/>
      <c r="D142" s="2877"/>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4">
        <f t="shared" si="62"/>
        <v>0</v>
      </c>
      <c r="AW142" s="1124">
        <f t="shared" si="63"/>
        <v>0</v>
      </c>
      <c r="AX142" s="1124">
        <f t="shared" si="64"/>
        <v>0</v>
      </c>
      <c r="AY142" s="2928">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75"/>
      <c r="B143" s="2876"/>
      <c r="C143" s="2876"/>
      <c r="D143" s="2877"/>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4">
        <f t="shared" si="62"/>
        <v>0</v>
      </c>
      <c r="AW143" s="1124">
        <f t="shared" si="63"/>
        <v>0</v>
      </c>
      <c r="AX143" s="1124">
        <f t="shared" si="64"/>
        <v>0</v>
      </c>
      <c r="AY143" s="2928">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75"/>
      <c r="B144" s="2876"/>
      <c r="C144" s="2876"/>
      <c r="D144" s="2877"/>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4">
        <f t="shared" si="62"/>
        <v>0</v>
      </c>
      <c r="AW144" s="1124">
        <f t="shared" si="63"/>
        <v>0</v>
      </c>
      <c r="AX144" s="1124">
        <f t="shared" si="64"/>
        <v>0</v>
      </c>
      <c r="AY144" s="2928">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75"/>
      <c r="B145" s="2876"/>
      <c r="C145" s="2876"/>
      <c r="D145" s="2877"/>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4">
        <f t="shared" ref="AV145:AV176" si="91">A145</f>
        <v>0</v>
      </c>
      <c r="AW145" s="1124">
        <f t="shared" ref="AW145:AW176" si="92">B145</f>
        <v>0</v>
      </c>
      <c r="AX145" s="1124">
        <f t="shared" ref="AX145:AX176" si="93">C145</f>
        <v>0</v>
      </c>
      <c r="AY145" s="2928">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75"/>
      <c r="B146" s="2876"/>
      <c r="C146" s="2876"/>
      <c r="D146" s="2877"/>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4">
        <f t="shared" si="91"/>
        <v>0</v>
      </c>
      <c r="AW146" s="1124">
        <f t="shared" si="92"/>
        <v>0</v>
      </c>
      <c r="AX146" s="1124">
        <f t="shared" si="93"/>
        <v>0</v>
      </c>
      <c r="AY146" s="2928">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75"/>
      <c r="B147" s="2876"/>
      <c r="C147" s="2876"/>
      <c r="D147" s="2877"/>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4">
        <f t="shared" si="91"/>
        <v>0</v>
      </c>
      <c r="AW147" s="1124">
        <f t="shared" si="92"/>
        <v>0</v>
      </c>
      <c r="AX147" s="1124">
        <f t="shared" si="93"/>
        <v>0</v>
      </c>
      <c r="AY147" s="2928">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75"/>
      <c r="B148" s="2876"/>
      <c r="C148" s="2876"/>
      <c r="D148" s="2877"/>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4">
        <f t="shared" si="91"/>
        <v>0</v>
      </c>
      <c r="AW148" s="1124">
        <f t="shared" si="92"/>
        <v>0</v>
      </c>
      <c r="AX148" s="1124">
        <f t="shared" si="93"/>
        <v>0</v>
      </c>
      <c r="AY148" s="2928">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75"/>
      <c r="B149" s="2876"/>
      <c r="C149" s="2876"/>
      <c r="D149" s="2877"/>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4">
        <f t="shared" si="91"/>
        <v>0</v>
      </c>
      <c r="AW149" s="1124">
        <f t="shared" si="92"/>
        <v>0</v>
      </c>
      <c r="AX149" s="1124">
        <f t="shared" si="93"/>
        <v>0</v>
      </c>
      <c r="AY149" s="2928">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75"/>
      <c r="B150" s="2876"/>
      <c r="C150" s="2876"/>
      <c r="D150" s="2877"/>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4">
        <f t="shared" si="91"/>
        <v>0</v>
      </c>
      <c r="AW150" s="1124">
        <f t="shared" si="92"/>
        <v>0</v>
      </c>
      <c r="AX150" s="1124">
        <f t="shared" si="93"/>
        <v>0</v>
      </c>
      <c r="AY150" s="2928">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75"/>
      <c r="B151" s="2876"/>
      <c r="C151" s="2876"/>
      <c r="D151" s="2877"/>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4">
        <f t="shared" si="91"/>
        <v>0</v>
      </c>
      <c r="AW151" s="1124">
        <f t="shared" si="92"/>
        <v>0</v>
      </c>
      <c r="AX151" s="1124">
        <f t="shared" si="93"/>
        <v>0</v>
      </c>
      <c r="AY151" s="2928">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75"/>
      <c r="B152" s="2876"/>
      <c r="C152" s="2876"/>
      <c r="D152" s="2877"/>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4">
        <f t="shared" si="91"/>
        <v>0</v>
      </c>
      <c r="AW152" s="1124">
        <f t="shared" si="92"/>
        <v>0</v>
      </c>
      <c r="AX152" s="1124">
        <f t="shared" si="93"/>
        <v>0</v>
      </c>
      <c r="AY152" s="2928">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75"/>
      <c r="B153" s="2876"/>
      <c r="C153" s="2876"/>
      <c r="D153" s="2877"/>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4">
        <f t="shared" si="91"/>
        <v>0</v>
      </c>
      <c r="AW153" s="1124">
        <f t="shared" si="92"/>
        <v>0</v>
      </c>
      <c r="AX153" s="1124">
        <f t="shared" si="93"/>
        <v>0</v>
      </c>
      <c r="AY153" s="2928">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75"/>
      <c r="B154" s="2876"/>
      <c r="C154" s="2876"/>
      <c r="D154" s="2877"/>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4">
        <f t="shared" si="91"/>
        <v>0</v>
      </c>
      <c r="AW154" s="1124">
        <f t="shared" si="92"/>
        <v>0</v>
      </c>
      <c r="AX154" s="1124">
        <f t="shared" si="93"/>
        <v>0</v>
      </c>
      <c r="AY154" s="2928">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75"/>
      <c r="B155" s="2876"/>
      <c r="C155" s="2876"/>
      <c r="D155" s="2877"/>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4">
        <f t="shared" si="91"/>
        <v>0</v>
      </c>
      <c r="AW155" s="1124">
        <f t="shared" si="92"/>
        <v>0</v>
      </c>
      <c r="AX155" s="1124">
        <f t="shared" si="93"/>
        <v>0</v>
      </c>
      <c r="AY155" s="2928">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75"/>
      <c r="B156" s="2876"/>
      <c r="C156" s="2876"/>
      <c r="D156" s="2877"/>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4">
        <f t="shared" si="91"/>
        <v>0</v>
      </c>
      <c r="AW156" s="1124">
        <f t="shared" si="92"/>
        <v>0</v>
      </c>
      <c r="AX156" s="1124">
        <f t="shared" si="93"/>
        <v>0</v>
      </c>
      <c r="AY156" s="2928">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75"/>
      <c r="B157" s="2876"/>
      <c r="C157" s="2876"/>
      <c r="D157" s="2877"/>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4">
        <f t="shared" si="91"/>
        <v>0</v>
      </c>
      <c r="AW157" s="1124">
        <f t="shared" si="92"/>
        <v>0</v>
      </c>
      <c r="AX157" s="1124">
        <f t="shared" si="93"/>
        <v>0</v>
      </c>
      <c r="AY157" s="2928">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75"/>
      <c r="B158" s="2876"/>
      <c r="C158" s="2876"/>
      <c r="D158" s="2877"/>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4">
        <f t="shared" si="91"/>
        <v>0</v>
      </c>
      <c r="AW158" s="1124">
        <f t="shared" si="92"/>
        <v>0</v>
      </c>
      <c r="AX158" s="1124">
        <f t="shared" si="93"/>
        <v>0</v>
      </c>
      <c r="AY158" s="2928">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75"/>
      <c r="B159" s="2876"/>
      <c r="C159" s="2876"/>
      <c r="D159" s="2877"/>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4">
        <f t="shared" si="91"/>
        <v>0</v>
      </c>
      <c r="AW159" s="1124">
        <f t="shared" si="92"/>
        <v>0</v>
      </c>
      <c r="AX159" s="1124">
        <f t="shared" si="93"/>
        <v>0</v>
      </c>
      <c r="AY159" s="2928">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75"/>
      <c r="B160" s="2876"/>
      <c r="C160" s="2876"/>
      <c r="D160" s="2877"/>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4">
        <f t="shared" si="91"/>
        <v>0</v>
      </c>
      <c r="AW160" s="1124">
        <f t="shared" si="92"/>
        <v>0</v>
      </c>
      <c r="AX160" s="1124">
        <f t="shared" si="93"/>
        <v>0</v>
      </c>
      <c r="AY160" s="2928">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75"/>
      <c r="B161" s="2876"/>
      <c r="C161" s="2876"/>
      <c r="D161" s="2877"/>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4">
        <f t="shared" si="91"/>
        <v>0</v>
      </c>
      <c r="AW161" s="1124">
        <f t="shared" si="92"/>
        <v>0</v>
      </c>
      <c r="AX161" s="1124">
        <f t="shared" si="93"/>
        <v>0</v>
      </c>
      <c r="AY161" s="2928">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75"/>
      <c r="B162" s="2876"/>
      <c r="C162" s="2876"/>
      <c r="D162" s="2877"/>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4">
        <f t="shared" si="91"/>
        <v>0</v>
      </c>
      <c r="AW162" s="1124">
        <f t="shared" si="92"/>
        <v>0</v>
      </c>
      <c r="AX162" s="1124">
        <f t="shared" si="93"/>
        <v>0</v>
      </c>
      <c r="AY162" s="2928">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75"/>
      <c r="B163" s="2876"/>
      <c r="C163" s="2876"/>
      <c r="D163" s="2877"/>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4">
        <f t="shared" si="91"/>
        <v>0</v>
      </c>
      <c r="AW163" s="1124">
        <f t="shared" si="92"/>
        <v>0</v>
      </c>
      <c r="AX163" s="1124">
        <f t="shared" si="93"/>
        <v>0</v>
      </c>
      <c r="AY163" s="2928">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75"/>
      <c r="B164" s="2876"/>
      <c r="C164" s="2876"/>
      <c r="D164" s="2877"/>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4">
        <f t="shared" si="91"/>
        <v>0</v>
      </c>
      <c r="AW164" s="1124">
        <f t="shared" si="92"/>
        <v>0</v>
      </c>
      <c r="AX164" s="1124">
        <f t="shared" si="93"/>
        <v>0</v>
      </c>
      <c r="AY164" s="2928">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75"/>
      <c r="B165" s="2876"/>
      <c r="C165" s="2876"/>
      <c r="D165" s="2877"/>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4">
        <f t="shared" si="91"/>
        <v>0</v>
      </c>
      <c r="AW165" s="1124">
        <f t="shared" si="92"/>
        <v>0</v>
      </c>
      <c r="AX165" s="1124">
        <f t="shared" si="93"/>
        <v>0</v>
      </c>
      <c r="AY165" s="2928">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75"/>
      <c r="B166" s="2876"/>
      <c r="C166" s="2876"/>
      <c r="D166" s="2877"/>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4">
        <f t="shared" si="91"/>
        <v>0</v>
      </c>
      <c r="AW166" s="1124">
        <f t="shared" si="92"/>
        <v>0</v>
      </c>
      <c r="AX166" s="1124">
        <f t="shared" si="93"/>
        <v>0</v>
      </c>
      <c r="AY166" s="2928">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75"/>
      <c r="B167" s="2876"/>
      <c r="C167" s="2876"/>
      <c r="D167" s="2877"/>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4">
        <f t="shared" si="91"/>
        <v>0</v>
      </c>
      <c r="AW167" s="1124">
        <f t="shared" si="92"/>
        <v>0</v>
      </c>
      <c r="AX167" s="1124">
        <f t="shared" si="93"/>
        <v>0</v>
      </c>
      <c r="AY167" s="2928">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75"/>
      <c r="B168" s="2876"/>
      <c r="C168" s="2876"/>
      <c r="D168" s="2877"/>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4">
        <f t="shared" si="91"/>
        <v>0</v>
      </c>
      <c r="AW168" s="1124">
        <f t="shared" si="92"/>
        <v>0</v>
      </c>
      <c r="AX168" s="1124">
        <f t="shared" si="93"/>
        <v>0</v>
      </c>
      <c r="AY168" s="2928">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75"/>
      <c r="B169" s="2876"/>
      <c r="C169" s="2876"/>
      <c r="D169" s="2877"/>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4">
        <f t="shared" si="91"/>
        <v>0</v>
      </c>
      <c r="AW169" s="1124">
        <f t="shared" si="92"/>
        <v>0</v>
      </c>
      <c r="AX169" s="1124">
        <f t="shared" si="93"/>
        <v>0</v>
      </c>
      <c r="AY169" s="2928">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75"/>
      <c r="B170" s="2876"/>
      <c r="C170" s="2876"/>
      <c r="D170" s="2877"/>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4">
        <f t="shared" si="91"/>
        <v>0</v>
      </c>
      <c r="AW170" s="1124">
        <f t="shared" si="92"/>
        <v>0</v>
      </c>
      <c r="AX170" s="1124">
        <f t="shared" si="93"/>
        <v>0</v>
      </c>
      <c r="AY170" s="2928">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75"/>
      <c r="B171" s="2876"/>
      <c r="C171" s="2876"/>
      <c r="D171" s="2877"/>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4">
        <f t="shared" si="91"/>
        <v>0</v>
      </c>
      <c r="AW171" s="1124">
        <f t="shared" si="92"/>
        <v>0</v>
      </c>
      <c r="AX171" s="1124">
        <f t="shared" si="93"/>
        <v>0</v>
      </c>
      <c r="AY171" s="2928">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75"/>
      <c r="B172" s="2876"/>
      <c r="C172" s="2876"/>
      <c r="D172" s="2877"/>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4">
        <f t="shared" si="91"/>
        <v>0</v>
      </c>
      <c r="AW172" s="1124">
        <f t="shared" si="92"/>
        <v>0</v>
      </c>
      <c r="AX172" s="1124">
        <f t="shared" si="93"/>
        <v>0</v>
      </c>
      <c r="AY172" s="2928">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75"/>
      <c r="B173" s="2876"/>
      <c r="C173" s="2876"/>
      <c r="D173" s="2877"/>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4">
        <f t="shared" si="91"/>
        <v>0</v>
      </c>
      <c r="AW173" s="1124">
        <f t="shared" si="92"/>
        <v>0</v>
      </c>
      <c r="AX173" s="1124">
        <f t="shared" si="93"/>
        <v>0</v>
      </c>
      <c r="AY173" s="2928">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75"/>
      <c r="B174" s="2876"/>
      <c r="C174" s="2876"/>
      <c r="D174" s="2877"/>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4">
        <f t="shared" si="91"/>
        <v>0</v>
      </c>
      <c r="AW174" s="1124">
        <f t="shared" si="92"/>
        <v>0</v>
      </c>
      <c r="AX174" s="1124">
        <f t="shared" si="93"/>
        <v>0</v>
      </c>
      <c r="AY174" s="2928">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75"/>
      <c r="B175" s="2876"/>
      <c r="C175" s="2876"/>
      <c r="D175" s="2877"/>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4">
        <f t="shared" si="91"/>
        <v>0</v>
      </c>
      <c r="AW175" s="1124">
        <f t="shared" si="92"/>
        <v>0</v>
      </c>
      <c r="AX175" s="1124">
        <f t="shared" si="93"/>
        <v>0</v>
      </c>
      <c r="AY175" s="2928">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75"/>
      <c r="B176" s="2876"/>
      <c r="C176" s="2876"/>
      <c r="D176" s="2877"/>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4">
        <f t="shared" si="91"/>
        <v>0</v>
      </c>
      <c r="AW176" s="1124">
        <f t="shared" si="92"/>
        <v>0</v>
      </c>
      <c r="AX176" s="1124">
        <f t="shared" si="93"/>
        <v>0</v>
      </c>
      <c r="AY176" s="2928">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75"/>
      <c r="B177" s="2876"/>
      <c r="C177" s="2876"/>
      <c r="D177" s="2877"/>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4">
        <f t="shared" ref="AV177:AV207" si="120">A177</f>
        <v>0</v>
      </c>
      <c r="AW177" s="1124">
        <f t="shared" ref="AW177:AW207" si="121">B177</f>
        <v>0</v>
      </c>
      <c r="AX177" s="1124">
        <f t="shared" ref="AX177:AX207" si="122">C177</f>
        <v>0</v>
      </c>
      <c r="AY177" s="2928">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75"/>
      <c r="B178" s="2876"/>
      <c r="C178" s="2876"/>
      <c r="D178" s="2877"/>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4">
        <f t="shared" si="120"/>
        <v>0</v>
      </c>
      <c r="AW178" s="1124">
        <f t="shared" si="121"/>
        <v>0</v>
      </c>
      <c r="AX178" s="1124">
        <f t="shared" si="122"/>
        <v>0</v>
      </c>
      <c r="AY178" s="2928">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75"/>
      <c r="B179" s="2876"/>
      <c r="C179" s="2876"/>
      <c r="D179" s="2877"/>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4">
        <f t="shared" si="120"/>
        <v>0</v>
      </c>
      <c r="AW179" s="1124">
        <f t="shared" si="121"/>
        <v>0</v>
      </c>
      <c r="AX179" s="1124">
        <f t="shared" si="122"/>
        <v>0</v>
      </c>
      <c r="AY179" s="2928">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75"/>
      <c r="B180" s="2876"/>
      <c r="C180" s="2876"/>
      <c r="D180" s="2877"/>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4">
        <f t="shared" si="120"/>
        <v>0</v>
      </c>
      <c r="AW180" s="1124">
        <f t="shared" si="121"/>
        <v>0</v>
      </c>
      <c r="AX180" s="1124">
        <f t="shared" si="122"/>
        <v>0</v>
      </c>
      <c r="AY180" s="2928">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75"/>
      <c r="B181" s="2876"/>
      <c r="C181" s="2876"/>
      <c r="D181" s="2877"/>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4">
        <f t="shared" si="120"/>
        <v>0</v>
      </c>
      <c r="AW181" s="1124">
        <f t="shared" si="121"/>
        <v>0</v>
      </c>
      <c r="AX181" s="1124">
        <f t="shared" si="122"/>
        <v>0</v>
      </c>
      <c r="AY181" s="2928">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75"/>
      <c r="B182" s="2876"/>
      <c r="C182" s="2876"/>
      <c r="D182" s="2877"/>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4">
        <f t="shared" si="120"/>
        <v>0</v>
      </c>
      <c r="AW182" s="1124">
        <f t="shared" si="121"/>
        <v>0</v>
      </c>
      <c r="AX182" s="1124">
        <f t="shared" si="122"/>
        <v>0</v>
      </c>
      <c r="AY182" s="2928">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75"/>
      <c r="B183" s="2876"/>
      <c r="C183" s="2876"/>
      <c r="D183" s="2877"/>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4">
        <f t="shared" si="120"/>
        <v>0</v>
      </c>
      <c r="AW183" s="1124">
        <f t="shared" si="121"/>
        <v>0</v>
      </c>
      <c r="AX183" s="1124">
        <f t="shared" si="122"/>
        <v>0</v>
      </c>
      <c r="AY183" s="2928">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75"/>
      <c r="B184" s="2876"/>
      <c r="C184" s="2876"/>
      <c r="D184" s="2877"/>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4">
        <f t="shared" si="120"/>
        <v>0</v>
      </c>
      <c r="AW184" s="1124">
        <f t="shared" si="121"/>
        <v>0</v>
      </c>
      <c r="AX184" s="1124">
        <f t="shared" si="122"/>
        <v>0</v>
      </c>
      <c r="AY184" s="2928">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75"/>
      <c r="B185" s="2876"/>
      <c r="C185" s="2876"/>
      <c r="D185" s="2877"/>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4">
        <f t="shared" si="120"/>
        <v>0</v>
      </c>
      <c r="AW185" s="1124">
        <f t="shared" si="121"/>
        <v>0</v>
      </c>
      <c r="AX185" s="1124">
        <f t="shared" si="122"/>
        <v>0</v>
      </c>
      <c r="AY185" s="2928">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75"/>
      <c r="B186" s="2876"/>
      <c r="C186" s="2876"/>
      <c r="D186" s="2877"/>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4">
        <f t="shared" si="120"/>
        <v>0</v>
      </c>
      <c r="AW186" s="1124">
        <f t="shared" si="121"/>
        <v>0</v>
      </c>
      <c r="AX186" s="1124">
        <f t="shared" si="122"/>
        <v>0</v>
      </c>
      <c r="AY186" s="2928">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75"/>
      <c r="B187" s="2876"/>
      <c r="C187" s="2876"/>
      <c r="D187" s="2877"/>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4">
        <f t="shared" si="120"/>
        <v>0</v>
      </c>
      <c r="AW187" s="1124">
        <f t="shared" si="121"/>
        <v>0</v>
      </c>
      <c r="AX187" s="1124">
        <f t="shared" si="122"/>
        <v>0</v>
      </c>
      <c r="AY187" s="2928">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75"/>
      <c r="B188" s="2876"/>
      <c r="C188" s="2876"/>
      <c r="D188" s="2877"/>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4">
        <f t="shared" si="120"/>
        <v>0</v>
      </c>
      <c r="AW188" s="1124">
        <f t="shared" si="121"/>
        <v>0</v>
      </c>
      <c r="AX188" s="1124">
        <f t="shared" si="122"/>
        <v>0</v>
      </c>
      <c r="AY188" s="2928">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75"/>
      <c r="B189" s="2876"/>
      <c r="C189" s="2876"/>
      <c r="D189" s="2877"/>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4">
        <f t="shared" si="120"/>
        <v>0</v>
      </c>
      <c r="AW189" s="1124">
        <f t="shared" si="121"/>
        <v>0</v>
      </c>
      <c r="AX189" s="1124">
        <f t="shared" si="122"/>
        <v>0</v>
      </c>
      <c r="AY189" s="2928">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75"/>
      <c r="B190" s="2876"/>
      <c r="C190" s="2876"/>
      <c r="D190" s="2877"/>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4">
        <f t="shared" si="120"/>
        <v>0</v>
      </c>
      <c r="AW190" s="1124">
        <f t="shared" si="121"/>
        <v>0</v>
      </c>
      <c r="AX190" s="1124">
        <f t="shared" si="122"/>
        <v>0</v>
      </c>
      <c r="AY190" s="2928">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75"/>
      <c r="B191" s="2876"/>
      <c r="C191" s="2876"/>
      <c r="D191" s="2877"/>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4">
        <f t="shared" si="120"/>
        <v>0</v>
      </c>
      <c r="AW191" s="1124">
        <f t="shared" si="121"/>
        <v>0</v>
      </c>
      <c r="AX191" s="1124">
        <f t="shared" si="122"/>
        <v>0</v>
      </c>
      <c r="AY191" s="2928">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75"/>
      <c r="B192" s="2876"/>
      <c r="C192" s="2876"/>
      <c r="D192" s="2877"/>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4">
        <f t="shared" si="120"/>
        <v>0</v>
      </c>
      <c r="AW192" s="1124">
        <f t="shared" si="121"/>
        <v>0</v>
      </c>
      <c r="AX192" s="1124">
        <f t="shared" si="122"/>
        <v>0</v>
      </c>
      <c r="AY192" s="2928">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75"/>
      <c r="B193" s="2876"/>
      <c r="C193" s="2876"/>
      <c r="D193" s="2877"/>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4">
        <f t="shared" si="120"/>
        <v>0</v>
      </c>
      <c r="AW193" s="1124">
        <f t="shared" si="121"/>
        <v>0</v>
      </c>
      <c r="AX193" s="1124">
        <f t="shared" si="122"/>
        <v>0</v>
      </c>
      <c r="AY193" s="2928">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75"/>
      <c r="B194" s="2876"/>
      <c r="C194" s="2876"/>
      <c r="D194" s="2877"/>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4">
        <f t="shared" si="120"/>
        <v>0</v>
      </c>
      <c r="AW194" s="1124">
        <f t="shared" si="121"/>
        <v>0</v>
      </c>
      <c r="AX194" s="1124">
        <f t="shared" si="122"/>
        <v>0</v>
      </c>
      <c r="AY194" s="2928">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75"/>
      <c r="B195" s="2876"/>
      <c r="C195" s="2876"/>
      <c r="D195" s="2877"/>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4">
        <f t="shared" si="120"/>
        <v>0</v>
      </c>
      <c r="AW195" s="1124">
        <f t="shared" si="121"/>
        <v>0</v>
      </c>
      <c r="AX195" s="1124">
        <f t="shared" si="122"/>
        <v>0</v>
      </c>
      <c r="AY195" s="2928">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75"/>
      <c r="B196" s="2876"/>
      <c r="C196" s="2876"/>
      <c r="D196" s="2877"/>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4">
        <f t="shared" si="120"/>
        <v>0</v>
      </c>
      <c r="AW196" s="1124">
        <f t="shared" si="121"/>
        <v>0</v>
      </c>
      <c r="AX196" s="1124">
        <f t="shared" si="122"/>
        <v>0</v>
      </c>
      <c r="AY196" s="2928">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75"/>
      <c r="B197" s="2876"/>
      <c r="C197" s="2876"/>
      <c r="D197" s="2877"/>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4">
        <f t="shared" si="120"/>
        <v>0</v>
      </c>
      <c r="AW197" s="1124">
        <f t="shared" si="121"/>
        <v>0</v>
      </c>
      <c r="AX197" s="1124">
        <f t="shared" si="122"/>
        <v>0</v>
      </c>
      <c r="AY197" s="2928">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75"/>
      <c r="B198" s="2876"/>
      <c r="C198" s="2876"/>
      <c r="D198" s="2877"/>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4">
        <f t="shared" si="120"/>
        <v>0</v>
      </c>
      <c r="AW198" s="1124">
        <f t="shared" si="121"/>
        <v>0</v>
      </c>
      <c r="AX198" s="1124">
        <f t="shared" si="122"/>
        <v>0</v>
      </c>
      <c r="AY198" s="2928">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75"/>
      <c r="B199" s="2876"/>
      <c r="C199" s="2876"/>
      <c r="D199" s="2877"/>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4">
        <f t="shared" si="120"/>
        <v>0</v>
      </c>
      <c r="AW199" s="1124">
        <f t="shared" si="121"/>
        <v>0</v>
      </c>
      <c r="AX199" s="1124">
        <f t="shared" si="122"/>
        <v>0</v>
      </c>
      <c r="AY199" s="2928">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75"/>
      <c r="B200" s="2876"/>
      <c r="C200" s="2876"/>
      <c r="D200" s="2877"/>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4">
        <f t="shared" si="120"/>
        <v>0</v>
      </c>
      <c r="AW200" s="1124">
        <f t="shared" si="121"/>
        <v>0</v>
      </c>
      <c r="AX200" s="1124">
        <f t="shared" si="122"/>
        <v>0</v>
      </c>
      <c r="AY200" s="2928">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75"/>
      <c r="B201" s="2876"/>
      <c r="C201" s="2876"/>
      <c r="D201" s="2877"/>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4">
        <f t="shared" si="120"/>
        <v>0</v>
      </c>
      <c r="AW201" s="1124">
        <f t="shared" si="121"/>
        <v>0</v>
      </c>
      <c r="AX201" s="1124">
        <f t="shared" si="122"/>
        <v>0</v>
      </c>
      <c r="AY201" s="2928">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75"/>
      <c r="B202" s="2876"/>
      <c r="C202" s="2876"/>
      <c r="D202" s="2877"/>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4">
        <f t="shared" si="120"/>
        <v>0</v>
      </c>
      <c r="AW202" s="1124">
        <f t="shared" si="121"/>
        <v>0</v>
      </c>
      <c r="AX202" s="1124">
        <f t="shared" si="122"/>
        <v>0</v>
      </c>
      <c r="AY202" s="2928">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75"/>
      <c r="B203" s="2876"/>
      <c r="C203" s="2876"/>
      <c r="D203" s="2877"/>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4">
        <f t="shared" si="120"/>
        <v>0</v>
      </c>
      <c r="AW203" s="1124">
        <f t="shared" si="121"/>
        <v>0</v>
      </c>
      <c r="AX203" s="1124">
        <f t="shared" si="122"/>
        <v>0</v>
      </c>
      <c r="AY203" s="2928">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75"/>
      <c r="B204" s="2876"/>
      <c r="C204" s="2876"/>
      <c r="D204" s="2877"/>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4">
        <f t="shared" si="120"/>
        <v>0</v>
      </c>
      <c r="AW204" s="1124">
        <f t="shared" si="121"/>
        <v>0</v>
      </c>
      <c r="AX204" s="1124">
        <f t="shared" si="122"/>
        <v>0</v>
      </c>
      <c r="AY204" s="2928">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75"/>
      <c r="B205" s="2875"/>
      <c r="C205" s="2875"/>
      <c r="D205" s="2877"/>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4">
        <f t="shared" si="120"/>
        <v>0</v>
      </c>
      <c r="AW205" s="1124">
        <f t="shared" si="121"/>
        <v>0</v>
      </c>
      <c r="AX205" s="1124">
        <f t="shared" si="122"/>
        <v>0</v>
      </c>
      <c r="AY205" s="2928">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75"/>
      <c r="B206" s="2875"/>
      <c r="C206" s="2875"/>
      <c r="D206" s="2877"/>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4">
        <f t="shared" si="120"/>
        <v>0</v>
      </c>
      <c r="AW206" s="1124">
        <f t="shared" si="121"/>
        <v>0</v>
      </c>
      <c r="AX206" s="1124">
        <f t="shared" si="122"/>
        <v>0</v>
      </c>
      <c r="AY206" s="2928">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75"/>
      <c r="B207" s="2875"/>
      <c r="C207" s="2875"/>
      <c r="D207" s="2877"/>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4">
        <f t="shared" si="120"/>
        <v>0</v>
      </c>
      <c r="AW207" s="1124">
        <f t="shared" si="121"/>
        <v>0</v>
      </c>
      <c r="AX207" s="1124">
        <f t="shared" si="122"/>
        <v>0</v>
      </c>
      <c r="AY207" s="2928">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75"/>
      <c r="B208" s="2876"/>
      <c r="C208" s="2876"/>
      <c r="D208" s="2877"/>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4">
        <f t="shared" ref="AV208:AV302" si="127">A208</f>
        <v>0</v>
      </c>
      <c r="AW208" s="1124">
        <f t="shared" ref="AW208:AW302" si="128">B208</f>
        <v>0</v>
      </c>
      <c r="AX208" s="1124">
        <f t="shared" ref="AX208:AX302" si="129">C208</f>
        <v>0</v>
      </c>
      <c r="AY208" s="2928">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75"/>
      <c r="B209" s="2876"/>
      <c r="C209" s="2876"/>
      <c r="D209" s="2877"/>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4">
        <f t="shared" si="127"/>
        <v>0</v>
      </c>
      <c r="AW209" s="1124">
        <f t="shared" si="128"/>
        <v>0</v>
      </c>
      <c r="AX209" s="1124">
        <f t="shared" si="129"/>
        <v>0</v>
      </c>
      <c r="AY209" s="2928">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75"/>
      <c r="B210" s="2876"/>
      <c r="C210" s="2876"/>
      <c r="D210" s="2877"/>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4">
        <f t="shared" si="127"/>
        <v>0</v>
      </c>
      <c r="AW210" s="1124">
        <f t="shared" si="128"/>
        <v>0</v>
      </c>
      <c r="AX210" s="1124">
        <f t="shared" si="129"/>
        <v>0</v>
      </c>
      <c r="AY210" s="2928">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75"/>
      <c r="B211" s="2876"/>
      <c r="C211" s="2876"/>
      <c r="D211" s="2877"/>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4">
        <f t="shared" si="127"/>
        <v>0</v>
      </c>
      <c r="AW211" s="1124">
        <f t="shared" si="128"/>
        <v>0</v>
      </c>
      <c r="AX211" s="1124">
        <f t="shared" si="129"/>
        <v>0</v>
      </c>
      <c r="AY211" s="2928">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75"/>
      <c r="B212" s="2876"/>
      <c r="C212" s="2876"/>
      <c r="D212" s="2877"/>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4">
        <f t="shared" si="127"/>
        <v>0</v>
      </c>
      <c r="AW212" s="1124">
        <f t="shared" si="128"/>
        <v>0</v>
      </c>
      <c r="AX212" s="1124">
        <f t="shared" si="129"/>
        <v>0</v>
      </c>
      <c r="AY212" s="2928">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75"/>
      <c r="B213" s="2876"/>
      <c r="C213" s="2876"/>
      <c r="D213" s="2877"/>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4">
        <f t="shared" si="127"/>
        <v>0</v>
      </c>
      <c r="AW213" s="1124">
        <f t="shared" si="128"/>
        <v>0</v>
      </c>
      <c r="AX213" s="1124">
        <f t="shared" si="129"/>
        <v>0</v>
      </c>
      <c r="AY213" s="2928">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75"/>
      <c r="B214" s="2876"/>
      <c r="C214" s="2876"/>
      <c r="D214" s="2877"/>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4">
        <f t="shared" si="127"/>
        <v>0</v>
      </c>
      <c r="AW214" s="1124">
        <f t="shared" si="128"/>
        <v>0</v>
      </c>
      <c r="AX214" s="1124">
        <f t="shared" si="129"/>
        <v>0</v>
      </c>
      <c r="AY214" s="2928">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75"/>
      <c r="B215" s="2876"/>
      <c r="C215" s="2876"/>
      <c r="D215" s="2877"/>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4">
        <f t="shared" si="127"/>
        <v>0</v>
      </c>
      <c r="AW215" s="1124">
        <f t="shared" si="128"/>
        <v>0</v>
      </c>
      <c r="AX215" s="1124">
        <f t="shared" si="129"/>
        <v>0</v>
      </c>
      <c r="AY215" s="2928">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75"/>
      <c r="B216" s="2876"/>
      <c r="C216" s="2876"/>
      <c r="D216" s="2877"/>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4">
        <f t="shared" si="127"/>
        <v>0</v>
      </c>
      <c r="AW216" s="1124">
        <f t="shared" si="128"/>
        <v>0</v>
      </c>
      <c r="AX216" s="1124">
        <f t="shared" si="129"/>
        <v>0</v>
      </c>
      <c r="AY216" s="2928">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75"/>
      <c r="B217" s="2876"/>
      <c r="C217" s="2876"/>
      <c r="D217" s="2877"/>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4">
        <f t="shared" si="127"/>
        <v>0</v>
      </c>
      <c r="AW217" s="1124">
        <f t="shared" si="128"/>
        <v>0</v>
      </c>
      <c r="AX217" s="1124">
        <f t="shared" si="129"/>
        <v>0</v>
      </c>
      <c r="AY217" s="2928">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75"/>
      <c r="B218" s="2876"/>
      <c r="C218" s="2876"/>
      <c r="D218" s="2877"/>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4">
        <f t="shared" si="127"/>
        <v>0</v>
      </c>
      <c r="AW218" s="1124">
        <f t="shared" si="128"/>
        <v>0</v>
      </c>
      <c r="AX218" s="1124">
        <f t="shared" si="129"/>
        <v>0</v>
      </c>
      <c r="AY218" s="2928">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75"/>
      <c r="B219" s="2876"/>
      <c r="C219" s="2876"/>
      <c r="D219" s="2877"/>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4">
        <f t="shared" si="127"/>
        <v>0</v>
      </c>
      <c r="AW219" s="1124">
        <f t="shared" si="128"/>
        <v>0</v>
      </c>
      <c r="AX219" s="1124">
        <f t="shared" si="129"/>
        <v>0</v>
      </c>
      <c r="AY219" s="2928">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75"/>
      <c r="B220" s="2876"/>
      <c r="C220" s="2876"/>
      <c r="D220" s="2877"/>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4">
        <f t="shared" si="127"/>
        <v>0</v>
      </c>
      <c r="AW220" s="1124">
        <f t="shared" si="128"/>
        <v>0</v>
      </c>
      <c r="AX220" s="1124">
        <f t="shared" si="129"/>
        <v>0</v>
      </c>
      <c r="AY220" s="2928">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75"/>
      <c r="B221" s="2876"/>
      <c r="C221" s="2876"/>
      <c r="D221" s="2877"/>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4">
        <f t="shared" si="127"/>
        <v>0</v>
      </c>
      <c r="AW221" s="1124">
        <f t="shared" si="128"/>
        <v>0</v>
      </c>
      <c r="AX221" s="1124">
        <f t="shared" si="129"/>
        <v>0</v>
      </c>
      <c r="AY221" s="2928">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75"/>
      <c r="B222" s="2876"/>
      <c r="C222" s="2876"/>
      <c r="D222" s="2877"/>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4">
        <f t="shared" si="127"/>
        <v>0</v>
      </c>
      <c r="AW222" s="1124">
        <f t="shared" si="128"/>
        <v>0</v>
      </c>
      <c r="AX222" s="1124">
        <f t="shared" si="129"/>
        <v>0</v>
      </c>
      <c r="AY222" s="2928">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75"/>
      <c r="B223" s="2876"/>
      <c r="C223" s="2876"/>
      <c r="D223" s="2877"/>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4">
        <f t="shared" si="127"/>
        <v>0</v>
      </c>
      <c r="AW223" s="1124">
        <f t="shared" si="128"/>
        <v>0</v>
      </c>
      <c r="AX223" s="1124">
        <f t="shared" si="129"/>
        <v>0</v>
      </c>
      <c r="AY223" s="2928">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75"/>
      <c r="B224" s="2876"/>
      <c r="C224" s="2876"/>
      <c r="D224" s="2877"/>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4">
        <f t="shared" si="127"/>
        <v>0</v>
      </c>
      <c r="AW224" s="1124">
        <f t="shared" si="128"/>
        <v>0</v>
      </c>
      <c r="AX224" s="1124">
        <f t="shared" si="129"/>
        <v>0</v>
      </c>
      <c r="AY224" s="2928">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75"/>
      <c r="B225" s="2876"/>
      <c r="C225" s="2876"/>
      <c r="D225" s="2877"/>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4">
        <f t="shared" si="127"/>
        <v>0</v>
      </c>
      <c r="AW225" s="1124">
        <f t="shared" si="128"/>
        <v>0</v>
      </c>
      <c r="AX225" s="1124">
        <f t="shared" si="129"/>
        <v>0</v>
      </c>
      <c r="AY225" s="2928">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75"/>
      <c r="B226" s="2876"/>
      <c r="C226" s="2876"/>
      <c r="D226" s="2877"/>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4">
        <f t="shared" si="127"/>
        <v>0</v>
      </c>
      <c r="AW226" s="1124">
        <f t="shared" si="128"/>
        <v>0</v>
      </c>
      <c r="AX226" s="1124">
        <f t="shared" si="129"/>
        <v>0</v>
      </c>
      <c r="AY226" s="2928">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75"/>
      <c r="B227" s="2876"/>
      <c r="C227" s="2876"/>
      <c r="D227" s="2877"/>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4">
        <f t="shared" si="127"/>
        <v>0</v>
      </c>
      <c r="AW227" s="1124">
        <f t="shared" si="128"/>
        <v>0</v>
      </c>
      <c r="AX227" s="1124">
        <f t="shared" si="129"/>
        <v>0</v>
      </c>
      <c r="AY227" s="2928">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75"/>
      <c r="B228" s="2876"/>
      <c r="C228" s="2876"/>
      <c r="D228" s="2877"/>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4">
        <f t="shared" si="127"/>
        <v>0</v>
      </c>
      <c r="AW228" s="1124">
        <f t="shared" si="128"/>
        <v>0</v>
      </c>
      <c r="AX228" s="1124">
        <f t="shared" si="129"/>
        <v>0</v>
      </c>
      <c r="AY228" s="2928">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75"/>
      <c r="B229" s="2876"/>
      <c r="C229" s="2876"/>
      <c r="D229" s="2877"/>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4">
        <f t="shared" si="127"/>
        <v>0</v>
      </c>
      <c r="AW229" s="1124">
        <f t="shared" si="128"/>
        <v>0</v>
      </c>
      <c r="AX229" s="1124">
        <f t="shared" si="129"/>
        <v>0</v>
      </c>
      <c r="AY229" s="2928">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75"/>
      <c r="B230" s="2876"/>
      <c r="C230" s="2876"/>
      <c r="D230" s="2877"/>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4">
        <f t="shared" si="127"/>
        <v>0</v>
      </c>
      <c r="AW230" s="1124">
        <f t="shared" si="128"/>
        <v>0</v>
      </c>
      <c r="AX230" s="1124">
        <f t="shared" si="129"/>
        <v>0</v>
      </c>
      <c r="AY230" s="2928">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75"/>
      <c r="B231" s="2876"/>
      <c r="C231" s="2876"/>
      <c r="D231" s="2877"/>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4">
        <f t="shared" si="127"/>
        <v>0</v>
      </c>
      <c r="AW231" s="1124">
        <f t="shared" si="128"/>
        <v>0</v>
      </c>
      <c r="AX231" s="1124">
        <f t="shared" si="129"/>
        <v>0</v>
      </c>
      <c r="AY231" s="2928">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75"/>
      <c r="B232" s="2876"/>
      <c r="C232" s="2876"/>
      <c r="D232" s="2877"/>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4">
        <f t="shared" si="127"/>
        <v>0</v>
      </c>
      <c r="AW232" s="1124">
        <f t="shared" si="128"/>
        <v>0</v>
      </c>
      <c r="AX232" s="1124">
        <f t="shared" si="129"/>
        <v>0</v>
      </c>
      <c r="AY232" s="2928">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75"/>
      <c r="B233" s="2876"/>
      <c r="C233" s="2876"/>
      <c r="D233" s="2877"/>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4">
        <f t="shared" si="127"/>
        <v>0</v>
      </c>
      <c r="AW233" s="1124">
        <f t="shared" si="128"/>
        <v>0</v>
      </c>
      <c r="AX233" s="1124">
        <f t="shared" si="129"/>
        <v>0</v>
      </c>
      <c r="AY233" s="2928">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75"/>
      <c r="B234" s="2876"/>
      <c r="C234" s="2876"/>
      <c r="D234" s="2877"/>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4">
        <f t="shared" si="127"/>
        <v>0</v>
      </c>
      <c r="AW234" s="1124">
        <f t="shared" si="128"/>
        <v>0</v>
      </c>
      <c r="AX234" s="1124">
        <f t="shared" si="129"/>
        <v>0</v>
      </c>
      <c r="AY234" s="2928">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75"/>
      <c r="B235" s="2876"/>
      <c r="C235" s="2876"/>
      <c r="D235" s="2877"/>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4">
        <f t="shared" si="127"/>
        <v>0</v>
      </c>
      <c r="AW235" s="1124">
        <f t="shared" si="128"/>
        <v>0</v>
      </c>
      <c r="AX235" s="1124">
        <f t="shared" si="129"/>
        <v>0</v>
      </c>
      <c r="AY235" s="2928">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75"/>
      <c r="B236" s="2876"/>
      <c r="C236" s="2876"/>
      <c r="D236" s="2877"/>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4">
        <f t="shared" si="127"/>
        <v>0</v>
      </c>
      <c r="AW236" s="1124">
        <f t="shared" si="128"/>
        <v>0</v>
      </c>
      <c r="AX236" s="1124">
        <f t="shared" si="129"/>
        <v>0</v>
      </c>
      <c r="AY236" s="2928">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75"/>
      <c r="B237" s="2876"/>
      <c r="C237" s="2876"/>
      <c r="D237" s="2877"/>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4">
        <f t="shared" si="127"/>
        <v>0</v>
      </c>
      <c r="AW237" s="1124">
        <f t="shared" si="128"/>
        <v>0</v>
      </c>
      <c r="AX237" s="1124">
        <f t="shared" si="129"/>
        <v>0</v>
      </c>
      <c r="AY237" s="2928">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75"/>
      <c r="B238" s="2876"/>
      <c r="C238" s="2876"/>
      <c r="D238" s="2877"/>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4">
        <f t="shared" si="127"/>
        <v>0</v>
      </c>
      <c r="AW238" s="1124">
        <f t="shared" si="128"/>
        <v>0</v>
      </c>
      <c r="AX238" s="1124">
        <f t="shared" si="129"/>
        <v>0</v>
      </c>
      <c r="AY238" s="2928">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75"/>
      <c r="B239" s="2876"/>
      <c r="C239" s="2876"/>
      <c r="D239" s="2877"/>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4">
        <f t="shared" si="127"/>
        <v>0</v>
      </c>
      <c r="AW239" s="1124">
        <f t="shared" si="128"/>
        <v>0</v>
      </c>
      <c r="AX239" s="1124">
        <f t="shared" si="129"/>
        <v>0</v>
      </c>
      <c r="AY239" s="2928">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75"/>
      <c r="B240" s="2876"/>
      <c r="C240" s="2876"/>
      <c r="D240" s="2877"/>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4">
        <f t="shared" si="127"/>
        <v>0</v>
      </c>
      <c r="AW240" s="1124">
        <f t="shared" si="128"/>
        <v>0</v>
      </c>
      <c r="AX240" s="1124">
        <f t="shared" si="129"/>
        <v>0</v>
      </c>
      <c r="AY240" s="2928">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75"/>
      <c r="B241" s="2876"/>
      <c r="C241" s="2876"/>
      <c r="D241" s="2877"/>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4">
        <f t="shared" si="127"/>
        <v>0</v>
      </c>
      <c r="AW241" s="1124">
        <f t="shared" si="128"/>
        <v>0</v>
      </c>
      <c r="AX241" s="1124">
        <f t="shared" si="129"/>
        <v>0</v>
      </c>
      <c r="AY241" s="2928">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75"/>
      <c r="B242" s="2876"/>
      <c r="C242" s="2876"/>
      <c r="D242" s="2877"/>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4">
        <f t="shared" si="127"/>
        <v>0</v>
      </c>
      <c r="AW242" s="1124">
        <f t="shared" si="128"/>
        <v>0</v>
      </c>
      <c r="AX242" s="1124">
        <f t="shared" si="129"/>
        <v>0</v>
      </c>
      <c r="AY242" s="2928">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75"/>
      <c r="B243" s="2876"/>
      <c r="C243" s="2876"/>
      <c r="D243" s="2877"/>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4">
        <f t="shared" si="127"/>
        <v>0</v>
      </c>
      <c r="AW243" s="1124">
        <f t="shared" si="128"/>
        <v>0</v>
      </c>
      <c r="AX243" s="1124">
        <f t="shared" si="129"/>
        <v>0</v>
      </c>
      <c r="AY243" s="2928">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75"/>
      <c r="B244" s="2876"/>
      <c r="C244" s="2876"/>
      <c r="D244" s="2877"/>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4">
        <f t="shared" si="127"/>
        <v>0</v>
      </c>
      <c r="AW244" s="1124">
        <f t="shared" si="128"/>
        <v>0</v>
      </c>
      <c r="AX244" s="1124">
        <f t="shared" si="129"/>
        <v>0</v>
      </c>
      <c r="AY244" s="2928">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75"/>
      <c r="B245" s="2876"/>
      <c r="C245" s="2876"/>
      <c r="D245" s="2877"/>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4">
        <f t="shared" si="127"/>
        <v>0</v>
      </c>
      <c r="AW245" s="1124">
        <f t="shared" si="128"/>
        <v>0</v>
      </c>
      <c r="AX245" s="1124">
        <f t="shared" si="129"/>
        <v>0</v>
      </c>
      <c r="AY245" s="2928">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75"/>
      <c r="B246" s="2876"/>
      <c r="C246" s="2876"/>
      <c r="D246" s="2877"/>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4">
        <f t="shared" si="127"/>
        <v>0</v>
      </c>
      <c r="AW246" s="1124">
        <f t="shared" si="128"/>
        <v>0</v>
      </c>
      <c r="AX246" s="1124">
        <f t="shared" si="129"/>
        <v>0</v>
      </c>
      <c r="AY246" s="2928">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75"/>
      <c r="B247" s="2876"/>
      <c r="C247" s="2876"/>
      <c r="D247" s="2877"/>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4">
        <f t="shared" si="127"/>
        <v>0</v>
      </c>
      <c r="AW247" s="1124">
        <f t="shared" si="128"/>
        <v>0</v>
      </c>
      <c r="AX247" s="1124">
        <f t="shared" si="129"/>
        <v>0</v>
      </c>
      <c r="AY247" s="2928">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75"/>
      <c r="B248" s="2876"/>
      <c r="C248" s="2876"/>
      <c r="D248" s="2877"/>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4">
        <f t="shared" si="127"/>
        <v>0</v>
      </c>
      <c r="AW248" s="1124">
        <f t="shared" si="128"/>
        <v>0</v>
      </c>
      <c r="AX248" s="1124">
        <f t="shared" si="129"/>
        <v>0</v>
      </c>
      <c r="AY248" s="2928">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75"/>
      <c r="B249" s="2876"/>
      <c r="C249" s="2876"/>
      <c r="D249" s="2877"/>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4">
        <f t="shared" si="127"/>
        <v>0</v>
      </c>
      <c r="AW249" s="1124">
        <f t="shared" si="128"/>
        <v>0</v>
      </c>
      <c r="AX249" s="1124">
        <f t="shared" si="129"/>
        <v>0</v>
      </c>
      <c r="AY249" s="2928">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75"/>
      <c r="B250" s="2876"/>
      <c r="C250" s="2876"/>
      <c r="D250" s="2877"/>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4">
        <f t="shared" si="127"/>
        <v>0</v>
      </c>
      <c r="AW250" s="1124">
        <f t="shared" si="128"/>
        <v>0</v>
      </c>
      <c r="AX250" s="1124">
        <f t="shared" si="129"/>
        <v>0</v>
      </c>
      <c r="AY250" s="2928">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75"/>
      <c r="B251" s="2876"/>
      <c r="C251" s="2876"/>
      <c r="D251" s="2877"/>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4">
        <f t="shared" si="127"/>
        <v>0</v>
      </c>
      <c r="AW251" s="1124">
        <f t="shared" si="128"/>
        <v>0</v>
      </c>
      <c r="AX251" s="1124">
        <f t="shared" si="129"/>
        <v>0</v>
      </c>
      <c r="AY251" s="2928">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75"/>
      <c r="B252" s="2876"/>
      <c r="C252" s="2876"/>
      <c r="D252" s="2877"/>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4">
        <f t="shared" si="127"/>
        <v>0</v>
      </c>
      <c r="AW252" s="1124">
        <f t="shared" si="128"/>
        <v>0</v>
      </c>
      <c r="AX252" s="1124">
        <f t="shared" si="129"/>
        <v>0</v>
      </c>
      <c r="AY252" s="2928">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75"/>
      <c r="B253" s="2876"/>
      <c r="C253" s="2876"/>
      <c r="D253" s="2877"/>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4">
        <f t="shared" si="127"/>
        <v>0</v>
      </c>
      <c r="AW253" s="1124">
        <f t="shared" si="128"/>
        <v>0</v>
      </c>
      <c r="AX253" s="1124">
        <f t="shared" si="129"/>
        <v>0</v>
      </c>
      <c r="AY253" s="2928">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75"/>
      <c r="B254" s="2876"/>
      <c r="C254" s="2876"/>
      <c r="D254" s="2877"/>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4">
        <f t="shared" si="127"/>
        <v>0</v>
      </c>
      <c r="AW254" s="1124">
        <f t="shared" si="128"/>
        <v>0</v>
      </c>
      <c r="AX254" s="1124">
        <f t="shared" si="129"/>
        <v>0</v>
      </c>
      <c r="AY254" s="2928">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75"/>
      <c r="B255" s="2876"/>
      <c r="C255" s="2876"/>
      <c r="D255" s="2877"/>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4">
        <f t="shared" si="127"/>
        <v>0</v>
      </c>
      <c r="AW255" s="1124">
        <f t="shared" si="128"/>
        <v>0</v>
      </c>
      <c r="AX255" s="1124">
        <f t="shared" si="129"/>
        <v>0</v>
      </c>
      <c r="AY255" s="2928">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75"/>
      <c r="B256" s="2876"/>
      <c r="C256" s="2876"/>
      <c r="D256" s="2877"/>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4">
        <f t="shared" si="127"/>
        <v>0</v>
      </c>
      <c r="AW256" s="1124">
        <f t="shared" si="128"/>
        <v>0</v>
      </c>
      <c r="AX256" s="1124">
        <f t="shared" si="129"/>
        <v>0</v>
      </c>
      <c r="AY256" s="2928">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75"/>
      <c r="B257" s="2876"/>
      <c r="C257" s="2876"/>
      <c r="D257" s="2877"/>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4">
        <f t="shared" si="127"/>
        <v>0</v>
      </c>
      <c r="AW257" s="1124">
        <f t="shared" si="128"/>
        <v>0</v>
      </c>
      <c r="AX257" s="1124">
        <f t="shared" si="129"/>
        <v>0</v>
      </c>
      <c r="AY257" s="2928">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75"/>
      <c r="B258" s="2876"/>
      <c r="C258" s="2876"/>
      <c r="D258" s="2877"/>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4">
        <f t="shared" si="127"/>
        <v>0</v>
      </c>
      <c r="AW258" s="1124">
        <f t="shared" si="128"/>
        <v>0</v>
      </c>
      <c r="AX258" s="1124">
        <f t="shared" si="129"/>
        <v>0</v>
      </c>
      <c r="AY258" s="2928">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75"/>
      <c r="B259" s="2876"/>
      <c r="C259" s="2876"/>
      <c r="D259" s="2877"/>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4">
        <f t="shared" si="127"/>
        <v>0</v>
      </c>
      <c r="AW259" s="1124">
        <f t="shared" si="128"/>
        <v>0</v>
      </c>
      <c r="AX259" s="1124">
        <f t="shared" si="129"/>
        <v>0</v>
      </c>
      <c r="AY259" s="2928">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75"/>
      <c r="B260" s="2876"/>
      <c r="C260" s="2876"/>
      <c r="D260" s="2877"/>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4">
        <f t="shared" si="127"/>
        <v>0</v>
      </c>
      <c r="AW260" s="1124">
        <f t="shared" si="128"/>
        <v>0</v>
      </c>
      <c r="AX260" s="1124">
        <f t="shared" si="129"/>
        <v>0</v>
      </c>
      <c r="AY260" s="2928">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75"/>
      <c r="B261" s="2876"/>
      <c r="C261" s="2876"/>
      <c r="D261" s="2877"/>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4">
        <f t="shared" si="127"/>
        <v>0</v>
      </c>
      <c r="AW261" s="1124">
        <f t="shared" si="128"/>
        <v>0</v>
      </c>
      <c r="AX261" s="1124">
        <f t="shared" si="129"/>
        <v>0</v>
      </c>
      <c r="AY261" s="2928">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75"/>
      <c r="B262" s="2876"/>
      <c r="C262" s="2876"/>
      <c r="D262" s="2877"/>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4">
        <f t="shared" si="127"/>
        <v>0</v>
      </c>
      <c r="AW262" s="1124">
        <f t="shared" si="128"/>
        <v>0</v>
      </c>
      <c r="AX262" s="1124">
        <f t="shared" si="129"/>
        <v>0</v>
      </c>
      <c r="AY262" s="2928">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75"/>
      <c r="B263" s="2876"/>
      <c r="C263" s="2876"/>
      <c r="D263" s="2877"/>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4">
        <f t="shared" si="127"/>
        <v>0</v>
      </c>
      <c r="AW263" s="1124">
        <f t="shared" si="128"/>
        <v>0</v>
      </c>
      <c r="AX263" s="1124">
        <f t="shared" si="129"/>
        <v>0</v>
      </c>
      <c r="AY263" s="2928">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75"/>
      <c r="B264" s="2876"/>
      <c r="C264" s="2876"/>
      <c r="D264" s="2877"/>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4">
        <f t="shared" si="127"/>
        <v>0</v>
      </c>
      <c r="AW264" s="1124">
        <f t="shared" si="128"/>
        <v>0</v>
      </c>
      <c r="AX264" s="1124">
        <f t="shared" si="129"/>
        <v>0</v>
      </c>
      <c r="AY264" s="2928">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75"/>
      <c r="B265" s="2876"/>
      <c r="C265" s="2876"/>
      <c r="D265" s="2877"/>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4">
        <f t="shared" si="127"/>
        <v>0</v>
      </c>
      <c r="AW265" s="1124">
        <f t="shared" si="128"/>
        <v>0</v>
      </c>
      <c r="AX265" s="1124">
        <f t="shared" si="129"/>
        <v>0</v>
      </c>
      <c r="AY265" s="2928">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75"/>
      <c r="B266" s="2876"/>
      <c r="C266" s="2876"/>
      <c r="D266" s="2877"/>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4">
        <f t="shared" si="127"/>
        <v>0</v>
      </c>
      <c r="AW266" s="1124">
        <f t="shared" si="128"/>
        <v>0</v>
      </c>
      <c r="AX266" s="1124">
        <f t="shared" si="129"/>
        <v>0</v>
      </c>
      <c r="AY266" s="2928">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75"/>
      <c r="B267" s="2876"/>
      <c r="C267" s="2876"/>
      <c r="D267" s="2877"/>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4">
        <f t="shared" si="127"/>
        <v>0</v>
      </c>
      <c r="AW267" s="1124">
        <f t="shared" si="128"/>
        <v>0</v>
      </c>
      <c r="AX267" s="1124">
        <f t="shared" si="129"/>
        <v>0</v>
      </c>
      <c r="AY267" s="2928">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75"/>
      <c r="B268" s="2876"/>
      <c r="C268" s="2876"/>
      <c r="D268" s="2877"/>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4">
        <f t="shared" si="127"/>
        <v>0</v>
      </c>
      <c r="AW268" s="1124">
        <f t="shared" si="128"/>
        <v>0</v>
      </c>
      <c r="AX268" s="1124">
        <f t="shared" si="129"/>
        <v>0</v>
      </c>
      <c r="AY268" s="2928">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75"/>
      <c r="B269" s="2876"/>
      <c r="C269" s="2876"/>
      <c r="D269" s="2877"/>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4">
        <f t="shared" si="127"/>
        <v>0</v>
      </c>
      <c r="AW269" s="1124">
        <f t="shared" si="128"/>
        <v>0</v>
      </c>
      <c r="AX269" s="1124">
        <f t="shared" si="129"/>
        <v>0</v>
      </c>
      <c r="AY269" s="2928">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75"/>
      <c r="B270" s="2876"/>
      <c r="C270" s="2876"/>
      <c r="D270" s="2877"/>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4">
        <f t="shared" si="127"/>
        <v>0</v>
      </c>
      <c r="AW270" s="1124">
        <f t="shared" si="128"/>
        <v>0</v>
      </c>
      <c r="AX270" s="1124">
        <f t="shared" si="129"/>
        <v>0</v>
      </c>
      <c r="AY270" s="2928">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75"/>
      <c r="B271" s="2876"/>
      <c r="C271" s="2876"/>
      <c r="D271" s="2877"/>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4">
        <f t="shared" si="127"/>
        <v>0</v>
      </c>
      <c r="AW271" s="1124">
        <f t="shared" si="128"/>
        <v>0</v>
      </c>
      <c r="AX271" s="1124">
        <f t="shared" si="129"/>
        <v>0</v>
      </c>
      <c r="AY271" s="2928">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75"/>
      <c r="B272" s="2876"/>
      <c r="C272" s="2876"/>
      <c r="D272" s="2877"/>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4">
        <f t="shared" si="127"/>
        <v>0</v>
      </c>
      <c r="AW272" s="1124">
        <f t="shared" si="128"/>
        <v>0</v>
      </c>
      <c r="AX272" s="1124">
        <f t="shared" si="129"/>
        <v>0</v>
      </c>
      <c r="AY272" s="2928">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75"/>
      <c r="B273" s="2876"/>
      <c r="C273" s="2876"/>
      <c r="D273" s="2877"/>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4">
        <f t="shared" si="127"/>
        <v>0</v>
      </c>
      <c r="AW273" s="1124">
        <f t="shared" si="128"/>
        <v>0</v>
      </c>
      <c r="AX273" s="1124">
        <f t="shared" si="129"/>
        <v>0</v>
      </c>
      <c r="AY273" s="2928">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75"/>
      <c r="B274" s="2876"/>
      <c r="C274" s="2876"/>
      <c r="D274" s="2877"/>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4">
        <f t="shared" si="127"/>
        <v>0</v>
      </c>
      <c r="AW274" s="1124">
        <f t="shared" si="128"/>
        <v>0</v>
      </c>
      <c r="AX274" s="1124">
        <f t="shared" si="129"/>
        <v>0</v>
      </c>
      <c r="AY274" s="2928">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75"/>
      <c r="B275" s="2876"/>
      <c r="C275" s="2876"/>
      <c r="D275" s="2877"/>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4">
        <f t="shared" si="127"/>
        <v>0</v>
      </c>
      <c r="AW275" s="1124">
        <f t="shared" si="128"/>
        <v>0</v>
      </c>
      <c r="AX275" s="1124">
        <f t="shared" si="129"/>
        <v>0</v>
      </c>
      <c r="AY275" s="2928">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75"/>
      <c r="B276" s="2876"/>
      <c r="C276" s="2876"/>
      <c r="D276" s="2877"/>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4">
        <f t="shared" si="127"/>
        <v>0</v>
      </c>
      <c r="AW276" s="1124">
        <f t="shared" si="128"/>
        <v>0</v>
      </c>
      <c r="AX276" s="1124">
        <f t="shared" si="129"/>
        <v>0</v>
      </c>
      <c r="AY276" s="2928">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75"/>
      <c r="B277" s="2876"/>
      <c r="C277" s="2876"/>
      <c r="D277" s="2877"/>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4">
        <f t="shared" si="127"/>
        <v>0</v>
      </c>
      <c r="AW277" s="1124">
        <f t="shared" si="128"/>
        <v>0</v>
      </c>
      <c r="AX277" s="1124">
        <f t="shared" si="129"/>
        <v>0</v>
      </c>
      <c r="AY277" s="2928">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75"/>
      <c r="B278" s="2876"/>
      <c r="C278" s="2876"/>
      <c r="D278" s="2877"/>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4">
        <f t="shared" si="127"/>
        <v>0</v>
      </c>
      <c r="AW278" s="1124">
        <f t="shared" si="128"/>
        <v>0</v>
      </c>
      <c r="AX278" s="1124">
        <f t="shared" si="129"/>
        <v>0</v>
      </c>
      <c r="AY278" s="2928">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75"/>
      <c r="B279" s="2876"/>
      <c r="C279" s="2876"/>
      <c r="D279" s="2877"/>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4">
        <f t="shared" si="127"/>
        <v>0</v>
      </c>
      <c r="AW279" s="1124">
        <f t="shared" si="128"/>
        <v>0</v>
      </c>
      <c r="AX279" s="1124">
        <f t="shared" si="129"/>
        <v>0</v>
      </c>
      <c r="AY279" s="2928">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75"/>
      <c r="B280" s="2876"/>
      <c r="C280" s="2876"/>
      <c r="D280" s="2877"/>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4">
        <f t="shared" si="127"/>
        <v>0</v>
      </c>
      <c r="AW280" s="1124">
        <f t="shared" si="128"/>
        <v>0</v>
      </c>
      <c r="AX280" s="1124">
        <f t="shared" si="129"/>
        <v>0</v>
      </c>
      <c r="AY280" s="2928">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75"/>
      <c r="B281" s="2876"/>
      <c r="C281" s="2876"/>
      <c r="D281" s="2877"/>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4">
        <f t="shared" si="127"/>
        <v>0</v>
      </c>
      <c r="AW281" s="1124">
        <f t="shared" si="128"/>
        <v>0</v>
      </c>
      <c r="AX281" s="1124">
        <f t="shared" si="129"/>
        <v>0</v>
      </c>
      <c r="AY281" s="2928">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75"/>
      <c r="B282" s="2876"/>
      <c r="C282" s="2876"/>
      <c r="D282" s="2877"/>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4">
        <f t="shared" si="127"/>
        <v>0</v>
      </c>
      <c r="AW282" s="1124">
        <f t="shared" si="128"/>
        <v>0</v>
      </c>
      <c r="AX282" s="1124">
        <f t="shared" si="129"/>
        <v>0</v>
      </c>
      <c r="AY282" s="2928">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75"/>
      <c r="B283" s="2876"/>
      <c r="C283" s="2876"/>
      <c r="D283" s="2877"/>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4">
        <f t="shared" si="127"/>
        <v>0</v>
      </c>
      <c r="AW283" s="1124">
        <f t="shared" si="128"/>
        <v>0</v>
      </c>
      <c r="AX283" s="1124">
        <f t="shared" si="129"/>
        <v>0</v>
      </c>
      <c r="AY283" s="2928">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75"/>
      <c r="B284" s="2876"/>
      <c r="C284" s="2876"/>
      <c r="D284" s="2877"/>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4">
        <f t="shared" si="127"/>
        <v>0</v>
      </c>
      <c r="AW284" s="1124">
        <f t="shared" si="128"/>
        <v>0</v>
      </c>
      <c r="AX284" s="1124">
        <f t="shared" si="129"/>
        <v>0</v>
      </c>
      <c r="AY284" s="2928">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75"/>
      <c r="B285" s="2876"/>
      <c r="C285" s="2876"/>
      <c r="D285" s="2877"/>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4">
        <f t="shared" si="127"/>
        <v>0</v>
      </c>
      <c r="AW285" s="1124">
        <f t="shared" si="128"/>
        <v>0</v>
      </c>
      <c r="AX285" s="1124">
        <f t="shared" si="129"/>
        <v>0</v>
      </c>
      <c r="AY285" s="2928">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75"/>
      <c r="B286" s="2876"/>
      <c r="C286" s="2876"/>
      <c r="D286" s="2877"/>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4">
        <f t="shared" si="127"/>
        <v>0</v>
      </c>
      <c r="AW286" s="1124">
        <f t="shared" si="128"/>
        <v>0</v>
      </c>
      <c r="AX286" s="1124">
        <f t="shared" si="129"/>
        <v>0</v>
      </c>
      <c r="AY286" s="2928">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75"/>
      <c r="B287" s="2876"/>
      <c r="C287" s="2876"/>
      <c r="D287" s="2877"/>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4">
        <f t="shared" si="127"/>
        <v>0</v>
      </c>
      <c r="AW287" s="1124">
        <f t="shared" si="128"/>
        <v>0</v>
      </c>
      <c r="AX287" s="1124">
        <f t="shared" si="129"/>
        <v>0</v>
      </c>
      <c r="AY287" s="2928">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75"/>
      <c r="B288" s="2876"/>
      <c r="C288" s="2876"/>
      <c r="D288" s="2877"/>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4">
        <f t="shared" si="127"/>
        <v>0</v>
      </c>
      <c r="AW288" s="1124">
        <f t="shared" si="128"/>
        <v>0</v>
      </c>
      <c r="AX288" s="1124">
        <f t="shared" si="129"/>
        <v>0</v>
      </c>
      <c r="AY288" s="2928">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75"/>
      <c r="B289" s="2876"/>
      <c r="C289" s="2876"/>
      <c r="D289" s="2877"/>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4">
        <f t="shared" si="127"/>
        <v>0</v>
      </c>
      <c r="AW289" s="1124">
        <f t="shared" si="128"/>
        <v>0</v>
      </c>
      <c r="AX289" s="1124">
        <f t="shared" si="129"/>
        <v>0</v>
      </c>
      <c r="AY289" s="2928">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75"/>
      <c r="B290" s="2876"/>
      <c r="C290" s="2876"/>
      <c r="D290" s="2877"/>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4">
        <f t="shared" si="127"/>
        <v>0</v>
      </c>
      <c r="AW290" s="1124">
        <f t="shared" si="128"/>
        <v>0</v>
      </c>
      <c r="AX290" s="1124">
        <f t="shared" si="129"/>
        <v>0</v>
      </c>
      <c r="AY290" s="2928">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75"/>
      <c r="B291" s="2876"/>
      <c r="C291" s="2876"/>
      <c r="D291" s="2877"/>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4">
        <f t="shared" si="127"/>
        <v>0</v>
      </c>
      <c r="AW291" s="1124">
        <f t="shared" si="128"/>
        <v>0</v>
      </c>
      <c r="AX291" s="1124">
        <f t="shared" si="129"/>
        <v>0</v>
      </c>
      <c r="AY291" s="2928">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75"/>
      <c r="B292" s="2876"/>
      <c r="C292" s="2876"/>
      <c r="D292" s="2877"/>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4">
        <f t="shared" si="127"/>
        <v>0</v>
      </c>
      <c r="AW292" s="1124">
        <f t="shared" si="128"/>
        <v>0</v>
      </c>
      <c r="AX292" s="1124">
        <f t="shared" si="129"/>
        <v>0</v>
      </c>
      <c r="AY292" s="2928">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75"/>
      <c r="B293" s="2876"/>
      <c r="C293" s="2876"/>
      <c r="D293" s="2877"/>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4">
        <f t="shared" si="127"/>
        <v>0</v>
      </c>
      <c r="AW293" s="1124">
        <f t="shared" si="128"/>
        <v>0</v>
      </c>
      <c r="AX293" s="1124">
        <f t="shared" si="129"/>
        <v>0</v>
      </c>
      <c r="AY293" s="2928">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75"/>
      <c r="B294" s="2876"/>
      <c r="C294" s="2876"/>
      <c r="D294" s="2877"/>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4">
        <f t="shared" si="127"/>
        <v>0</v>
      </c>
      <c r="AW294" s="1124">
        <f t="shared" si="128"/>
        <v>0</v>
      </c>
      <c r="AX294" s="1124">
        <f t="shared" si="129"/>
        <v>0</v>
      </c>
      <c r="AY294" s="2928">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75"/>
      <c r="B295" s="2876"/>
      <c r="C295" s="2876"/>
      <c r="D295" s="2877"/>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4">
        <f t="shared" si="127"/>
        <v>0</v>
      </c>
      <c r="AW295" s="1124">
        <f t="shared" si="128"/>
        <v>0</v>
      </c>
      <c r="AX295" s="1124">
        <f t="shared" si="129"/>
        <v>0</v>
      </c>
      <c r="AY295" s="2928">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75"/>
      <c r="B296" s="2876"/>
      <c r="C296" s="2876"/>
      <c r="D296" s="2877"/>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4">
        <f t="shared" si="127"/>
        <v>0</v>
      </c>
      <c r="AW296" s="1124">
        <f t="shared" si="128"/>
        <v>0</v>
      </c>
      <c r="AX296" s="1124">
        <f t="shared" si="129"/>
        <v>0</v>
      </c>
      <c r="AY296" s="2928">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75"/>
      <c r="B297" s="2876"/>
      <c r="C297" s="2876"/>
      <c r="D297" s="2877"/>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4">
        <f t="shared" si="127"/>
        <v>0</v>
      </c>
      <c r="AW297" s="1124">
        <f t="shared" si="128"/>
        <v>0</v>
      </c>
      <c r="AX297" s="1124">
        <f t="shared" si="129"/>
        <v>0</v>
      </c>
      <c r="AY297" s="2928">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75"/>
      <c r="B298" s="2876"/>
      <c r="C298" s="2876"/>
      <c r="D298" s="2877"/>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4">
        <f t="shared" si="127"/>
        <v>0</v>
      </c>
      <c r="AW298" s="1124">
        <f t="shared" si="128"/>
        <v>0</v>
      </c>
      <c r="AX298" s="1124">
        <f t="shared" si="129"/>
        <v>0</v>
      </c>
      <c r="AY298" s="2928">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75"/>
      <c r="B299" s="2876"/>
      <c r="C299" s="2876"/>
      <c r="D299" s="2877"/>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4">
        <f t="shared" si="127"/>
        <v>0</v>
      </c>
      <c r="AW299" s="1124">
        <f t="shared" si="128"/>
        <v>0</v>
      </c>
      <c r="AX299" s="1124">
        <f t="shared" si="129"/>
        <v>0</v>
      </c>
      <c r="AY299" s="2928">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75"/>
      <c r="B300" s="2875"/>
      <c r="C300" s="2875"/>
      <c r="D300" s="2877"/>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4">
        <f t="shared" si="127"/>
        <v>0</v>
      </c>
      <c r="AW300" s="1124">
        <f t="shared" si="128"/>
        <v>0</v>
      </c>
      <c r="AX300" s="1124">
        <f t="shared" si="129"/>
        <v>0</v>
      </c>
      <c r="AY300" s="2928">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75"/>
      <c r="B301" s="2875"/>
      <c r="C301" s="2875"/>
      <c r="D301" s="2877"/>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4">
        <f t="shared" si="127"/>
        <v>0</v>
      </c>
      <c r="AW301" s="1124">
        <f t="shared" si="128"/>
        <v>0</v>
      </c>
      <c r="AX301" s="1124">
        <f t="shared" si="129"/>
        <v>0</v>
      </c>
      <c r="AY301" s="2928">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75"/>
      <c r="B302" s="2875"/>
      <c r="C302" s="2875"/>
      <c r="D302" s="2877"/>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4">
        <f t="shared" si="127"/>
        <v>0</v>
      </c>
      <c r="AW302" s="1124">
        <f t="shared" si="128"/>
        <v>0</v>
      </c>
      <c r="AX302" s="1124">
        <f t="shared" si="129"/>
        <v>0</v>
      </c>
      <c r="AY302" s="2928">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75"/>
      <c r="B303" s="2876"/>
      <c r="C303" s="2876"/>
      <c r="D303" s="2877"/>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4">
        <f t="shared" ref="AV303:AV334" si="178">A303</f>
        <v>0</v>
      </c>
      <c r="AW303" s="1124">
        <f t="shared" ref="AW303:AW334" si="179">B303</f>
        <v>0</v>
      </c>
      <c r="AX303" s="1124">
        <f t="shared" ref="AX303:AX334" si="180">C303</f>
        <v>0</v>
      </c>
      <c r="AY303" s="2928">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75"/>
      <c r="B304" s="2876"/>
      <c r="C304" s="2876"/>
      <c r="D304" s="2877"/>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4">
        <f t="shared" si="178"/>
        <v>0</v>
      </c>
      <c r="AW304" s="1124">
        <f t="shared" si="179"/>
        <v>0</v>
      </c>
      <c r="AX304" s="1124">
        <f t="shared" si="180"/>
        <v>0</v>
      </c>
      <c r="AY304" s="2928">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75"/>
      <c r="B305" s="2876"/>
      <c r="C305" s="2876"/>
      <c r="D305" s="2877"/>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4">
        <f t="shared" si="178"/>
        <v>0</v>
      </c>
      <c r="AW305" s="1124">
        <f t="shared" si="179"/>
        <v>0</v>
      </c>
      <c r="AX305" s="1124">
        <f t="shared" si="180"/>
        <v>0</v>
      </c>
      <c r="AY305" s="2928">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75"/>
      <c r="B306" s="2876"/>
      <c r="C306" s="2876"/>
      <c r="D306" s="2877"/>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4">
        <f t="shared" si="178"/>
        <v>0</v>
      </c>
      <c r="AW306" s="1124">
        <f t="shared" si="179"/>
        <v>0</v>
      </c>
      <c r="AX306" s="1124">
        <f t="shared" si="180"/>
        <v>0</v>
      </c>
      <c r="AY306" s="2928">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75"/>
      <c r="B307" s="2876"/>
      <c r="C307" s="2876"/>
      <c r="D307" s="2877"/>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4">
        <f t="shared" si="178"/>
        <v>0</v>
      </c>
      <c r="AW307" s="1124">
        <f t="shared" si="179"/>
        <v>0</v>
      </c>
      <c r="AX307" s="1124">
        <f t="shared" si="180"/>
        <v>0</v>
      </c>
      <c r="AY307" s="2928">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75"/>
      <c r="B308" s="2876"/>
      <c r="C308" s="2876"/>
      <c r="D308" s="2877"/>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4">
        <f t="shared" si="178"/>
        <v>0</v>
      </c>
      <c r="AW308" s="1124">
        <f t="shared" si="179"/>
        <v>0</v>
      </c>
      <c r="AX308" s="1124">
        <f t="shared" si="180"/>
        <v>0</v>
      </c>
      <c r="AY308" s="2928">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75"/>
      <c r="B309" s="2876"/>
      <c r="C309" s="2876"/>
      <c r="D309" s="2877"/>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4">
        <f t="shared" si="178"/>
        <v>0</v>
      </c>
      <c r="AW309" s="1124">
        <f t="shared" si="179"/>
        <v>0</v>
      </c>
      <c r="AX309" s="1124">
        <f t="shared" si="180"/>
        <v>0</v>
      </c>
      <c r="AY309" s="2928">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75"/>
      <c r="B310" s="2876"/>
      <c r="C310" s="2876"/>
      <c r="D310" s="2877"/>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4">
        <f t="shared" si="178"/>
        <v>0</v>
      </c>
      <c r="AW310" s="1124">
        <f t="shared" si="179"/>
        <v>0</v>
      </c>
      <c r="AX310" s="1124">
        <f t="shared" si="180"/>
        <v>0</v>
      </c>
      <c r="AY310" s="2928">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75"/>
      <c r="B311" s="2876"/>
      <c r="C311" s="2876"/>
      <c r="D311" s="2877"/>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4">
        <f t="shared" si="178"/>
        <v>0</v>
      </c>
      <c r="AW311" s="1124">
        <f t="shared" si="179"/>
        <v>0</v>
      </c>
      <c r="AX311" s="1124">
        <f t="shared" si="180"/>
        <v>0</v>
      </c>
      <c r="AY311" s="2928">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75"/>
      <c r="B312" s="2876"/>
      <c r="C312" s="2876"/>
      <c r="D312" s="2877"/>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4">
        <f t="shared" si="178"/>
        <v>0</v>
      </c>
      <c r="AW312" s="1124">
        <f t="shared" si="179"/>
        <v>0</v>
      </c>
      <c r="AX312" s="1124">
        <f t="shared" si="180"/>
        <v>0</v>
      </c>
      <c r="AY312" s="2928">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75"/>
      <c r="B313" s="2876"/>
      <c r="C313" s="2876"/>
      <c r="D313" s="2877"/>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4">
        <f t="shared" si="178"/>
        <v>0</v>
      </c>
      <c r="AW313" s="1124">
        <f t="shared" si="179"/>
        <v>0</v>
      </c>
      <c r="AX313" s="1124">
        <f t="shared" si="180"/>
        <v>0</v>
      </c>
      <c r="AY313" s="2928">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75"/>
      <c r="B314" s="2876"/>
      <c r="C314" s="2876"/>
      <c r="D314" s="2877"/>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4">
        <f t="shared" si="178"/>
        <v>0</v>
      </c>
      <c r="AW314" s="1124">
        <f t="shared" si="179"/>
        <v>0</v>
      </c>
      <c r="AX314" s="1124">
        <f t="shared" si="180"/>
        <v>0</v>
      </c>
      <c r="AY314" s="2928">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75"/>
      <c r="B315" s="2876"/>
      <c r="C315" s="2876"/>
      <c r="D315" s="2877"/>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4">
        <f t="shared" si="178"/>
        <v>0</v>
      </c>
      <c r="AW315" s="1124">
        <f t="shared" si="179"/>
        <v>0</v>
      </c>
      <c r="AX315" s="1124">
        <f t="shared" si="180"/>
        <v>0</v>
      </c>
      <c r="AY315" s="2928">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75"/>
      <c r="B316" s="2876"/>
      <c r="C316" s="2876"/>
      <c r="D316" s="2877"/>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4">
        <f t="shared" si="178"/>
        <v>0</v>
      </c>
      <c r="AW316" s="1124">
        <f t="shared" si="179"/>
        <v>0</v>
      </c>
      <c r="AX316" s="1124">
        <f t="shared" si="180"/>
        <v>0</v>
      </c>
      <c r="AY316" s="2928">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75"/>
      <c r="B317" s="2876"/>
      <c r="C317" s="2876"/>
      <c r="D317" s="2877"/>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4">
        <f t="shared" si="178"/>
        <v>0</v>
      </c>
      <c r="AW317" s="1124">
        <f t="shared" si="179"/>
        <v>0</v>
      </c>
      <c r="AX317" s="1124">
        <f t="shared" si="180"/>
        <v>0</v>
      </c>
      <c r="AY317" s="2928">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75"/>
      <c r="B318" s="2876"/>
      <c r="C318" s="2876"/>
      <c r="D318" s="2877"/>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4">
        <f t="shared" si="178"/>
        <v>0</v>
      </c>
      <c r="AW318" s="1124">
        <f t="shared" si="179"/>
        <v>0</v>
      </c>
      <c r="AX318" s="1124">
        <f t="shared" si="180"/>
        <v>0</v>
      </c>
      <c r="AY318" s="2928">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75"/>
      <c r="B319" s="2876"/>
      <c r="C319" s="2876"/>
      <c r="D319" s="2877"/>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4">
        <f t="shared" si="178"/>
        <v>0</v>
      </c>
      <c r="AW319" s="1124">
        <f t="shared" si="179"/>
        <v>0</v>
      </c>
      <c r="AX319" s="1124">
        <f t="shared" si="180"/>
        <v>0</v>
      </c>
      <c r="AY319" s="2928">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75"/>
      <c r="B320" s="2876"/>
      <c r="C320" s="2876"/>
      <c r="D320" s="2877"/>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4">
        <f t="shared" si="178"/>
        <v>0</v>
      </c>
      <c r="AW320" s="1124">
        <f t="shared" si="179"/>
        <v>0</v>
      </c>
      <c r="AX320" s="1124">
        <f t="shared" si="180"/>
        <v>0</v>
      </c>
      <c r="AY320" s="2928">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75"/>
      <c r="B321" s="2876"/>
      <c r="C321" s="2876"/>
      <c r="D321" s="2877"/>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4">
        <f t="shared" si="178"/>
        <v>0</v>
      </c>
      <c r="AW321" s="1124">
        <f t="shared" si="179"/>
        <v>0</v>
      </c>
      <c r="AX321" s="1124">
        <f t="shared" si="180"/>
        <v>0</v>
      </c>
      <c r="AY321" s="2928">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75"/>
      <c r="B322" s="2876"/>
      <c r="C322" s="2876"/>
      <c r="D322" s="2877"/>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4">
        <f t="shared" si="178"/>
        <v>0</v>
      </c>
      <c r="AW322" s="1124">
        <f t="shared" si="179"/>
        <v>0</v>
      </c>
      <c r="AX322" s="1124">
        <f t="shared" si="180"/>
        <v>0</v>
      </c>
      <c r="AY322" s="2928">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75"/>
      <c r="B323" s="2876"/>
      <c r="C323" s="2876"/>
      <c r="D323" s="2877"/>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4">
        <f t="shared" si="178"/>
        <v>0</v>
      </c>
      <c r="AW323" s="1124">
        <f t="shared" si="179"/>
        <v>0</v>
      </c>
      <c r="AX323" s="1124">
        <f t="shared" si="180"/>
        <v>0</v>
      </c>
      <c r="AY323" s="2928">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75"/>
      <c r="B324" s="2876"/>
      <c r="C324" s="2876"/>
      <c r="D324" s="2877"/>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4">
        <f t="shared" si="178"/>
        <v>0</v>
      </c>
      <c r="AW324" s="1124">
        <f t="shared" si="179"/>
        <v>0</v>
      </c>
      <c r="AX324" s="1124">
        <f t="shared" si="180"/>
        <v>0</v>
      </c>
      <c r="AY324" s="2928">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75"/>
      <c r="B325" s="2876"/>
      <c r="C325" s="2876"/>
      <c r="D325" s="2877"/>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4">
        <f t="shared" si="178"/>
        <v>0</v>
      </c>
      <c r="AW325" s="1124">
        <f t="shared" si="179"/>
        <v>0</v>
      </c>
      <c r="AX325" s="1124">
        <f t="shared" si="180"/>
        <v>0</v>
      </c>
      <c r="AY325" s="2928">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75"/>
      <c r="B326" s="2876"/>
      <c r="C326" s="2876"/>
      <c r="D326" s="2877"/>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4">
        <f t="shared" si="178"/>
        <v>0</v>
      </c>
      <c r="AW326" s="1124">
        <f t="shared" si="179"/>
        <v>0</v>
      </c>
      <c r="AX326" s="1124">
        <f t="shared" si="180"/>
        <v>0</v>
      </c>
      <c r="AY326" s="2928">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75"/>
      <c r="B327" s="2876"/>
      <c r="C327" s="2876"/>
      <c r="D327" s="2877"/>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4">
        <f t="shared" si="178"/>
        <v>0</v>
      </c>
      <c r="AW327" s="1124">
        <f t="shared" si="179"/>
        <v>0</v>
      </c>
      <c r="AX327" s="1124">
        <f t="shared" si="180"/>
        <v>0</v>
      </c>
      <c r="AY327" s="2928">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75"/>
      <c r="B328" s="2876"/>
      <c r="C328" s="2876"/>
      <c r="D328" s="2877"/>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4">
        <f t="shared" si="178"/>
        <v>0</v>
      </c>
      <c r="AW328" s="1124">
        <f t="shared" si="179"/>
        <v>0</v>
      </c>
      <c r="AX328" s="1124">
        <f t="shared" si="180"/>
        <v>0</v>
      </c>
      <c r="AY328" s="2928">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75"/>
      <c r="B329" s="2876"/>
      <c r="C329" s="2876"/>
      <c r="D329" s="2877"/>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4">
        <f t="shared" si="178"/>
        <v>0</v>
      </c>
      <c r="AW329" s="1124">
        <f t="shared" si="179"/>
        <v>0</v>
      </c>
      <c r="AX329" s="1124">
        <f t="shared" si="180"/>
        <v>0</v>
      </c>
      <c r="AY329" s="2928">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75"/>
      <c r="B330" s="2876"/>
      <c r="C330" s="2876"/>
      <c r="D330" s="2877"/>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4">
        <f t="shared" si="178"/>
        <v>0</v>
      </c>
      <c r="AW330" s="1124">
        <f t="shared" si="179"/>
        <v>0</v>
      </c>
      <c r="AX330" s="1124">
        <f t="shared" si="180"/>
        <v>0</v>
      </c>
      <c r="AY330" s="2928">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75"/>
      <c r="B331" s="2876"/>
      <c r="C331" s="2876"/>
      <c r="D331" s="2877"/>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4">
        <f t="shared" si="178"/>
        <v>0</v>
      </c>
      <c r="AW331" s="1124">
        <f t="shared" si="179"/>
        <v>0</v>
      </c>
      <c r="AX331" s="1124">
        <f t="shared" si="180"/>
        <v>0</v>
      </c>
      <c r="AY331" s="2928">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75"/>
      <c r="B332" s="2876"/>
      <c r="C332" s="2876"/>
      <c r="D332" s="2877"/>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4">
        <f t="shared" si="178"/>
        <v>0</v>
      </c>
      <c r="AW332" s="1124">
        <f t="shared" si="179"/>
        <v>0</v>
      </c>
      <c r="AX332" s="1124">
        <f t="shared" si="180"/>
        <v>0</v>
      </c>
      <c r="AY332" s="2928">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75"/>
      <c r="B333" s="2876"/>
      <c r="C333" s="2876"/>
      <c r="D333" s="2877"/>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4">
        <f t="shared" si="178"/>
        <v>0</v>
      </c>
      <c r="AW333" s="1124">
        <f t="shared" si="179"/>
        <v>0</v>
      </c>
      <c r="AX333" s="1124">
        <f t="shared" si="180"/>
        <v>0</v>
      </c>
      <c r="AY333" s="2928">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75"/>
      <c r="B334" s="2876"/>
      <c r="C334" s="2876"/>
      <c r="D334" s="2877"/>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4">
        <f t="shared" si="178"/>
        <v>0</v>
      </c>
      <c r="AW334" s="1124">
        <f t="shared" si="179"/>
        <v>0</v>
      </c>
      <c r="AX334" s="1124">
        <f t="shared" si="180"/>
        <v>0</v>
      </c>
      <c r="AY334" s="2928">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75"/>
      <c r="B335" s="2876"/>
      <c r="C335" s="2876"/>
      <c r="D335" s="2877"/>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4">
        <f t="shared" ref="AV335:AV366" si="207">A335</f>
        <v>0</v>
      </c>
      <c r="AW335" s="1124">
        <f t="shared" ref="AW335:AW366" si="208">B335</f>
        <v>0</v>
      </c>
      <c r="AX335" s="1124">
        <f t="shared" ref="AX335:AX366" si="209">C335</f>
        <v>0</v>
      </c>
      <c r="AY335" s="2928">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75"/>
      <c r="B336" s="2876"/>
      <c r="C336" s="2876"/>
      <c r="D336" s="2877"/>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4">
        <f t="shared" si="207"/>
        <v>0</v>
      </c>
      <c r="AW336" s="1124">
        <f t="shared" si="208"/>
        <v>0</v>
      </c>
      <c r="AX336" s="1124">
        <f t="shared" si="209"/>
        <v>0</v>
      </c>
      <c r="AY336" s="2928">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75"/>
      <c r="B337" s="2876"/>
      <c r="C337" s="2876"/>
      <c r="D337" s="2877"/>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4">
        <f t="shared" si="207"/>
        <v>0</v>
      </c>
      <c r="AW337" s="1124">
        <f t="shared" si="208"/>
        <v>0</v>
      </c>
      <c r="AX337" s="1124">
        <f t="shared" si="209"/>
        <v>0</v>
      </c>
      <c r="AY337" s="2928">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75"/>
      <c r="B338" s="2876"/>
      <c r="C338" s="2876"/>
      <c r="D338" s="2877"/>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4">
        <f t="shared" si="207"/>
        <v>0</v>
      </c>
      <c r="AW338" s="1124">
        <f t="shared" si="208"/>
        <v>0</v>
      </c>
      <c r="AX338" s="1124">
        <f t="shared" si="209"/>
        <v>0</v>
      </c>
      <c r="AY338" s="2928">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75"/>
      <c r="B339" s="2876"/>
      <c r="C339" s="2876"/>
      <c r="D339" s="2877"/>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4">
        <f t="shared" si="207"/>
        <v>0</v>
      </c>
      <c r="AW339" s="1124">
        <f t="shared" si="208"/>
        <v>0</v>
      </c>
      <c r="AX339" s="1124">
        <f t="shared" si="209"/>
        <v>0</v>
      </c>
      <c r="AY339" s="2928">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75"/>
      <c r="B340" s="2876"/>
      <c r="C340" s="2876"/>
      <c r="D340" s="2877"/>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4">
        <f t="shared" si="207"/>
        <v>0</v>
      </c>
      <c r="AW340" s="1124">
        <f t="shared" si="208"/>
        <v>0</v>
      </c>
      <c r="AX340" s="1124">
        <f t="shared" si="209"/>
        <v>0</v>
      </c>
      <c r="AY340" s="2928">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75"/>
      <c r="B341" s="2876"/>
      <c r="C341" s="2876"/>
      <c r="D341" s="2877"/>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4">
        <f t="shared" si="207"/>
        <v>0</v>
      </c>
      <c r="AW341" s="1124">
        <f t="shared" si="208"/>
        <v>0</v>
      </c>
      <c r="AX341" s="1124">
        <f t="shared" si="209"/>
        <v>0</v>
      </c>
      <c r="AY341" s="2928">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75"/>
      <c r="B342" s="2876"/>
      <c r="C342" s="2876"/>
      <c r="D342" s="2877"/>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4">
        <f t="shared" si="207"/>
        <v>0</v>
      </c>
      <c r="AW342" s="1124">
        <f t="shared" si="208"/>
        <v>0</v>
      </c>
      <c r="AX342" s="1124">
        <f t="shared" si="209"/>
        <v>0</v>
      </c>
      <c r="AY342" s="2928">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75"/>
      <c r="B343" s="2876"/>
      <c r="C343" s="2876"/>
      <c r="D343" s="2877"/>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4">
        <f t="shared" si="207"/>
        <v>0</v>
      </c>
      <c r="AW343" s="1124">
        <f t="shared" si="208"/>
        <v>0</v>
      </c>
      <c r="AX343" s="1124">
        <f t="shared" si="209"/>
        <v>0</v>
      </c>
      <c r="AY343" s="2928">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75"/>
      <c r="B344" s="2876"/>
      <c r="C344" s="2876"/>
      <c r="D344" s="2877"/>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4">
        <f t="shared" si="207"/>
        <v>0</v>
      </c>
      <c r="AW344" s="1124">
        <f t="shared" si="208"/>
        <v>0</v>
      </c>
      <c r="AX344" s="1124">
        <f t="shared" si="209"/>
        <v>0</v>
      </c>
      <c r="AY344" s="2928">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75"/>
      <c r="B345" s="2876"/>
      <c r="C345" s="2876"/>
      <c r="D345" s="2877"/>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4">
        <f t="shared" si="207"/>
        <v>0</v>
      </c>
      <c r="AW345" s="1124">
        <f t="shared" si="208"/>
        <v>0</v>
      </c>
      <c r="AX345" s="1124">
        <f t="shared" si="209"/>
        <v>0</v>
      </c>
      <c r="AY345" s="2928">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75"/>
      <c r="B346" s="2876"/>
      <c r="C346" s="2876"/>
      <c r="D346" s="2877"/>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4">
        <f t="shared" si="207"/>
        <v>0</v>
      </c>
      <c r="AW346" s="1124">
        <f t="shared" si="208"/>
        <v>0</v>
      </c>
      <c r="AX346" s="1124">
        <f t="shared" si="209"/>
        <v>0</v>
      </c>
      <c r="AY346" s="2928">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75"/>
      <c r="B347" s="2876"/>
      <c r="C347" s="2876"/>
      <c r="D347" s="2877"/>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4">
        <f t="shared" si="207"/>
        <v>0</v>
      </c>
      <c r="AW347" s="1124">
        <f t="shared" si="208"/>
        <v>0</v>
      </c>
      <c r="AX347" s="1124">
        <f t="shared" si="209"/>
        <v>0</v>
      </c>
      <c r="AY347" s="2928">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75"/>
      <c r="B348" s="2876"/>
      <c r="C348" s="2876"/>
      <c r="D348" s="2877"/>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4">
        <f t="shared" si="207"/>
        <v>0</v>
      </c>
      <c r="AW348" s="1124">
        <f t="shared" si="208"/>
        <v>0</v>
      </c>
      <c r="AX348" s="1124">
        <f t="shared" si="209"/>
        <v>0</v>
      </c>
      <c r="AY348" s="2928">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75"/>
      <c r="B349" s="2876"/>
      <c r="C349" s="2876"/>
      <c r="D349" s="2877"/>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4">
        <f t="shared" si="207"/>
        <v>0</v>
      </c>
      <c r="AW349" s="1124">
        <f t="shared" si="208"/>
        <v>0</v>
      </c>
      <c r="AX349" s="1124">
        <f t="shared" si="209"/>
        <v>0</v>
      </c>
      <c r="AY349" s="2928">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75"/>
      <c r="B350" s="2876"/>
      <c r="C350" s="2876"/>
      <c r="D350" s="2877"/>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4">
        <f t="shared" si="207"/>
        <v>0</v>
      </c>
      <c r="AW350" s="1124">
        <f t="shared" si="208"/>
        <v>0</v>
      </c>
      <c r="AX350" s="1124">
        <f t="shared" si="209"/>
        <v>0</v>
      </c>
      <c r="AY350" s="2928">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75"/>
      <c r="B351" s="2876"/>
      <c r="C351" s="2876"/>
      <c r="D351" s="2877"/>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4">
        <f t="shared" si="207"/>
        <v>0</v>
      </c>
      <c r="AW351" s="1124">
        <f t="shared" si="208"/>
        <v>0</v>
      </c>
      <c r="AX351" s="1124">
        <f t="shared" si="209"/>
        <v>0</v>
      </c>
      <c r="AY351" s="2928">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75"/>
      <c r="B352" s="2876"/>
      <c r="C352" s="2876"/>
      <c r="D352" s="2877"/>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4">
        <f t="shared" si="207"/>
        <v>0</v>
      </c>
      <c r="AW352" s="1124">
        <f t="shared" si="208"/>
        <v>0</v>
      </c>
      <c r="AX352" s="1124">
        <f t="shared" si="209"/>
        <v>0</v>
      </c>
      <c r="AY352" s="2928">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75"/>
      <c r="B353" s="2876"/>
      <c r="C353" s="2876"/>
      <c r="D353" s="2877"/>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4">
        <f t="shared" si="207"/>
        <v>0</v>
      </c>
      <c r="AW353" s="1124">
        <f t="shared" si="208"/>
        <v>0</v>
      </c>
      <c r="AX353" s="1124">
        <f t="shared" si="209"/>
        <v>0</v>
      </c>
      <c r="AY353" s="2928">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75"/>
      <c r="B354" s="2876"/>
      <c r="C354" s="2876"/>
      <c r="D354" s="2877"/>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4">
        <f t="shared" si="207"/>
        <v>0</v>
      </c>
      <c r="AW354" s="1124">
        <f t="shared" si="208"/>
        <v>0</v>
      </c>
      <c r="AX354" s="1124">
        <f t="shared" si="209"/>
        <v>0</v>
      </c>
      <c r="AY354" s="2928">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75"/>
      <c r="B355" s="2876"/>
      <c r="C355" s="2876"/>
      <c r="D355" s="2877"/>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4">
        <f t="shared" si="207"/>
        <v>0</v>
      </c>
      <c r="AW355" s="1124">
        <f t="shared" si="208"/>
        <v>0</v>
      </c>
      <c r="AX355" s="1124">
        <f t="shared" si="209"/>
        <v>0</v>
      </c>
      <c r="AY355" s="2928">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75"/>
      <c r="B356" s="2876"/>
      <c r="C356" s="2876"/>
      <c r="D356" s="2877"/>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4">
        <f t="shared" si="207"/>
        <v>0</v>
      </c>
      <c r="AW356" s="1124">
        <f t="shared" si="208"/>
        <v>0</v>
      </c>
      <c r="AX356" s="1124">
        <f t="shared" si="209"/>
        <v>0</v>
      </c>
      <c r="AY356" s="2928">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75"/>
      <c r="B357" s="2876"/>
      <c r="C357" s="2876"/>
      <c r="D357" s="2877"/>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4">
        <f t="shared" si="207"/>
        <v>0</v>
      </c>
      <c r="AW357" s="1124">
        <f t="shared" si="208"/>
        <v>0</v>
      </c>
      <c r="AX357" s="1124">
        <f t="shared" si="209"/>
        <v>0</v>
      </c>
      <c r="AY357" s="2928">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75"/>
      <c r="B358" s="2876"/>
      <c r="C358" s="2876"/>
      <c r="D358" s="2877"/>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4">
        <f t="shared" si="207"/>
        <v>0</v>
      </c>
      <c r="AW358" s="1124">
        <f t="shared" si="208"/>
        <v>0</v>
      </c>
      <c r="AX358" s="1124">
        <f t="shared" si="209"/>
        <v>0</v>
      </c>
      <c r="AY358" s="2928">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75"/>
      <c r="B359" s="2876"/>
      <c r="C359" s="2876"/>
      <c r="D359" s="2877"/>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4">
        <f t="shared" si="207"/>
        <v>0</v>
      </c>
      <c r="AW359" s="1124">
        <f t="shared" si="208"/>
        <v>0</v>
      </c>
      <c r="AX359" s="1124">
        <f t="shared" si="209"/>
        <v>0</v>
      </c>
      <c r="AY359" s="2928">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75"/>
      <c r="B360" s="2876"/>
      <c r="C360" s="2876"/>
      <c r="D360" s="2877"/>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4">
        <f t="shared" si="207"/>
        <v>0</v>
      </c>
      <c r="AW360" s="1124">
        <f t="shared" si="208"/>
        <v>0</v>
      </c>
      <c r="AX360" s="1124">
        <f t="shared" si="209"/>
        <v>0</v>
      </c>
      <c r="AY360" s="2928">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75"/>
      <c r="B361" s="2876"/>
      <c r="C361" s="2876"/>
      <c r="D361" s="2877"/>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4">
        <f t="shared" si="207"/>
        <v>0</v>
      </c>
      <c r="AW361" s="1124">
        <f t="shared" si="208"/>
        <v>0</v>
      </c>
      <c r="AX361" s="1124">
        <f t="shared" si="209"/>
        <v>0</v>
      </c>
      <c r="AY361" s="2928">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75"/>
      <c r="B362" s="2876"/>
      <c r="C362" s="2876"/>
      <c r="D362" s="2877"/>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4">
        <f t="shared" si="207"/>
        <v>0</v>
      </c>
      <c r="AW362" s="1124">
        <f t="shared" si="208"/>
        <v>0</v>
      </c>
      <c r="AX362" s="1124">
        <f t="shared" si="209"/>
        <v>0</v>
      </c>
      <c r="AY362" s="2928">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75"/>
      <c r="B363" s="2876"/>
      <c r="C363" s="2876"/>
      <c r="D363" s="2877"/>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4">
        <f t="shared" si="207"/>
        <v>0</v>
      </c>
      <c r="AW363" s="1124">
        <f t="shared" si="208"/>
        <v>0</v>
      </c>
      <c r="AX363" s="1124">
        <f t="shared" si="209"/>
        <v>0</v>
      </c>
      <c r="AY363" s="2928">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75"/>
      <c r="B364" s="2876"/>
      <c r="C364" s="2876"/>
      <c r="D364" s="2877"/>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4">
        <f t="shared" si="207"/>
        <v>0</v>
      </c>
      <c r="AW364" s="1124">
        <f t="shared" si="208"/>
        <v>0</v>
      </c>
      <c r="AX364" s="1124">
        <f t="shared" si="209"/>
        <v>0</v>
      </c>
      <c r="AY364" s="2928">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75"/>
      <c r="B365" s="2876"/>
      <c r="C365" s="2876"/>
      <c r="D365" s="2877"/>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4">
        <f t="shared" si="207"/>
        <v>0</v>
      </c>
      <c r="AW365" s="1124">
        <f t="shared" si="208"/>
        <v>0</v>
      </c>
      <c r="AX365" s="1124">
        <f t="shared" si="209"/>
        <v>0</v>
      </c>
      <c r="AY365" s="2928">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75"/>
      <c r="B366" s="2876"/>
      <c r="C366" s="2876"/>
      <c r="D366" s="2877"/>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4">
        <f t="shared" si="207"/>
        <v>0</v>
      </c>
      <c r="AW366" s="1124">
        <f t="shared" si="208"/>
        <v>0</v>
      </c>
      <c r="AX366" s="1124">
        <f t="shared" si="209"/>
        <v>0</v>
      </c>
      <c r="AY366" s="2928">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75"/>
      <c r="B367" s="2876"/>
      <c r="C367" s="2876"/>
      <c r="D367" s="2877"/>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4">
        <f t="shared" ref="AV367:AV397" si="236">A367</f>
        <v>0</v>
      </c>
      <c r="AW367" s="1124">
        <f t="shared" ref="AW367:AW397" si="237">B367</f>
        <v>0</v>
      </c>
      <c r="AX367" s="1124">
        <f t="shared" ref="AX367:AX397" si="238">C367</f>
        <v>0</v>
      </c>
      <c r="AY367" s="2928">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75"/>
      <c r="B368" s="2876"/>
      <c r="C368" s="2876"/>
      <c r="D368" s="2877"/>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4">
        <f t="shared" si="236"/>
        <v>0</v>
      </c>
      <c r="AW368" s="1124">
        <f t="shared" si="237"/>
        <v>0</v>
      </c>
      <c r="AX368" s="1124">
        <f t="shared" si="238"/>
        <v>0</v>
      </c>
      <c r="AY368" s="2928">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75"/>
      <c r="B369" s="2876"/>
      <c r="C369" s="2876"/>
      <c r="D369" s="2877"/>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4">
        <f t="shared" si="236"/>
        <v>0</v>
      </c>
      <c r="AW369" s="1124">
        <f t="shared" si="237"/>
        <v>0</v>
      </c>
      <c r="AX369" s="1124">
        <f t="shared" si="238"/>
        <v>0</v>
      </c>
      <c r="AY369" s="2928">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75"/>
      <c r="B370" s="2876"/>
      <c r="C370" s="2876"/>
      <c r="D370" s="2877"/>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4">
        <f t="shared" si="236"/>
        <v>0</v>
      </c>
      <c r="AW370" s="1124">
        <f t="shared" si="237"/>
        <v>0</v>
      </c>
      <c r="AX370" s="1124">
        <f t="shared" si="238"/>
        <v>0</v>
      </c>
      <c r="AY370" s="2928">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75"/>
      <c r="B371" s="2876"/>
      <c r="C371" s="2876"/>
      <c r="D371" s="2877"/>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4">
        <f t="shared" si="236"/>
        <v>0</v>
      </c>
      <c r="AW371" s="1124">
        <f t="shared" si="237"/>
        <v>0</v>
      </c>
      <c r="AX371" s="1124">
        <f t="shared" si="238"/>
        <v>0</v>
      </c>
      <c r="AY371" s="2928">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75"/>
      <c r="B372" s="2876"/>
      <c r="C372" s="2876"/>
      <c r="D372" s="2877"/>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4">
        <f t="shared" si="236"/>
        <v>0</v>
      </c>
      <c r="AW372" s="1124">
        <f t="shared" si="237"/>
        <v>0</v>
      </c>
      <c r="AX372" s="1124">
        <f t="shared" si="238"/>
        <v>0</v>
      </c>
      <c r="AY372" s="2928">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75"/>
      <c r="B373" s="2876"/>
      <c r="C373" s="2876"/>
      <c r="D373" s="2877"/>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4">
        <f t="shared" si="236"/>
        <v>0</v>
      </c>
      <c r="AW373" s="1124">
        <f t="shared" si="237"/>
        <v>0</v>
      </c>
      <c r="AX373" s="1124">
        <f t="shared" si="238"/>
        <v>0</v>
      </c>
      <c r="AY373" s="2928">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75"/>
      <c r="B374" s="2876"/>
      <c r="C374" s="2876"/>
      <c r="D374" s="2877"/>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4">
        <f t="shared" si="236"/>
        <v>0</v>
      </c>
      <c r="AW374" s="1124">
        <f t="shared" si="237"/>
        <v>0</v>
      </c>
      <c r="AX374" s="1124">
        <f t="shared" si="238"/>
        <v>0</v>
      </c>
      <c r="AY374" s="2928">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75"/>
      <c r="B375" s="2876"/>
      <c r="C375" s="2876"/>
      <c r="D375" s="2877"/>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4">
        <f t="shared" si="236"/>
        <v>0</v>
      </c>
      <c r="AW375" s="1124">
        <f t="shared" si="237"/>
        <v>0</v>
      </c>
      <c r="AX375" s="1124">
        <f t="shared" si="238"/>
        <v>0</v>
      </c>
      <c r="AY375" s="2928">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75"/>
      <c r="B376" s="2876"/>
      <c r="C376" s="2876"/>
      <c r="D376" s="2877"/>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4">
        <f t="shared" si="236"/>
        <v>0</v>
      </c>
      <c r="AW376" s="1124">
        <f t="shared" si="237"/>
        <v>0</v>
      </c>
      <c r="AX376" s="1124">
        <f t="shared" si="238"/>
        <v>0</v>
      </c>
      <c r="AY376" s="2928">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75"/>
      <c r="B377" s="2876"/>
      <c r="C377" s="2876"/>
      <c r="D377" s="2877"/>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4">
        <f t="shared" si="236"/>
        <v>0</v>
      </c>
      <c r="AW377" s="1124">
        <f t="shared" si="237"/>
        <v>0</v>
      </c>
      <c r="AX377" s="1124">
        <f t="shared" si="238"/>
        <v>0</v>
      </c>
      <c r="AY377" s="2928">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75"/>
      <c r="B378" s="2876"/>
      <c r="C378" s="2876"/>
      <c r="D378" s="2877"/>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4">
        <f t="shared" si="236"/>
        <v>0</v>
      </c>
      <c r="AW378" s="1124">
        <f t="shared" si="237"/>
        <v>0</v>
      </c>
      <c r="AX378" s="1124">
        <f t="shared" si="238"/>
        <v>0</v>
      </c>
      <c r="AY378" s="2928">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75"/>
      <c r="B379" s="2876"/>
      <c r="C379" s="2876"/>
      <c r="D379" s="2877"/>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4">
        <f t="shared" si="236"/>
        <v>0</v>
      </c>
      <c r="AW379" s="1124">
        <f t="shared" si="237"/>
        <v>0</v>
      </c>
      <c r="AX379" s="1124">
        <f t="shared" si="238"/>
        <v>0</v>
      </c>
      <c r="AY379" s="2928">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75"/>
      <c r="B380" s="2876"/>
      <c r="C380" s="2876"/>
      <c r="D380" s="2877"/>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4">
        <f t="shared" si="236"/>
        <v>0</v>
      </c>
      <c r="AW380" s="1124">
        <f t="shared" si="237"/>
        <v>0</v>
      </c>
      <c r="AX380" s="1124">
        <f t="shared" si="238"/>
        <v>0</v>
      </c>
      <c r="AY380" s="2928">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75"/>
      <c r="B381" s="2876"/>
      <c r="C381" s="2876"/>
      <c r="D381" s="2877"/>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4">
        <f t="shared" si="236"/>
        <v>0</v>
      </c>
      <c r="AW381" s="1124">
        <f t="shared" si="237"/>
        <v>0</v>
      </c>
      <c r="AX381" s="1124">
        <f t="shared" si="238"/>
        <v>0</v>
      </c>
      <c r="AY381" s="2928">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75"/>
      <c r="B382" s="2876"/>
      <c r="C382" s="2876"/>
      <c r="D382" s="2877"/>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4">
        <f t="shared" si="236"/>
        <v>0</v>
      </c>
      <c r="AW382" s="1124">
        <f t="shared" si="237"/>
        <v>0</v>
      </c>
      <c r="AX382" s="1124">
        <f t="shared" si="238"/>
        <v>0</v>
      </c>
      <c r="AY382" s="2928">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75"/>
      <c r="B383" s="2876"/>
      <c r="C383" s="2876"/>
      <c r="D383" s="2877"/>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4">
        <f t="shared" si="236"/>
        <v>0</v>
      </c>
      <c r="AW383" s="1124">
        <f t="shared" si="237"/>
        <v>0</v>
      </c>
      <c r="AX383" s="1124">
        <f t="shared" si="238"/>
        <v>0</v>
      </c>
      <c r="AY383" s="2928">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75"/>
      <c r="B384" s="2876"/>
      <c r="C384" s="2876"/>
      <c r="D384" s="2877"/>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4">
        <f t="shared" si="236"/>
        <v>0</v>
      </c>
      <c r="AW384" s="1124">
        <f t="shared" si="237"/>
        <v>0</v>
      </c>
      <c r="AX384" s="1124">
        <f t="shared" si="238"/>
        <v>0</v>
      </c>
      <c r="AY384" s="2928">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75"/>
      <c r="B385" s="2876"/>
      <c r="C385" s="2876"/>
      <c r="D385" s="2877"/>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4">
        <f t="shared" si="236"/>
        <v>0</v>
      </c>
      <c r="AW385" s="1124">
        <f t="shared" si="237"/>
        <v>0</v>
      </c>
      <c r="AX385" s="1124">
        <f t="shared" si="238"/>
        <v>0</v>
      </c>
      <c r="AY385" s="2928">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75"/>
      <c r="B386" s="2876"/>
      <c r="C386" s="2876"/>
      <c r="D386" s="2877"/>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4">
        <f t="shared" si="236"/>
        <v>0</v>
      </c>
      <c r="AW386" s="1124">
        <f t="shared" si="237"/>
        <v>0</v>
      </c>
      <c r="AX386" s="1124">
        <f t="shared" si="238"/>
        <v>0</v>
      </c>
      <c r="AY386" s="2928">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75"/>
      <c r="B387" s="2876"/>
      <c r="C387" s="2876"/>
      <c r="D387" s="2877"/>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4">
        <f t="shared" si="236"/>
        <v>0</v>
      </c>
      <c r="AW387" s="1124">
        <f t="shared" si="237"/>
        <v>0</v>
      </c>
      <c r="AX387" s="1124">
        <f t="shared" si="238"/>
        <v>0</v>
      </c>
      <c r="AY387" s="2928">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75"/>
      <c r="B388" s="2876"/>
      <c r="C388" s="2876"/>
      <c r="D388" s="2877"/>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4">
        <f t="shared" si="236"/>
        <v>0</v>
      </c>
      <c r="AW388" s="1124">
        <f t="shared" si="237"/>
        <v>0</v>
      </c>
      <c r="AX388" s="1124">
        <f t="shared" si="238"/>
        <v>0</v>
      </c>
      <c r="AY388" s="2928">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75"/>
      <c r="B389" s="2876"/>
      <c r="C389" s="2876"/>
      <c r="D389" s="2877"/>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4">
        <f t="shared" si="236"/>
        <v>0</v>
      </c>
      <c r="AW389" s="1124">
        <f t="shared" si="237"/>
        <v>0</v>
      </c>
      <c r="AX389" s="1124">
        <f t="shared" si="238"/>
        <v>0</v>
      </c>
      <c r="AY389" s="2928">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75"/>
      <c r="B390" s="2876"/>
      <c r="C390" s="2876"/>
      <c r="D390" s="2877"/>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4">
        <f t="shared" si="236"/>
        <v>0</v>
      </c>
      <c r="AW390" s="1124">
        <f t="shared" si="237"/>
        <v>0</v>
      </c>
      <c r="AX390" s="1124">
        <f t="shared" si="238"/>
        <v>0</v>
      </c>
      <c r="AY390" s="2928">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75"/>
      <c r="B391" s="2876"/>
      <c r="C391" s="2876"/>
      <c r="D391" s="2877"/>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4">
        <f t="shared" si="236"/>
        <v>0</v>
      </c>
      <c r="AW391" s="1124">
        <f t="shared" si="237"/>
        <v>0</v>
      </c>
      <c r="AX391" s="1124">
        <f t="shared" si="238"/>
        <v>0</v>
      </c>
      <c r="AY391" s="2928">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75"/>
      <c r="B392" s="2876"/>
      <c r="C392" s="2876"/>
      <c r="D392" s="2877"/>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4">
        <f t="shared" si="236"/>
        <v>0</v>
      </c>
      <c r="AW392" s="1124">
        <f t="shared" si="237"/>
        <v>0</v>
      </c>
      <c r="AX392" s="1124">
        <f t="shared" si="238"/>
        <v>0</v>
      </c>
      <c r="AY392" s="2928">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75"/>
      <c r="B393" s="2876"/>
      <c r="C393" s="2876"/>
      <c r="D393" s="2877"/>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4">
        <f t="shared" si="236"/>
        <v>0</v>
      </c>
      <c r="AW393" s="1124">
        <f t="shared" si="237"/>
        <v>0</v>
      </c>
      <c r="AX393" s="1124">
        <f t="shared" si="238"/>
        <v>0</v>
      </c>
      <c r="AY393" s="2928">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75"/>
      <c r="B394" s="2876"/>
      <c r="C394" s="2876"/>
      <c r="D394" s="2877"/>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4">
        <f t="shared" si="236"/>
        <v>0</v>
      </c>
      <c r="AW394" s="1124">
        <f t="shared" si="237"/>
        <v>0</v>
      </c>
      <c r="AX394" s="1124">
        <f t="shared" si="238"/>
        <v>0</v>
      </c>
      <c r="AY394" s="2928">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75"/>
      <c r="B395" s="2875"/>
      <c r="C395" s="2875"/>
      <c r="D395" s="2877"/>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4">
        <f t="shared" si="236"/>
        <v>0</v>
      </c>
      <c r="AW395" s="1124">
        <f t="shared" si="237"/>
        <v>0</v>
      </c>
      <c r="AX395" s="1124">
        <f t="shared" si="238"/>
        <v>0</v>
      </c>
      <c r="AY395" s="2928">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75"/>
      <c r="B396" s="2875"/>
      <c r="C396" s="2875"/>
      <c r="D396" s="2877"/>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4">
        <f t="shared" si="236"/>
        <v>0</v>
      </c>
      <c r="AW396" s="1124">
        <f t="shared" si="237"/>
        <v>0</v>
      </c>
      <c r="AX396" s="1124">
        <f t="shared" si="238"/>
        <v>0</v>
      </c>
      <c r="AY396" s="2928">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75"/>
      <c r="B397" s="2875"/>
      <c r="C397" s="2875"/>
      <c r="D397" s="2877"/>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4">
        <f t="shared" si="236"/>
        <v>0</v>
      </c>
      <c r="AW397" s="1124">
        <f t="shared" si="237"/>
        <v>0</v>
      </c>
      <c r="AX397" s="1124">
        <f t="shared" si="238"/>
        <v>0</v>
      </c>
      <c r="AY397" s="2928">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75"/>
      <c r="B398" s="2876"/>
      <c r="C398" s="2876"/>
      <c r="D398" s="2877"/>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4">
        <f t="shared" ref="AV398:AV492" si="243">A398</f>
        <v>0</v>
      </c>
      <c r="AW398" s="1124">
        <f t="shared" ref="AW398:AW492" si="244">B398</f>
        <v>0</v>
      </c>
      <c r="AX398" s="1124">
        <f t="shared" ref="AX398:AX492" si="245">C398</f>
        <v>0</v>
      </c>
      <c r="AY398" s="2928">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75"/>
      <c r="B399" s="2876"/>
      <c r="C399" s="2876"/>
      <c r="D399" s="2877"/>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4">
        <f t="shared" si="243"/>
        <v>0</v>
      </c>
      <c r="AW399" s="1124">
        <f t="shared" si="244"/>
        <v>0</v>
      </c>
      <c r="AX399" s="1124">
        <f t="shared" si="245"/>
        <v>0</v>
      </c>
      <c r="AY399" s="2928">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75"/>
      <c r="B400" s="2876"/>
      <c r="C400" s="2876"/>
      <c r="D400" s="2877"/>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4">
        <f t="shared" si="243"/>
        <v>0</v>
      </c>
      <c r="AW400" s="1124">
        <f t="shared" si="244"/>
        <v>0</v>
      </c>
      <c r="AX400" s="1124">
        <f t="shared" si="245"/>
        <v>0</v>
      </c>
      <c r="AY400" s="2928">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75"/>
      <c r="B401" s="2876"/>
      <c r="C401" s="2876"/>
      <c r="D401" s="2877"/>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4">
        <f t="shared" si="243"/>
        <v>0</v>
      </c>
      <c r="AW401" s="1124">
        <f t="shared" si="244"/>
        <v>0</v>
      </c>
      <c r="AX401" s="1124">
        <f t="shared" si="245"/>
        <v>0</v>
      </c>
      <c r="AY401" s="2928">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75"/>
      <c r="B402" s="2876"/>
      <c r="C402" s="2876"/>
      <c r="D402" s="2877"/>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4">
        <f t="shared" si="243"/>
        <v>0</v>
      </c>
      <c r="AW402" s="1124">
        <f t="shared" si="244"/>
        <v>0</v>
      </c>
      <c r="AX402" s="1124">
        <f t="shared" si="245"/>
        <v>0</v>
      </c>
      <c r="AY402" s="2928">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75"/>
      <c r="B403" s="2876"/>
      <c r="C403" s="2876"/>
      <c r="D403" s="2877"/>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4">
        <f t="shared" si="243"/>
        <v>0</v>
      </c>
      <c r="AW403" s="1124">
        <f t="shared" si="244"/>
        <v>0</v>
      </c>
      <c r="AX403" s="1124">
        <f t="shared" si="245"/>
        <v>0</v>
      </c>
      <c r="AY403" s="2928">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75"/>
      <c r="B404" s="2876"/>
      <c r="C404" s="2876"/>
      <c r="D404" s="2877"/>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4">
        <f t="shared" si="243"/>
        <v>0</v>
      </c>
      <c r="AW404" s="1124">
        <f t="shared" si="244"/>
        <v>0</v>
      </c>
      <c r="AX404" s="1124">
        <f t="shared" si="245"/>
        <v>0</v>
      </c>
      <c r="AY404" s="2928">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75"/>
      <c r="B405" s="2876"/>
      <c r="C405" s="2876"/>
      <c r="D405" s="2877"/>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4">
        <f t="shared" si="243"/>
        <v>0</v>
      </c>
      <c r="AW405" s="1124">
        <f t="shared" si="244"/>
        <v>0</v>
      </c>
      <c r="AX405" s="1124">
        <f t="shared" si="245"/>
        <v>0</v>
      </c>
      <c r="AY405" s="2928">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75"/>
      <c r="B406" s="2876"/>
      <c r="C406" s="2876"/>
      <c r="D406" s="2877"/>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4">
        <f t="shared" si="243"/>
        <v>0</v>
      </c>
      <c r="AW406" s="1124">
        <f t="shared" si="244"/>
        <v>0</v>
      </c>
      <c r="AX406" s="1124">
        <f t="shared" si="245"/>
        <v>0</v>
      </c>
      <c r="AY406" s="2928">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75"/>
      <c r="B407" s="2876"/>
      <c r="C407" s="2876"/>
      <c r="D407" s="2877"/>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4">
        <f t="shared" si="243"/>
        <v>0</v>
      </c>
      <c r="AW407" s="1124">
        <f t="shared" si="244"/>
        <v>0</v>
      </c>
      <c r="AX407" s="1124">
        <f t="shared" si="245"/>
        <v>0</v>
      </c>
      <c r="AY407" s="2928">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75"/>
      <c r="B408" s="2876"/>
      <c r="C408" s="2876"/>
      <c r="D408" s="2877"/>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4">
        <f t="shared" si="243"/>
        <v>0</v>
      </c>
      <c r="AW408" s="1124">
        <f t="shared" si="244"/>
        <v>0</v>
      </c>
      <c r="AX408" s="1124">
        <f t="shared" si="245"/>
        <v>0</v>
      </c>
      <c r="AY408" s="2928">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75"/>
      <c r="B409" s="2876"/>
      <c r="C409" s="2876"/>
      <c r="D409" s="2877"/>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4">
        <f t="shared" si="243"/>
        <v>0</v>
      </c>
      <c r="AW409" s="1124">
        <f t="shared" si="244"/>
        <v>0</v>
      </c>
      <c r="AX409" s="1124">
        <f t="shared" si="245"/>
        <v>0</v>
      </c>
      <c r="AY409" s="2928">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75"/>
      <c r="B410" s="2876"/>
      <c r="C410" s="2876"/>
      <c r="D410" s="2877"/>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4">
        <f t="shared" si="243"/>
        <v>0</v>
      </c>
      <c r="AW410" s="1124">
        <f t="shared" si="244"/>
        <v>0</v>
      </c>
      <c r="AX410" s="1124">
        <f t="shared" si="245"/>
        <v>0</v>
      </c>
      <c r="AY410" s="2928">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75"/>
      <c r="B411" s="2876"/>
      <c r="C411" s="2876"/>
      <c r="D411" s="2877"/>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4">
        <f t="shared" si="243"/>
        <v>0</v>
      </c>
      <c r="AW411" s="1124">
        <f t="shared" si="244"/>
        <v>0</v>
      </c>
      <c r="AX411" s="1124">
        <f t="shared" si="245"/>
        <v>0</v>
      </c>
      <c r="AY411" s="2928">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75"/>
      <c r="B412" s="2876"/>
      <c r="C412" s="2876"/>
      <c r="D412" s="2877"/>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4">
        <f t="shared" si="243"/>
        <v>0</v>
      </c>
      <c r="AW412" s="1124">
        <f t="shared" si="244"/>
        <v>0</v>
      </c>
      <c r="AX412" s="1124">
        <f t="shared" si="245"/>
        <v>0</v>
      </c>
      <c r="AY412" s="2928">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75"/>
      <c r="B413" s="2876"/>
      <c r="C413" s="2876"/>
      <c r="D413" s="2877"/>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4">
        <f t="shared" si="243"/>
        <v>0</v>
      </c>
      <c r="AW413" s="1124">
        <f t="shared" si="244"/>
        <v>0</v>
      </c>
      <c r="AX413" s="1124">
        <f t="shared" si="245"/>
        <v>0</v>
      </c>
      <c r="AY413" s="2928">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75"/>
      <c r="B414" s="2876"/>
      <c r="C414" s="2876"/>
      <c r="D414" s="2877"/>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4">
        <f t="shared" si="243"/>
        <v>0</v>
      </c>
      <c r="AW414" s="1124">
        <f t="shared" si="244"/>
        <v>0</v>
      </c>
      <c r="AX414" s="1124">
        <f t="shared" si="245"/>
        <v>0</v>
      </c>
      <c r="AY414" s="2928">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75"/>
      <c r="B415" s="2876"/>
      <c r="C415" s="2876"/>
      <c r="D415" s="2877"/>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4">
        <f t="shared" si="243"/>
        <v>0</v>
      </c>
      <c r="AW415" s="1124">
        <f t="shared" si="244"/>
        <v>0</v>
      </c>
      <c r="AX415" s="1124">
        <f t="shared" si="245"/>
        <v>0</v>
      </c>
      <c r="AY415" s="2928">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75"/>
      <c r="B416" s="2876"/>
      <c r="C416" s="2876"/>
      <c r="D416" s="2877"/>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4">
        <f t="shared" si="243"/>
        <v>0</v>
      </c>
      <c r="AW416" s="1124">
        <f t="shared" si="244"/>
        <v>0</v>
      </c>
      <c r="AX416" s="1124">
        <f t="shared" si="245"/>
        <v>0</v>
      </c>
      <c r="AY416" s="2928">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75"/>
      <c r="B417" s="2876"/>
      <c r="C417" s="2876"/>
      <c r="D417" s="2877"/>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4">
        <f t="shared" si="243"/>
        <v>0</v>
      </c>
      <c r="AW417" s="1124">
        <f t="shared" si="244"/>
        <v>0</v>
      </c>
      <c r="AX417" s="1124">
        <f t="shared" si="245"/>
        <v>0</v>
      </c>
      <c r="AY417" s="2928">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75"/>
      <c r="B418" s="2876"/>
      <c r="C418" s="2876"/>
      <c r="D418" s="2877"/>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4">
        <f t="shared" si="243"/>
        <v>0</v>
      </c>
      <c r="AW418" s="1124">
        <f t="shared" si="244"/>
        <v>0</v>
      </c>
      <c r="AX418" s="1124">
        <f t="shared" si="245"/>
        <v>0</v>
      </c>
      <c r="AY418" s="2928">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75"/>
      <c r="B419" s="2876"/>
      <c r="C419" s="2876"/>
      <c r="D419" s="2877"/>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4">
        <f t="shared" si="243"/>
        <v>0</v>
      </c>
      <c r="AW419" s="1124">
        <f t="shared" si="244"/>
        <v>0</v>
      </c>
      <c r="AX419" s="1124">
        <f t="shared" si="245"/>
        <v>0</v>
      </c>
      <c r="AY419" s="2928">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75"/>
      <c r="B420" s="2876"/>
      <c r="C420" s="2876"/>
      <c r="D420" s="2877"/>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4">
        <f t="shared" si="243"/>
        <v>0</v>
      </c>
      <c r="AW420" s="1124">
        <f t="shared" si="244"/>
        <v>0</v>
      </c>
      <c r="AX420" s="1124">
        <f t="shared" si="245"/>
        <v>0</v>
      </c>
      <c r="AY420" s="2928">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75"/>
      <c r="B421" s="2876"/>
      <c r="C421" s="2876"/>
      <c r="D421" s="2877"/>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4">
        <f t="shared" si="243"/>
        <v>0</v>
      </c>
      <c r="AW421" s="1124">
        <f t="shared" si="244"/>
        <v>0</v>
      </c>
      <c r="AX421" s="1124">
        <f t="shared" si="245"/>
        <v>0</v>
      </c>
      <c r="AY421" s="2928">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75"/>
      <c r="B422" s="2876"/>
      <c r="C422" s="2876"/>
      <c r="D422" s="2877"/>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4">
        <f t="shared" si="243"/>
        <v>0</v>
      </c>
      <c r="AW422" s="1124">
        <f t="shared" si="244"/>
        <v>0</v>
      </c>
      <c r="AX422" s="1124">
        <f t="shared" si="245"/>
        <v>0</v>
      </c>
      <c r="AY422" s="2928">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75"/>
      <c r="B423" s="2876"/>
      <c r="C423" s="2876"/>
      <c r="D423" s="2877"/>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4">
        <f t="shared" si="243"/>
        <v>0</v>
      </c>
      <c r="AW423" s="1124">
        <f t="shared" si="244"/>
        <v>0</v>
      </c>
      <c r="AX423" s="1124">
        <f t="shared" si="245"/>
        <v>0</v>
      </c>
      <c r="AY423" s="2928">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75"/>
      <c r="B424" s="2876"/>
      <c r="C424" s="2876"/>
      <c r="D424" s="2877"/>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4">
        <f t="shared" si="243"/>
        <v>0</v>
      </c>
      <c r="AW424" s="1124">
        <f t="shared" si="244"/>
        <v>0</v>
      </c>
      <c r="AX424" s="1124">
        <f t="shared" si="245"/>
        <v>0</v>
      </c>
      <c r="AY424" s="2928">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75"/>
      <c r="B425" s="2876"/>
      <c r="C425" s="2876"/>
      <c r="D425" s="2877"/>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4">
        <f t="shared" si="243"/>
        <v>0</v>
      </c>
      <c r="AW425" s="1124">
        <f t="shared" si="244"/>
        <v>0</v>
      </c>
      <c r="AX425" s="1124">
        <f t="shared" si="245"/>
        <v>0</v>
      </c>
      <c r="AY425" s="2928">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75"/>
      <c r="B426" s="2876"/>
      <c r="C426" s="2876"/>
      <c r="D426" s="2877"/>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4">
        <f t="shared" si="243"/>
        <v>0</v>
      </c>
      <c r="AW426" s="1124">
        <f t="shared" si="244"/>
        <v>0</v>
      </c>
      <c r="AX426" s="1124">
        <f t="shared" si="245"/>
        <v>0</v>
      </c>
      <c r="AY426" s="2928">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75"/>
      <c r="B427" s="2876"/>
      <c r="C427" s="2876"/>
      <c r="D427" s="2877"/>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4">
        <f t="shared" si="243"/>
        <v>0</v>
      </c>
      <c r="AW427" s="1124">
        <f t="shared" si="244"/>
        <v>0</v>
      </c>
      <c r="AX427" s="1124">
        <f t="shared" si="245"/>
        <v>0</v>
      </c>
      <c r="AY427" s="2928">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75"/>
      <c r="B428" s="2876"/>
      <c r="C428" s="2876"/>
      <c r="D428" s="2877"/>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4">
        <f t="shared" si="243"/>
        <v>0</v>
      </c>
      <c r="AW428" s="1124">
        <f t="shared" si="244"/>
        <v>0</v>
      </c>
      <c r="AX428" s="1124">
        <f t="shared" si="245"/>
        <v>0</v>
      </c>
      <c r="AY428" s="2928">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75"/>
      <c r="B429" s="2876"/>
      <c r="C429" s="2876"/>
      <c r="D429" s="2877"/>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4">
        <f t="shared" si="243"/>
        <v>0</v>
      </c>
      <c r="AW429" s="1124">
        <f t="shared" si="244"/>
        <v>0</v>
      </c>
      <c r="AX429" s="1124">
        <f t="shared" si="245"/>
        <v>0</v>
      </c>
      <c r="AY429" s="2928">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75"/>
      <c r="B430" s="2876"/>
      <c r="C430" s="2876"/>
      <c r="D430" s="2877"/>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4">
        <f t="shared" si="243"/>
        <v>0</v>
      </c>
      <c r="AW430" s="1124">
        <f t="shared" si="244"/>
        <v>0</v>
      </c>
      <c r="AX430" s="1124">
        <f t="shared" si="245"/>
        <v>0</v>
      </c>
      <c r="AY430" s="2928">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75"/>
      <c r="B431" s="2876"/>
      <c r="C431" s="2876"/>
      <c r="D431" s="2877"/>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4">
        <f t="shared" si="243"/>
        <v>0</v>
      </c>
      <c r="AW431" s="1124">
        <f t="shared" si="244"/>
        <v>0</v>
      </c>
      <c r="AX431" s="1124">
        <f t="shared" si="245"/>
        <v>0</v>
      </c>
      <c r="AY431" s="2928">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75"/>
      <c r="B432" s="2876"/>
      <c r="C432" s="2876"/>
      <c r="D432" s="2877"/>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4">
        <f t="shared" si="243"/>
        <v>0</v>
      </c>
      <c r="AW432" s="1124">
        <f t="shared" si="244"/>
        <v>0</v>
      </c>
      <c r="AX432" s="1124">
        <f t="shared" si="245"/>
        <v>0</v>
      </c>
      <c r="AY432" s="2928">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75"/>
      <c r="B433" s="2876"/>
      <c r="C433" s="2876"/>
      <c r="D433" s="2877"/>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4">
        <f t="shared" si="243"/>
        <v>0</v>
      </c>
      <c r="AW433" s="1124">
        <f t="shared" si="244"/>
        <v>0</v>
      </c>
      <c r="AX433" s="1124">
        <f t="shared" si="245"/>
        <v>0</v>
      </c>
      <c r="AY433" s="2928">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75"/>
      <c r="B434" s="2876"/>
      <c r="C434" s="2876"/>
      <c r="D434" s="2877"/>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4">
        <f t="shared" si="243"/>
        <v>0</v>
      </c>
      <c r="AW434" s="1124">
        <f t="shared" si="244"/>
        <v>0</v>
      </c>
      <c r="AX434" s="1124">
        <f t="shared" si="245"/>
        <v>0</v>
      </c>
      <c r="AY434" s="2928">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75"/>
      <c r="B435" s="2876"/>
      <c r="C435" s="2876"/>
      <c r="D435" s="2877"/>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4">
        <f t="shared" si="243"/>
        <v>0</v>
      </c>
      <c r="AW435" s="1124">
        <f t="shared" si="244"/>
        <v>0</v>
      </c>
      <c r="AX435" s="1124">
        <f t="shared" si="245"/>
        <v>0</v>
      </c>
      <c r="AY435" s="2928">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75"/>
      <c r="B436" s="2876"/>
      <c r="C436" s="2876"/>
      <c r="D436" s="2877"/>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4">
        <f t="shared" si="243"/>
        <v>0</v>
      </c>
      <c r="AW436" s="1124">
        <f t="shared" si="244"/>
        <v>0</v>
      </c>
      <c r="AX436" s="1124">
        <f t="shared" si="245"/>
        <v>0</v>
      </c>
      <c r="AY436" s="2928">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75"/>
      <c r="B437" s="2876"/>
      <c r="C437" s="2876"/>
      <c r="D437" s="2877"/>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4">
        <f t="shared" si="243"/>
        <v>0</v>
      </c>
      <c r="AW437" s="1124">
        <f t="shared" si="244"/>
        <v>0</v>
      </c>
      <c r="AX437" s="1124">
        <f t="shared" si="245"/>
        <v>0</v>
      </c>
      <c r="AY437" s="2928">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75"/>
      <c r="B438" s="2876"/>
      <c r="C438" s="2876"/>
      <c r="D438" s="2877"/>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4">
        <f t="shared" si="243"/>
        <v>0</v>
      </c>
      <c r="AW438" s="1124">
        <f t="shared" si="244"/>
        <v>0</v>
      </c>
      <c r="AX438" s="1124">
        <f t="shared" si="245"/>
        <v>0</v>
      </c>
      <c r="AY438" s="2928">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75"/>
      <c r="B439" s="2876"/>
      <c r="C439" s="2876"/>
      <c r="D439" s="2877"/>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4">
        <f t="shared" si="243"/>
        <v>0</v>
      </c>
      <c r="AW439" s="1124">
        <f t="shared" si="244"/>
        <v>0</v>
      </c>
      <c r="AX439" s="1124">
        <f t="shared" si="245"/>
        <v>0</v>
      </c>
      <c r="AY439" s="2928">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75"/>
      <c r="B440" s="2876"/>
      <c r="C440" s="2876"/>
      <c r="D440" s="2877"/>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4">
        <f t="shared" si="243"/>
        <v>0</v>
      </c>
      <c r="AW440" s="1124">
        <f t="shared" si="244"/>
        <v>0</v>
      </c>
      <c r="AX440" s="1124">
        <f t="shared" si="245"/>
        <v>0</v>
      </c>
      <c r="AY440" s="2928">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75"/>
      <c r="B441" s="2876"/>
      <c r="C441" s="2876"/>
      <c r="D441" s="2877"/>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4">
        <f t="shared" si="243"/>
        <v>0</v>
      </c>
      <c r="AW441" s="1124">
        <f t="shared" si="244"/>
        <v>0</v>
      </c>
      <c r="AX441" s="1124">
        <f t="shared" si="245"/>
        <v>0</v>
      </c>
      <c r="AY441" s="2928">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75"/>
      <c r="B442" s="2876"/>
      <c r="C442" s="2876"/>
      <c r="D442" s="2877"/>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4">
        <f t="shared" si="243"/>
        <v>0</v>
      </c>
      <c r="AW442" s="1124">
        <f t="shared" si="244"/>
        <v>0</v>
      </c>
      <c r="AX442" s="1124">
        <f t="shared" si="245"/>
        <v>0</v>
      </c>
      <c r="AY442" s="2928">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75"/>
      <c r="B443" s="2876"/>
      <c r="C443" s="2876"/>
      <c r="D443" s="2877"/>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4">
        <f t="shared" si="243"/>
        <v>0</v>
      </c>
      <c r="AW443" s="1124">
        <f t="shared" si="244"/>
        <v>0</v>
      </c>
      <c r="AX443" s="1124">
        <f t="shared" si="245"/>
        <v>0</v>
      </c>
      <c r="AY443" s="2928">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75"/>
      <c r="B444" s="2876"/>
      <c r="C444" s="2876"/>
      <c r="D444" s="2877"/>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4">
        <f t="shared" si="243"/>
        <v>0</v>
      </c>
      <c r="AW444" s="1124">
        <f t="shared" si="244"/>
        <v>0</v>
      </c>
      <c r="AX444" s="1124">
        <f t="shared" si="245"/>
        <v>0</v>
      </c>
      <c r="AY444" s="2928">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75"/>
      <c r="B445" s="2876"/>
      <c r="C445" s="2876"/>
      <c r="D445" s="2877"/>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4">
        <f t="shared" si="243"/>
        <v>0</v>
      </c>
      <c r="AW445" s="1124">
        <f t="shared" si="244"/>
        <v>0</v>
      </c>
      <c r="AX445" s="1124">
        <f t="shared" si="245"/>
        <v>0</v>
      </c>
      <c r="AY445" s="2928">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75"/>
      <c r="B446" s="2876"/>
      <c r="C446" s="2876"/>
      <c r="D446" s="2877"/>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4">
        <f t="shared" si="243"/>
        <v>0</v>
      </c>
      <c r="AW446" s="1124">
        <f t="shared" si="244"/>
        <v>0</v>
      </c>
      <c r="AX446" s="1124">
        <f t="shared" si="245"/>
        <v>0</v>
      </c>
      <c r="AY446" s="2928">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75"/>
      <c r="B447" s="2876"/>
      <c r="C447" s="2876"/>
      <c r="D447" s="2877"/>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4">
        <f t="shared" si="243"/>
        <v>0</v>
      </c>
      <c r="AW447" s="1124">
        <f t="shared" si="244"/>
        <v>0</v>
      </c>
      <c r="AX447" s="1124">
        <f t="shared" si="245"/>
        <v>0</v>
      </c>
      <c r="AY447" s="2928">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75"/>
      <c r="B448" s="2876"/>
      <c r="C448" s="2876"/>
      <c r="D448" s="2877"/>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4">
        <f t="shared" si="243"/>
        <v>0</v>
      </c>
      <c r="AW448" s="1124">
        <f t="shared" si="244"/>
        <v>0</v>
      </c>
      <c r="AX448" s="1124">
        <f t="shared" si="245"/>
        <v>0</v>
      </c>
      <c r="AY448" s="2928">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75"/>
      <c r="B449" s="2876"/>
      <c r="C449" s="2876"/>
      <c r="D449" s="2877"/>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4">
        <f t="shared" si="243"/>
        <v>0</v>
      </c>
      <c r="AW449" s="1124">
        <f t="shared" si="244"/>
        <v>0</v>
      </c>
      <c r="AX449" s="1124">
        <f t="shared" si="245"/>
        <v>0</v>
      </c>
      <c r="AY449" s="2928">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75"/>
      <c r="B450" s="2876"/>
      <c r="C450" s="2876"/>
      <c r="D450" s="2877"/>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4">
        <f t="shared" si="243"/>
        <v>0</v>
      </c>
      <c r="AW450" s="1124">
        <f t="shared" si="244"/>
        <v>0</v>
      </c>
      <c r="AX450" s="1124">
        <f t="shared" si="245"/>
        <v>0</v>
      </c>
      <c r="AY450" s="2928">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75"/>
      <c r="B451" s="2876"/>
      <c r="C451" s="2876"/>
      <c r="D451" s="2877"/>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4">
        <f t="shared" si="243"/>
        <v>0</v>
      </c>
      <c r="AW451" s="1124">
        <f t="shared" si="244"/>
        <v>0</v>
      </c>
      <c r="AX451" s="1124">
        <f t="shared" si="245"/>
        <v>0</v>
      </c>
      <c r="AY451" s="2928">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75"/>
      <c r="B452" s="2876"/>
      <c r="C452" s="2876"/>
      <c r="D452" s="2877"/>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4">
        <f t="shared" si="243"/>
        <v>0</v>
      </c>
      <c r="AW452" s="1124">
        <f t="shared" si="244"/>
        <v>0</v>
      </c>
      <c r="AX452" s="1124">
        <f t="shared" si="245"/>
        <v>0</v>
      </c>
      <c r="AY452" s="2928">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75"/>
      <c r="B453" s="2876"/>
      <c r="C453" s="2876"/>
      <c r="D453" s="2877"/>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4">
        <f t="shared" si="243"/>
        <v>0</v>
      </c>
      <c r="AW453" s="1124">
        <f t="shared" si="244"/>
        <v>0</v>
      </c>
      <c r="AX453" s="1124">
        <f t="shared" si="245"/>
        <v>0</v>
      </c>
      <c r="AY453" s="2928">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75"/>
      <c r="B454" s="2876"/>
      <c r="C454" s="2876"/>
      <c r="D454" s="2877"/>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4">
        <f t="shared" si="243"/>
        <v>0</v>
      </c>
      <c r="AW454" s="1124">
        <f t="shared" si="244"/>
        <v>0</v>
      </c>
      <c r="AX454" s="1124">
        <f t="shared" si="245"/>
        <v>0</v>
      </c>
      <c r="AY454" s="2928">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75"/>
      <c r="B455" s="2876"/>
      <c r="C455" s="2876"/>
      <c r="D455" s="2877"/>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4">
        <f t="shared" si="243"/>
        <v>0</v>
      </c>
      <c r="AW455" s="1124">
        <f t="shared" si="244"/>
        <v>0</v>
      </c>
      <c r="AX455" s="1124">
        <f t="shared" si="245"/>
        <v>0</v>
      </c>
      <c r="AY455" s="2928">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75"/>
      <c r="B456" s="2876"/>
      <c r="C456" s="2876"/>
      <c r="D456" s="2877"/>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4">
        <f t="shared" si="243"/>
        <v>0</v>
      </c>
      <c r="AW456" s="1124">
        <f t="shared" si="244"/>
        <v>0</v>
      </c>
      <c r="AX456" s="1124">
        <f t="shared" si="245"/>
        <v>0</v>
      </c>
      <c r="AY456" s="2928">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75"/>
      <c r="B457" s="2876"/>
      <c r="C457" s="2876"/>
      <c r="D457" s="2877"/>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4">
        <f t="shared" si="243"/>
        <v>0</v>
      </c>
      <c r="AW457" s="1124">
        <f t="shared" si="244"/>
        <v>0</v>
      </c>
      <c r="AX457" s="1124">
        <f t="shared" si="245"/>
        <v>0</v>
      </c>
      <c r="AY457" s="2928">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75"/>
      <c r="B458" s="2876"/>
      <c r="C458" s="2876"/>
      <c r="D458" s="2877"/>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4">
        <f t="shared" si="243"/>
        <v>0</v>
      </c>
      <c r="AW458" s="1124">
        <f t="shared" si="244"/>
        <v>0</v>
      </c>
      <c r="AX458" s="1124">
        <f t="shared" si="245"/>
        <v>0</v>
      </c>
      <c r="AY458" s="2928">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75"/>
      <c r="B459" s="2876"/>
      <c r="C459" s="2876"/>
      <c r="D459" s="2877"/>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4">
        <f t="shared" si="243"/>
        <v>0</v>
      </c>
      <c r="AW459" s="1124">
        <f t="shared" si="244"/>
        <v>0</v>
      </c>
      <c r="AX459" s="1124">
        <f t="shared" si="245"/>
        <v>0</v>
      </c>
      <c r="AY459" s="2928">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75"/>
      <c r="B460" s="2876"/>
      <c r="C460" s="2876"/>
      <c r="D460" s="2877"/>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4">
        <f t="shared" si="243"/>
        <v>0</v>
      </c>
      <c r="AW460" s="1124">
        <f t="shared" si="244"/>
        <v>0</v>
      </c>
      <c r="AX460" s="1124">
        <f t="shared" si="245"/>
        <v>0</v>
      </c>
      <c r="AY460" s="2928">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75"/>
      <c r="B461" s="2876"/>
      <c r="C461" s="2876"/>
      <c r="D461" s="2877"/>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4">
        <f t="shared" si="243"/>
        <v>0</v>
      </c>
      <c r="AW461" s="1124">
        <f t="shared" si="244"/>
        <v>0</v>
      </c>
      <c r="AX461" s="1124">
        <f t="shared" si="245"/>
        <v>0</v>
      </c>
      <c r="AY461" s="2928">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75"/>
      <c r="B462" s="2876"/>
      <c r="C462" s="2876"/>
      <c r="D462" s="2877"/>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4">
        <f t="shared" si="243"/>
        <v>0</v>
      </c>
      <c r="AW462" s="1124">
        <f t="shared" si="244"/>
        <v>0</v>
      </c>
      <c r="AX462" s="1124">
        <f t="shared" si="245"/>
        <v>0</v>
      </c>
      <c r="AY462" s="2928">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75"/>
      <c r="B463" s="2876"/>
      <c r="C463" s="2876"/>
      <c r="D463" s="2877"/>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4">
        <f t="shared" si="243"/>
        <v>0</v>
      </c>
      <c r="AW463" s="1124">
        <f t="shared" si="244"/>
        <v>0</v>
      </c>
      <c r="AX463" s="1124">
        <f t="shared" si="245"/>
        <v>0</v>
      </c>
      <c r="AY463" s="2928">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75"/>
      <c r="B464" s="2876"/>
      <c r="C464" s="2876"/>
      <c r="D464" s="2877"/>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4">
        <f t="shared" si="243"/>
        <v>0</v>
      </c>
      <c r="AW464" s="1124">
        <f t="shared" si="244"/>
        <v>0</v>
      </c>
      <c r="AX464" s="1124">
        <f t="shared" si="245"/>
        <v>0</v>
      </c>
      <c r="AY464" s="2928">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75"/>
      <c r="B465" s="2876"/>
      <c r="C465" s="2876"/>
      <c r="D465" s="2877"/>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4">
        <f t="shared" si="243"/>
        <v>0</v>
      </c>
      <c r="AW465" s="1124">
        <f t="shared" si="244"/>
        <v>0</v>
      </c>
      <c r="AX465" s="1124">
        <f t="shared" si="245"/>
        <v>0</v>
      </c>
      <c r="AY465" s="2928">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75"/>
      <c r="B466" s="2876"/>
      <c r="C466" s="2876"/>
      <c r="D466" s="2877"/>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4">
        <f t="shared" si="243"/>
        <v>0</v>
      </c>
      <c r="AW466" s="1124">
        <f t="shared" si="244"/>
        <v>0</v>
      </c>
      <c r="AX466" s="1124">
        <f t="shared" si="245"/>
        <v>0</v>
      </c>
      <c r="AY466" s="2928">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75"/>
      <c r="B467" s="2876"/>
      <c r="C467" s="2876"/>
      <c r="D467" s="2877"/>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4">
        <f t="shared" si="243"/>
        <v>0</v>
      </c>
      <c r="AW467" s="1124">
        <f t="shared" si="244"/>
        <v>0</v>
      </c>
      <c r="AX467" s="1124">
        <f t="shared" si="245"/>
        <v>0</v>
      </c>
      <c r="AY467" s="2928">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75"/>
      <c r="B468" s="2876"/>
      <c r="C468" s="2876"/>
      <c r="D468" s="2877"/>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4">
        <f t="shared" si="243"/>
        <v>0</v>
      </c>
      <c r="AW468" s="1124">
        <f t="shared" si="244"/>
        <v>0</v>
      </c>
      <c r="AX468" s="1124">
        <f t="shared" si="245"/>
        <v>0</v>
      </c>
      <c r="AY468" s="2928">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75"/>
      <c r="B469" s="2876"/>
      <c r="C469" s="2876"/>
      <c r="D469" s="2877"/>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4">
        <f t="shared" si="243"/>
        <v>0</v>
      </c>
      <c r="AW469" s="1124">
        <f t="shared" si="244"/>
        <v>0</v>
      </c>
      <c r="AX469" s="1124">
        <f t="shared" si="245"/>
        <v>0</v>
      </c>
      <c r="AY469" s="2928">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75"/>
      <c r="B470" s="2876"/>
      <c r="C470" s="2876"/>
      <c r="D470" s="2877"/>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4">
        <f t="shared" si="243"/>
        <v>0</v>
      </c>
      <c r="AW470" s="1124">
        <f t="shared" si="244"/>
        <v>0</v>
      </c>
      <c r="AX470" s="1124">
        <f t="shared" si="245"/>
        <v>0</v>
      </c>
      <c r="AY470" s="2928">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75"/>
      <c r="B471" s="2876"/>
      <c r="C471" s="2876"/>
      <c r="D471" s="2877"/>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4">
        <f t="shared" si="243"/>
        <v>0</v>
      </c>
      <c r="AW471" s="1124">
        <f t="shared" si="244"/>
        <v>0</v>
      </c>
      <c r="AX471" s="1124">
        <f t="shared" si="245"/>
        <v>0</v>
      </c>
      <c r="AY471" s="2928">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75"/>
      <c r="B472" s="2876"/>
      <c r="C472" s="2876"/>
      <c r="D472" s="2877"/>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4">
        <f t="shared" si="243"/>
        <v>0</v>
      </c>
      <c r="AW472" s="1124">
        <f t="shared" si="244"/>
        <v>0</v>
      </c>
      <c r="AX472" s="1124">
        <f t="shared" si="245"/>
        <v>0</v>
      </c>
      <c r="AY472" s="2928">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75"/>
      <c r="B473" s="2876"/>
      <c r="C473" s="2876"/>
      <c r="D473" s="2877"/>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4">
        <f t="shared" si="243"/>
        <v>0</v>
      </c>
      <c r="AW473" s="1124">
        <f t="shared" si="244"/>
        <v>0</v>
      </c>
      <c r="AX473" s="1124">
        <f t="shared" si="245"/>
        <v>0</v>
      </c>
      <c r="AY473" s="2928">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75"/>
      <c r="B474" s="2876"/>
      <c r="C474" s="2876"/>
      <c r="D474" s="2877"/>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4">
        <f t="shared" si="243"/>
        <v>0</v>
      </c>
      <c r="AW474" s="1124">
        <f t="shared" si="244"/>
        <v>0</v>
      </c>
      <c r="AX474" s="1124">
        <f t="shared" si="245"/>
        <v>0</v>
      </c>
      <c r="AY474" s="2928">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75"/>
      <c r="B475" s="2876"/>
      <c r="C475" s="2876"/>
      <c r="D475" s="2877"/>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4">
        <f t="shared" si="243"/>
        <v>0</v>
      </c>
      <c r="AW475" s="1124">
        <f t="shared" si="244"/>
        <v>0</v>
      </c>
      <c r="AX475" s="1124">
        <f t="shared" si="245"/>
        <v>0</v>
      </c>
      <c r="AY475" s="2928">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75"/>
      <c r="B476" s="2876"/>
      <c r="C476" s="2876"/>
      <c r="D476" s="2877"/>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4">
        <f t="shared" si="243"/>
        <v>0</v>
      </c>
      <c r="AW476" s="1124">
        <f t="shared" si="244"/>
        <v>0</v>
      </c>
      <c r="AX476" s="1124">
        <f t="shared" si="245"/>
        <v>0</v>
      </c>
      <c r="AY476" s="2928">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75"/>
      <c r="B477" s="2876"/>
      <c r="C477" s="2876"/>
      <c r="D477" s="2877"/>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4">
        <f t="shared" si="243"/>
        <v>0</v>
      </c>
      <c r="AW477" s="1124">
        <f t="shared" si="244"/>
        <v>0</v>
      </c>
      <c r="AX477" s="1124">
        <f t="shared" si="245"/>
        <v>0</v>
      </c>
      <c r="AY477" s="2928">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75"/>
      <c r="B478" s="2876"/>
      <c r="C478" s="2876"/>
      <c r="D478" s="2877"/>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4">
        <f t="shared" si="243"/>
        <v>0</v>
      </c>
      <c r="AW478" s="1124">
        <f t="shared" si="244"/>
        <v>0</v>
      </c>
      <c r="AX478" s="1124">
        <f t="shared" si="245"/>
        <v>0</v>
      </c>
      <c r="AY478" s="2928">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75"/>
      <c r="B479" s="2876"/>
      <c r="C479" s="2876"/>
      <c r="D479" s="2877"/>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4">
        <f t="shared" si="243"/>
        <v>0</v>
      </c>
      <c r="AW479" s="1124">
        <f t="shared" si="244"/>
        <v>0</v>
      </c>
      <c r="AX479" s="1124">
        <f t="shared" si="245"/>
        <v>0</v>
      </c>
      <c r="AY479" s="2928">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75"/>
      <c r="B480" s="2876"/>
      <c r="C480" s="2876"/>
      <c r="D480" s="2877"/>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4">
        <f t="shared" si="243"/>
        <v>0</v>
      </c>
      <c r="AW480" s="1124">
        <f t="shared" si="244"/>
        <v>0</v>
      </c>
      <c r="AX480" s="1124">
        <f t="shared" si="245"/>
        <v>0</v>
      </c>
      <c r="AY480" s="2928">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75"/>
      <c r="B481" s="2876"/>
      <c r="C481" s="2876"/>
      <c r="D481" s="2877"/>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4">
        <f t="shared" si="243"/>
        <v>0</v>
      </c>
      <c r="AW481" s="1124">
        <f t="shared" si="244"/>
        <v>0</v>
      </c>
      <c r="AX481" s="1124">
        <f t="shared" si="245"/>
        <v>0</v>
      </c>
      <c r="AY481" s="2928">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75"/>
      <c r="B482" s="2876"/>
      <c r="C482" s="2876"/>
      <c r="D482" s="2877"/>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4">
        <f t="shared" si="243"/>
        <v>0</v>
      </c>
      <c r="AW482" s="1124">
        <f t="shared" si="244"/>
        <v>0</v>
      </c>
      <c r="AX482" s="1124">
        <f t="shared" si="245"/>
        <v>0</v>
      </c>
      <c r="AY482" s="2928">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75"/>
      <c r="B483" s="2876"/>
      <c r="C483" s="2876"/>
      <c r="D483" s="2877"/>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4">
        <f t="shared" si="243"/>
        <v>0</v>
      </c>
      <c r="AW483" s="1124">
        <f t="shared" si="244"/>
        <v>0</v>
      </c>
      <c r="AX483" s="1124">
        <f t="shared" si="245"/>
        <v>0</v>
      </c>
      <c r="AY483" s="2928">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75"/>
      <c r="B484" s="2876"/>
      <c r="C484" s="2876"/>
      <c r="D484" s="2877"/>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4">
        <f t="shared" si="243"/>
        <v>0</v>
      </c>
      <c r="AW484" s="1124">
        <f t="shared" si="244"/>
        <v>0</v>
      </c>
      <c r="AX484" s="1124">
        <f t="shared" si="245"/>
        <v>0</v>
      </c>
      <c r="AY484" s="2928">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75"/>
      <c r="B485" s="2876"/>
      <c r="C485" s="2876"/>
      <c r="D485" s="2877"/>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4">
        <f t="shared" si="243"/>
        <v>0</v>
      </c>
      <c r="AW485" s="1124">
        <f t="shared" si="244"/>
        <v>0</v>
      </c>
      <c r="AX485" s="1124">
        <f t="shared" si="245"/>
        <v>0</v>
      </c>
      <c r="AY485" s="2928">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75"/>
      <c r="B486" s="2876"/>
      <c r="C486" s="2876"/>
      <c r="D486" s="2877"/>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4">
        <f t="shared" si="243"/>
        <v>0</v>
      </c>
      <c r="AW486" s="1124">
        <f t="shared" si="244"/>
        <v>0</v>
      </c>
      <c r="AX486" s="1124">
        <f t="shared" si="245"/>
        <v>0</v>
      </c>
      <c r="AY486" s="2928">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75"/>
      <c r="B487" s="2876"/>
      <c r="C487" s="2876"/>
      <c r="D487" s="2877"/>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4">
        <f t="shared" si="243"/>
        <v>0</v>
      </c>
      <c r="AW487" s="1124">
        <f t="shared" si="244"/>
        <v>0</v>
      </c>
      <c r="AX487" s="1124">
        <f t="shared" si="245"/>
        <v>0</v>
      </c>
      <c r="AY487" s="2928">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75"/>
      <c r="B488" s="2876"/>
      <c r="C488" s="2876"/>
      <c r="D488" s="2877"/>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4">
        <f t="shared" si="243"/>
        <v>0</v>
      </c>
      <c r="AW488" s="1124">
        <f t="shared" si="244"/>
        <v>0</v>
      </c>
      <c r="AX488" s="1124">
        <f t="shared" si="245"/>
        <v>0</v>
      </c>
      <c r="AY488" s="2928">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75"/>
      <c r="B489" s="2876"/>
      <c r="C489" s="2876"/>
      <c r="D489" s="2877"/>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4">
        <f t="shared" si="243"/>
        <v>0</v>
      </c>
      <c r="AW489" s="1124">
        <f t="shared" si="244"/>
        <v>0</v>
      </c>
      <c r="AX489" s="1124">
        <f t="shared" si="245"/>
        <v>0</v>
      </c>
      <c r="AY489" s="2928">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75"/>
      <c r="B490" s="2875"/>
      <c r="C490" s="2875"/>
      <c r="D490" s="2877"/>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4">
        <f t="shared" si="243"/>
        <v>0</v>
      </c>
      <c r="AW490" s="1124">
        <f t="shared" si="244"/>
        <v>0</v>
      </c>
      <c r="AX490" s="1124">
        <f t="shared" si="245"/>
        <v>0</v>
      </c>
      <c r="AY490" s="2928">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75"/>
      <c r="B491" s="2875"/>
      <c r="C491" s="2875"/>
      <c r="D491" s="2877"/>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4">
        <f t="shared" si="243"/>
        <v>0</v>
      </c>
      <c r="AW491" s="1124">
        <f t="shared" si="244"/>
        <v>0</v>
      </c>
      <c r="AX491" s="1124">
        <f t="shared" si="245"/>
        <v>0</v>
      </c>
      <c r="AY491" s="2928">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75"/>
      <c r="B492" s="2875"/>
      <c r="C492" s="2875"/>
      <c r="D492" s="2877"/>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4">
        <f t="shared" si="243"/>
        <v>0</v>
      </c>
      <c r="AW492" s="1124">
        <f t="shared" si="244"/>
        <v>0</v>
      </c>
      <c r="AX492" s="1124">
        <f t="shared" si="245"/>
        <v>0</v>
      </c>
      <c r="AY492" s="2928">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75"/>
      <c r="B493" s="2876"/>
      <c r="C493" s="2876"/>
      <c r="D493" s="2877"/>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4">
        <f t="shared" ref="AV493:AV520" si="294">A493</f>
        <v>0</v>
      </c>
      <c r="AW493" s="1124">
        <f t="shared" ref="AW493:AW520" si="295">B493</f>
        <v>0</v>
      </c>
      <c r="AX493" s="1124">
        <f t="shared" ref="AX493:AX520" si="296">C493</f>
        <v>0</v>
      </c>
      <c r="AY493" s="2928">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75"/>
      <c r="B494" s="2876"/>
      <c r="C494" s="2876"/>
      <c r="D494" s="2877"/>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4">
        <f t="shared" si="294"/>
        <v>0</v>
      </c>
      <c r="AW494" s="1124">
        <f t="shared" si="295"/>
        <v>0</v>
      </c>
      <c r="AX494" s="1124">
        <f t="shared" si="296"/>
        <v>0</v>
      </c>
      <c r="AY494" s="2928">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75"/>
      <c r="B495" s="2876"/>
      <c r="C495" s="2876"/>
      <c r="D495" s="2877"/>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4">
        <f t="shared" si="294"/>
        <v>0</v>
      </c>
      <c r="AW495" s="1124">
        <f t="shared" si="295"/>
        <v>0</v>
      </c>
      <c r="AX495" s="1124">
        <f t="shared" si="296"/>
        <v>0</v>
      </c>
      <c r="AY495" s="2928">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75"/>
      <c r="B496" s="2876"/>
      <c r="C496" s="2876"/>
      <c r="D496" s="2877"/>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4">
        <f t="shared" si="294"/>
        <v>0</v>
      </c>
      <c r="AW496" s="1124">
        <f t="shared" si="295"/>
        <v>0</v>
      </c>
      <c r="AX496" s="1124">
        <f t="shared" si="296"/>
        <v>0</v>
      </c>
      <c r="AY496" s="2928">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75"/>
      <c r="B497" s="2876"/>
      <c r="C497" s="2876"/>
      <c r="D497" s="2877"/>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4">
        <f t="shared" si="294"/>
        <v>0</v>
      </c>
      <c r="AW497" s="1124">
        <f t="shared" si="295"/>
        <v>0</v>
      </c>
      <c r="AX497" s="1124">
        <f t="shared" si="296"/>
        <v>0</v>
      </c>
      <c r="AY497" s="2928">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75"/>
      <c r="B498" s="2876"/>
      <c r="C498" s="2876"/>
      <c r="D498" s="2877"/>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4">
        <f t="shared" si="294"/>
        <v>0</v>
      </c>
      <c r="AW498" s="1124">
        <f t="shared" si="295"/>
        <v>0</v>
      </c>
      <c r="AX498" s="1124">
        <f t="shared" si="296"/>
        <v>0</v>
      </c>
      <c r="AY498" s="2928">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75"/>
      <c r="B499" s="2876"/>
      <c r="C499" s="2876"/>
      <c r="D499" s="2877"/>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4">
        <f t="shared" si="294"/>
        <v>0</v>
      </c>
      <c r="AW499" s="1124">
        <f t="shared" si="295"/>
        <v>0</v>
      </c>
      <c r="AX499" s="1124">
        <f t="shared" si="296"/>
        <v>0</v>
      </c>
      <c r="AY499" s="2928">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75"/>
      <c r="B500" s="2876"/>
      <c r="C500" s="2876"/>
      <c r="D500" s="2877"/>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4">
        <f t="shared" si="294"/>
        <v>0</v>
      </c>
      <c r="AW500" s="1124">
        <f t="shared" si="295"/>
        <v>0</v>
      </c>
      <c r="AX500" s="1124">
        <f t="shared" si="296"/>
        <v>0</v>
      </c>
      <c r="AY500" s="2928">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75"/>
      <c r="B501" s="2876"/>
      <c r="C501" s="2876"/>
      <c r="D501" s="2877"/>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4">
        <f t="shared" si="294"/>
        <v>0</v>
      </c>
      <c r="AW501" s="1124">
        <f t="shared" si="295"/>
        <v>0</v>
      </c>
      <c r="AX501" s="1124">
        <f t="shared" si="296"/>
        <v>0</v>
      </c>
      <c r="AY501" s="2928">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75"/>
      <c r="B502" s="2876"/>
      <c r="C502" s="2876"/>
      <c r="D502" s="2877"/>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4">
        <f t="shared" si="294"/>
        <v>0</v>
      </c>
      <c r="AW502" s="1124">
        <f t="shared" si="295"/>
        <v>0</v>
      </c>
      <c r="AX502" s="1124">
        <f t="shared" si="296"/>
        <v>0</v>
      </c>
      <c r="AY502" s="2928">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75"/>
      <c r="B503" s="2876"/>
      <c r="C503" s="2876"/>
      <c r="D503" s="2877"/>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4">
        <f t="shared" si="294"/>
        <v>0</v>
      </c>
      <c r="AW503" s="1124">
        <f t="shared" si="295"/>
        <v>0</v>
      </c>
      <c r="AX503" s="1124">
        <f t="shared" si="296"/>
        <v>0</v>
      </c>
      <c r="AY503" s="2928">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75"/>
      <c r="B504" s="2876"/>
      <c r="C504" s="2876"/>
      <c r="D504" s="2877"/>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4">
        <f t="shared" si="294"/>
        <v>0</v>
      </c>
      <c r="AW504" s="1124">
        <f t="shared" si="295"/>
        <v>0</v>
      </c>
      <c r="AX504" s="1124">
        <f t="shared" si="296"/>
        <v>0</v>
      </c>
      <c r="AY504" s="2928">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75"/>
      <c r="B505" s="2876"/>
      <c r="C505" s="2876"/>
      <c r="D505" s="2877"/>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4">
        <f t="shared" si="294"/>
        <v>0</v>
      </c>
      <c r="AW505" s="1124">
        <f t="shared" si="295"/>
        <v>0</v>
      </c>
      <c r="AX505" s="1124">
        <f t="shared" si="296"/>
        <v>0</v>
      </c>
      <c r="AY505" s="2928">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75"/>
      <c r="B506" s="2876"/>
      <c r="C506" s="2876"/>
      <c r="D506" s="2877"/>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4">
        <f t="shared" si="294"/>
        <v>0</v>
      </c>
      <c r="AW506" s="1124">
        <f t="shared" si="295"/>
        <v>0</v>
      </c>
      <c r="AX506" s="1124">
        <f t="shared" si="296"/>
        <v>0</v>
      </c>
      <c r="AY506" s="2928">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75"/>
      <c r="B507" s="2876"/>
      <c r="C507" s="2876"/>
      <c r="D507" s="2877"/>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4">
        <f t="shared" si="294"/>
        <v>0</v>
      </c>
      <c r="AW507" s="1124">
        <f t="shared" si="295"/>
        <v>0</v>
      </c>
      <c r="AX507" s="1124">
        <f t="shared" si="296"/>
        <v>0</v>
      </c>
      <c r="AY507" s="2928">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75"/>
      <c r="B508" s="2876"/>
      <c r="C508" s="2876"/>
      <c r="D508" s="2877"/>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4">
        <f t="shared" si="294"/>
        <v>0</v>
      </c>
      <c r="AW508" s="1124">
        <f t="shared" si="295"/>
        <v>0</v>
      </c>
      <c r="AX508" s="1124">
        <f t="shared" si="296"/>
        <v>0</v>
      </c>
      <c r="AY508" s="2928">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75"/>
      <c r="B509" s="2876"/>
      <c r="C509" s="2876"/>
      <c r="D509" s="2877"/>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4">
        <f t="shared" si="294"/>
        <v>0</v>
      </c>
      <c r="AW509" s="1124">
        <f t="shared" si="295"/>
        <v>0</v>
      </c>
      <c r="AX509" s="1124">
        <f t="shared" si="296"/>
        <v>0</v>
      </c>
      <c r="AY509" s="2928">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75"/>
      <c r="B510" s="2876"/>
      <c r="C510" s="2876"/>
      <c r="D510" s="2877"/>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4">
        <f t="shared" si="294"/>
        <v>0</v>
      </c>
      <c r="AW510" s="1124">
        <f t="shared" si="295"/>
        <v>0</v>
      </c>
      <c r="AX510" s="1124">
        <f t="shared" si="296"/>
        <v>0</v>
      </c>
      <c r="AY510" s="2928">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75"/>
      <c r="B511" s="2876"/>
      <c r="C511" s="2876"/>
      <c r="D511" s="2877"/>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4">
        <f t="shared" si="294"/>
        <v>0</v>
      </c>
      <c r="AW511" s="1124">
        <f t="shared" si="295"/>
        <v>0</v>
      </c>
      <c r="AX511" s="1124">
        <f t="shared" si="296"/>
        <v>0</v>
      </c>
      <c r="AY511" s="2928">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75"/>
      <c r="B512" s="2876"/>
      <c r="C512" s="2876"/>
      <c r="D512" s="2877"/>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4">
        <f t="shared" si="294"/>
        <v>0</v>
      </c>
      <c r="AW512" s="1124">
        <f t="shared" si="295"/>
        <v>0</v>
      </c>
      <c r="AX512" s="1124">
        <f t="shared" si="296"/>
        <v>0</v>
      </c>
      <c r="AY512" s="2928">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75"/>
      <c r="B513" s="2876"/>
      <c r="C513" s="2876"/>
      <c r="D513" s="2877"/>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4">
        <f t="shared" si="294"/>
        <v>0</v>
      </c>
      <c r="AW513" s="1124">
        <f t="shared" si="295"/>
        <v>0</v>
      </c>
      <c r="AX513" s="1124">
        <f t="shared" si="296"/>
        <v>0</v>
      </c>
      <c r="AY513" s="2928">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75"/>
      <c r="B514" s="2876"/>
      <c r="C514" s="2876"/>
      <c r="D514" s="2877"/>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4">
        <f t="shared" si="294"/>
        <v>0</v>
      </c>
      <c r="AW514" s="1124">
        <f t="shared" si="295"/>
        <v>0</v>
      </c>
      <c r="AX514" s="1124">
        <f t="shared" si="296"/>
        <v>0</v>
      </c>
      <c r="AY514" s="2928">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75"/>
      <c r="B515" s="2876"/>
      <c r="C515" s="2876"/>
      <c r="D515" s="2877"/>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4">
        <f t="shared" si="294"/>
        <v>0</v>
      </c>
      <c r="AW515" s="1124">
        <f t="shared" si="295"/>
        <v>0</v>
      </c>
      <c r="AX515" s="1124">
        <f t="shared" si="296"/>
        <v>0</v>
      </c>
      <c r="AY515" s="2928">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75"/>
      <c r="B516" s="2876"/>
      <c r="C516" s="2876"/>
      <c r="D516" s="2877"/>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4">
        <f t="shared" si="294"/>
        <v>0</v>
      </c>
      <c r="AW516" s="1124">
        <f t="shared" si="295"/>
        <v>0</v>
      </c>
      <c r="AX516" s="1124">
        <f t="shared" si="296"/>
        <v>0</v>
      </c>
      <c r="AY516" s="2928">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75"/>
      <c r="B517" s="2876"/>
      <c r="C517" s="2876"/>
      <c r="D517" s="2877"/>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4">
        <f t="shared" si="294"/>
        <v>0</v>
      </c>
      <c r="AW517" s="1124">
        <f t="shared" si="295"/>
        <v>0</v>
      </c>
      <c r="AX517" s="1124">
        <f t="shared" si="296"/>
        <v>0</v>
      </c>
      <c r="AY517" s="2928">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75"/>
      <c r="B518" s="2876"/>
      <c r="C518" s="2876"/>
      <c r="D518" s="2877"/>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4">
        <f t="shared" si="294"/>
        <v>0</v>
      </c>
      <c r="AW518" s="1124">
        <f t="shared" si="295"/>
        <v>0</v>
      </c>
      <c r="AX518" s="1124">
        <f t="shared" si="296"/>
        <v>0</v>
      </c>
      <c r="AY518" s="2928">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75"/>
      <c r="B519" s="2876"/>
      <c r="C519" s="2876"/>
      <c r="D519" s="2877"/>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4">
        <f t="shared" si="294"/>
        <v>0</v>
      </c>
      <c r="AW519" s="1124">
        <f t="shared" si="295"/>
        <v>0</v>
      </c>
      <c r="AX519" s="1124">
        <f t="shared" si="296"/>
        <v>0</v>
      </c>
      <c r="AY519" s="2928">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75"/>
      <c r="B520" s="2876"/>
      <c r="C520" s="2876"/>
      <c r="D520" s="2877"/>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4">
        <f t="shared" si="294"/>
        <v>0</v>
      </c>
      <c r="AW520" s="1124">
        <f t="shared" si="295"/>
        <v>0</v>
      </c>
      <c r="AX520" s="1124">
        <f t="shared" si="296"/>
        <v>0</v>
      </c>
      <c r="AY520" s="2928">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75"/>
      <c r="B521" s="2876"/>
      <c r="C521" s="2876"/>
      <c r="D521" s="2877"/>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4">
        <f t="shared" ref="AV521:AV552" si="298">A521</f>
        <v>0</v>
      </c>
      <c r="AW521" s="1124">
        <f t="shared" ref="AW521:AW552" si="299">B521</f>
        <v>0</v>
      </c>
      <c r="AX521" s="1124">
        <f t="shared" ref="AX521:AX552" si="300">C521</f>
        <v>0</v>
      </c>
      <c r="AY521" s="2928">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75"/>
      <c r="B522" s="2876"/>
      <c r="C522" s="2876"/>
      <c r="D522" s="2877"/>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4">
        <f t="shared" si="298"/>
        <v>0</v>
      </c>
      <c r="AW522" s="1124">
        <f t="shared" si="299"/>
        <v>0</v>
      </c>
      <c r="AX522" s="1124">
        <f t="shared" si="300"/>
        <v>0</v>
      </c>
      <c r="AY522" s="2928">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75"/>
      <c r="B523" s="2876"/>
      <c r="C523" s="2876"/>
      <c r="D523" s="2877"/>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4">
        <f t="shared" si="298"/>
        <v>0</v>
      </c>
      <c r="AW523" s="1124">
        <f t="shared" si="299"/>
        <v>0</v>
      </c>
      <c r="AX523" s="1124">
        <f t="shared" si="300"/>
        <v>0</v>
      </c>
      <c r="AY523" s="2928">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75"/>
      <c r="B524" s="2876"/>
      <c r="C524" s="2876"/>
      <c r="D524" s="2877"/>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4">
        <f t="shared" si="298"/>
        <v>0</v>
      </c>
      <c r="AW524" s="1124">
        <f t="shared" si="299"/>
        <v>0</v>
      </c>
      <c r="AX524" s="1124">
        <f t="shared" si="300"/>
        <v>0</v>
      </c>
      <c r="AY524" s="2928">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75"/>
      <c r="B525" s="2876"/>
      <c r="C525" s="2876"/>
      <c r="D525" s="2877"/>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4">
        <f t="shared" si="298"/>
        <v>0</v>
      </c>
      <c r="AW525" s="1124">
        <f t="shared" si="299"/>
        <v>0</v>
      </c>
      <c r="AX525" s="1124">
        <f t="shared" si="300"/>
        <v>0</v>
      </c>
      <c r="AY525" s="2928">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75"/>
      <c r="B526" s="2876"/>
      <c r="C526" s="2876"/>
      <c r="D526" s="2877"/>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4">
        <f t="shared" si="298"/>
        <v>0</v>
      </c>
      <c r="AW526" s="1124">
        <f t="shared" si="299"/>
        <v>0</v>
      </c>
      <c r="AX526" s="1124">
        <f t="shared" si="300"/>
        <v>0</v>
      </c>
      <c r="AY526" s="2928">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75"/>
      <c r="B527" s="2876"/>
      <c r="C527" s="2876"/>
      <c r="D527" s="2877"/>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4">
        <f t="shared" si="298"/>
        <v>0</v>
      </c>
      <c r="AW527" s="1124">
        <f t="shared" si="299"/>
        <v>0</v>
      </c>
      <c r="AX527" s="1124">
        <f t="shared" si="300"/>
        <v>0</v>
      </c>
      <c r="AY527" s="2928">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75"/>
      <c r="B528" s="2876"/>
      <c r="C528" s="2876"/>
      <c r="D528" s="2877"/>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4">
        <f t="shared" si="298"/>
        <v>0</v>
      </c>
      <c r="AW528" s="1124">
        <f t="shared" si="299"/>
        <v>0</v>
      </c>
      <c r="AX528" s="1124">
        <f t="shared" si="300"/>
        <v>0</v>
      </c>
      <c r="AY528" s="2928">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75"/>
      <c r="B529" s="2876"/>
      <c r="C529" s="2876"/>
      <c r="D529" s="2877"/>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4">
        <f t="shared" si="298"/>
        <v>0</v>
      </c>
      <c r="AW529" s="1124">
        <f t="shared" si="299"/>
        <v>0</v>
      </c>
      <c r="AX529" s="1124">
        <f t="shared" si="300"/>
        <v>0</v>
      </c>
      <c r="AY529" s="2928">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75"/>
      <c r="B530" s="2876"/>
      <c r="C530" s="2876"/>
      <c r="D530" s="2877"/>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4">
        <f t="shared" si="298"/>
        <v>0</v>
      </c>
      <c r="AW530" s="1124">
        <f t="shared" si="299"/>
        <v>0</v>
      </c>
      <c r="AX530" s="1124">
        <f t="shared" si="300"/>
        <v>0</v>
      </c>
      <c r="AY530" s="2928">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75"/>
      <c r="B531" s="2876"/>
      <c r="C531" s="2876"/>
      <c r="D531" s="2877"/>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4">
        <f t="shared" si="298"/>
        <v>0</v>
      </c>
      <c r="AW531" s="1124">
        <f t="shared" si="299"/>
        <v>0</v>
      </c>
      <c r="AX531" s="1124">
        <f t="shared" si="300"/>
        <v>0</v>
      </c>
      <c r="AY531" s="2928">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75"/>
      <c r="B532" s="2876"/>
      <c r="C532" s="2876"/>
      <c r="D532" s="2877"/>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4">
        <f t="shared" si="298"/>
        <v>0</v>
      </c>
      <c r="AW532" s="1124">
        <f t="shared" si="299"/>
        <v>0</v>
      </c>
      <c r="AX532" s="1124">
        <f t="shared" si="300"/>
        <v>0</v>
      </c>
      <c r="AY532" s="2928">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75"/>
      <c r="B533" s="2876"/>
      <c r="C533" s="2876"/>
      <c r="D533" s="2877"/>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4">
        <f t="shared" si="298"/>
        <v>0</v>
      </c>
      <c r="AW533" s="1124">
        <f t="shared" si="299"/>
        <v>0</v>
      </c>
      <c r="AX533" s="1124">
        <f t="shared" si="300"/>
        <v>0</v>
      </c>
      <c r="AY533" s="2928">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75"/>
      <c r="B534" s="2876"/>
      <c r="C534" s="2876"/>
      <c r="D534" s="2877"/>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4">
        <f t="shared" si="298"/>
        <v>0</v>
      </c>
      <c r="AW534" s="1124">
        <f t="shared" si="299"/>
        <v>0</v>
      </c>
      <c r="AX534" s="1124">
        <f t="shared" si="300"/>
        <v>0</v>
      </c>
      <c r="AY534" s="2928">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75"/>
      <c r="B535" s="2876"/>
      <c r="C535" s="2876"/>
      <c r="D535" s="2877"/>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4">
        <f t="shared" si="298"/>
        <v>0</v>
      </c>
      <c r="AW535" s="1124">
        <f t="shared" si="299"/>
        <v>0</v>
      </c>
      <c r="AX535" s="1124">
        <f t="shared" si="300"/>
        <v>0</v>
      </c>
      <c r="AY535" s="2928">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75"/>
      <c r="B536" s="2876"/>
      <c r="C536" s="2876"/>
      <c r="D536" s="2877"/>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4">
        <f t="shared" si="298"/>
        <v>0</v>
      </c>
      <c r="AW536" s="1124">
        <f t="shared" si="299"/>
        <v>0</v>
      </c>
      <c r="AX536" s="1124">
        <f t="shared" si="300"/>
        <v>0</v>
      </c>
      <c r="AY536" s="2928">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75"/>
      <c r="B537" s="2876"/>
      <c r="C537" s="2876"/>
      <c r="D537" s="2877"/>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4">
        <f t="shared" si="298"/>
        <v>0</v>
      </c>
      <c r="AW537" s="1124">
        <f t="shared" si="299"/>
        <v>0</v>
      </c>
      <c r="AX537" s="1124">
        <f t="shared" si="300"/>
        <v>0</v>
      </c>
      <c r="AY537" s="2928">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75"/>
      <c r="B538" s="2876"/>
      <c r="C538" s="2876"/>
      <c r="D538" s="2877"/>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4">
        <f t="shared" si="298"/>
        <v>0</v>
      </c>
      <c r="AW538" s="1124">
        <f t="shared" si="299"/>
        <v>0</v>
      </c>
      <c r="AX538" s="1124">
        <f t="shared" si="300"/>
        <v>0</v>
      </c>
      <c r="AY538" s="2928">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75"/>
      <c r="B539" s="2876"/>
      <c r="C539" s="2876"/>
      <c r="D539" s="2877"/>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4">
        <f t="shared" si="298"/>
        <v>0</v>
      </c>
      <c r="AW539" s="1124">
        <f t="shared" si="299"/>
        <v>0</v>
      </c>
      <c r="AX539" s="1124">
        <f t="shared" si="300"/>
        <v>0</v>
      </c>
      <c r="AY539" s="2928">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75"/>
      <c r="B540" s="2876"/>
      <c r="C540" s="2876"/>
      <c r="D540" s="2877"/>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4">
        <f t="shared" si="298"/>
        <v>0</v>
      </c>
      <c r="AW540" s="1124">
        <f t="shared" si="299"/>
        <v>0</v>
      </c>
      <c r="AX540" s="1124">
        <f t="shared" si="300"/>
        <v>0</v>
      </c>
      <c r="AY540" s="2928">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75"/>
      <c r="B541" s="2876"/>
      <c r="C541" s="2876"/>
      <c r="D541" s="2877"/>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4">
        <f t="shared" si="298"/>
        <v>0</v>
      </c>
      <c r="AW541" s="1124">
        <f t="shared" si="299"/>
        <v>0</v>
      </c>
      <c r="AX541" s="1124">
        <f t="shared" si="300"/>
        <v>0</v>
      </c>
      <c r="AY541" s="2928">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75"/>
      <c r="B542" s="2876"/>
      <c r="C542" s="2876"/>
      <c r="D542" s="2877"/>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4">
        <f t="shared" si="298"/>
        <v>0</v>
      </c>
      <c r="AW542" s="1124">
        <f t="shared" si="299"/>
        <v>0</v>
      </c>
      <c r="AX542" s="1124">
        <f t="shared" si="300"/>
        <v>0</v>
      </c>
      <c r="AY542" s="2928">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75"/>
      <c r="B543" s="2876"/>
      <c r="C543" s="2876"/>
      <c r="D543" s="2877"/>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4">
        <f t="shared" si="298"/>
        <v>0</v>
      </c>
      <c r="AW543" s="1124">
        <f t="shared" si="299"/>
        <v>0</v>
      </c>
      <c r="AX543" s="1124">
        <f t="shared" si="300"/>
        <v>0</v>
      </c>
      <c r="AY543" s="2928">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75"/>
      <c r="B544" s="2876"/>
      <c r="C544" s="2876"/>
      <c r="D544" s="2877"/>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4">
        <f t="shared" si="298"/>
        <v>0</v>
      </c>
      <c r="AW544" s="1124">
        <f t="shared" si="299"/>
        <v>0</v>
      </c>
      <c r="AX544" s="1124">
        <f t="shared" si="300"/>
        <v>0</v>
      </c>
      <c r="AY544" s="2928">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75"/>
      <c r="B545" s="2876"/>
      <c r="C545" s="2876"/>
      <c r="D545" s="2877"/>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4">
        <f t="shared" si="298"/>
        <v>0</v>
      </c>
      <c r="AW545" s="1124">
        <f t="shared" si="299"/>
        <v>0</v>
      </c>
      <c r="AX545" s="1124">
        <f t="shared" si="300"/>
        <v>0</v>
      </c>
      <c r="AY545" s="2928">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75"/>
      <c r="B546" s="2876"/>
      <c r="C546" s="2876"/>
      <c r="D546" s="2877"/>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4">
        <f t="shared" si="298"/>
        <v>0</v>
      </c>
      <c r="AW546" s="1124">
        <f t="shared" si="299"/>
        <v>0</v>
      </c>
      <c r="AX546" s="1124">
        <f t="shared" si="300"/>
        <v>0</v>
      </c>
      <c r="AY546" s="2928">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75"/>
      <c r="B547" s="2876"/>
      <c r="C547" s="2876"/>
      <c r="D547" s="2877"/>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4">
        <f t="shared" si="298"/>
        <v>0</v>
      </c>
      <c r="AW547" s="1124">
        <f t="shared" si="299"/>
        <v>0</v>
      </c>
      <c r="AX547" s="1124">
        <f t="shared" si="300"/>
        <v>0</v>
      </c>
      <c r="AY547" s="2928">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75"/>
      <c r="B548" s="2876"/>
      <c r="C548" s="2876"/>
      <c r="D548" s="2877"/>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4">
        <f t="shared" si="298"/>
        <v>0</v>
      </c>
      <c r="AW548" s="1124">
        <f t="shared" si="299"/>
        <v>0</v>
      </c>
      <c r="AX548" s="1124">
        <f t="shared" si="300"/>
        <v>0</v>
      </c>
      <c r="AY548" s="2928">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75"/>
      <c r="B549" s="2876"/>
      <c r="C549" s="2876"/>
      <c r="D549" s="2877"/>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4">
        <f t="shared" si="298"/>
        <v>0</v>
      </c>
      <c r="AW549" s="1124">
        <f t="shared" si="299"/>
        <v>0</v>
      </c>
      <c r="AX549" s="1124">
        <f t="shared" si="300"/>
        <v>0</v>
      </c>
      <c r="AY549" s="2928">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75"/>
      <c r="B550" s="2876"/>
      <c r="C550" s="2876"/>
      <c r="D550" s="2877"/>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4">
        <f t="shared" si="298"/>
        <v>0</v>
      </c>
      <c r="AW550" s="1124">
        <f t="shared" si="299"/>
        <v>0</v>
      </c>
      <c r="AX550" s="1124">
        <f t="shared" si="300"/>
        <v>0</v>
      </c>
      <c r="AY550" s="2928">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75"/>
      <c r="B551" s="2876"/>
      <c r="C551" s="2876"/>
      <c r="D551" s="2877"/>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4">
        <f t="shared" si="298"/>
        <v>0</v>
      </c>
      <c r="AW551" s="1124">
        <f t="shared" si="299"/>
        <v>0</v>
      </c>
      <c r="AX551" s="1124">
        <f t="shared" si="300"/>
        <v>0</v>
      </c>
      <c r="AY551" s="2928">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75"/>
      <c r="B552" s="2876"/>
      <c r="C552" s="2876"/>
      <c r="D552" s="2877"/>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4">
        <f t="shared" si="298"/>
        <v>0</v>
      </c>
      <c r="AW552" s="1124">
        <f t="shared" si="299"/>
        <v>0</v>
      </c>
      <c r="AX552" s="1124">
        <f t="shared" si="300"/>
        <v>0</v>
      </c>
      <c r="AY552" s="2928">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75"/>
      <c r="B553" s="2876"/>
      <c r="C553" s="2876"/>
      <c r="D553" s="2877"/>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4">
        <f t="shared" ref="AV553:AV587" si="330">A553</f>
        <v>0</v>
      </c>
      <c r="AW553" s="1124">
        <f t="shared" ref="AW553:AW587" si="331">B553</f>
        <v>0</v>
      </c>
      <c r="AX553" s="1124">
        <f t="shared" ref="AX553:AX587" si="332">C553</f>
        <v>0</v>
      </c>
      <c r="AY553" s="2928">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75"/>
      <c r="B554" s="2876"/>
      <c r="C554" s="2876"/>
      <c r="D554" s="2877"/>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4">
        <f t="shared" si="330"/>
        <v>0</v>
      </c>
      <c r="AW554" s="1124">
        <f t="shared" si="331"/>
        <v>0</v>
      </c>
      <c r="AX554" s="1124">
        <f t="shared" si="332"/>
        <v>0</v>
      </c>
      <c r="AY554" s="2928">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75"/>
      <c r="B555" s="2876"/>
      <c r="C555" s="2876"/>
      <c r="D555" s="2877"/>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4">
        <f t="shared" si="330"/>
        <v>0</v>
      </c>
      <c r="AW555" s="1124">
        <f t="shared" si="331"/>
        <v>0</v>
      </c>
      <c r="AX555" s="1124">
        <f t="shared" si="332"/>
        <v>0</v>
      </c>
      <c r="AY555" s="2928">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75"/>
      <c r="B556" s="2876"/>
      <c r="C556" s="2876"/>
      <c r="D556" s="2877"/>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4">
        <f t="shared" si="330"/>
        <v>0</v>
      </c>
      <c r="AW556" s="1124">
        <f t="shared" si="331"/>
        <v>0</v>
      </c>
      <c r="AX556" s="1124">
        <f t="shared" si="332"/>
        <v>0</v>
      </c>
      <c r="AY556" s="2928">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75"/>
      <c r="B557" s="2876"/>
      <c r="C557" s="2876"/>
      <c r="D557" s="2877"/>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4">
        <f t="shared" si="330"/>
        <v>0</v>
      </c>
      <c r="AW557" s="1124">
        <f t="shared" si="331"/>
        <v>0</v>
      </c>
      <c r="AX557" s="1124">
        <f t="shared" si="332"/>
        <v>0</v>
      </c>
      <c r="AY557" s="2928">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75"/>
      <c r="B558" s="2876"/>
      <c r="C558" s="2876"/>
      <c r="D558" s="2877"/>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4">
        <f t="shared" si="330"/>
        <v>0</v>
      </c>
      <c r="AW558" s="1124">
        <f t="shared" si="331"/>
        <v>0</v>
      </c>
      <c r="AX558" s="1124">
        <f t="shared" si="332"/>
        <v>0</v>
      </c>
      <c r="AY558" s="2928">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75"/>
      <c r="B559" s="2876"/>
      <c r="C559" s="2876"/>
      <c r="D559" s="2877"/>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4">
        <f t="shared" si="330"/>
        <v>0</v>
      </c>
      <c r="AW559" s="1124">
        <f t="shared" si="331"/>
        <v>0</v>
      </c>
      <c r="AX559" s="1124">
        <f t="shared" si="332"/>
        <v>0</v>
      </c>
      <c r="AY559" s="2928">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75"/>
      <c r="B560" s="2876"/>
      <c r="C560" s="2876"/>
      <c r="D560" s="2877"/>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4">
        <f t="shared" si="330"/>
        <v>0</v>
      </c>
      <c r="AW560" s="1124">
        <f t="shared" si="331"/>
        <v>0</v>
      </c>
      <c r="AX560" s="1124">
        <f t="shared" si="332"/>
        <v>0</v>
      </c>
      <c r="AY560" s="2928">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75"/>
      <c r="B561" s="2876"/>
      <c r="C561" s="2876"/>
      <c r="D561" s="2877"/>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4">
        <f t="shared" si="330"/>
        <v>0</v>
      </c>
      <c r="AW561" s="1124">
        <f t="shared" si="331"/>
        <v>0</v>
      </c>
      <c r="AX561" s="1124">
        <f t="shared" si="332"/>
        <v>0</v>
      </c>
      <c r="AY561" s="2928">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75"/>
      <c r="B562" s="2876"/>
      <c r="C562" s="2876"/>
      <c r="D562" s="2877"/>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4">
        <f t="shared" si="330"/>
        <v>0</v>
      </c>
      <c r="AW562" s="1124">
        <f t="shared" si="331"/>
        <v>0</v>
      </c>
      <c r="AX562" s="1124">
        <f t="shared" si="332"/>
        <v>0</v>
      </c>
      <c r="AY562" s="2928">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75"/>
      <c r="B563" s="2876"/>
      <c r="C563" s="2876"/>
      <c r="D563" s="2877"/>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4">
        <f t="shared" si="330"/>
        <v>0</v>
      </c>
      <c r="AW563" s="1124">
        <f t="shared" si="331"/>
        <v>0</v>
      </c>
      <c r="AX563" s="1124">
        <f t="shared" si="332"/>
        <v>0</v>
      </c>
      <c r="AY563" s="2928">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75"/>
      <c r="B564" s="2876"/>
      <c r="C564" s="2876"/>
      <c r="D564" s="2877"/>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4">
        <f t="shared" si="330"/>
        <v>0</v>
      </c>
      <c r="AW564" s="1124">
        <f t="shared" si="331"/>
        <v>0</v>
      </c>
      <c r="AX564" s="1124">
        <f t="shared" si="332"/>
        <v>0</v>
      </c>
      <c r="AY564" s="2928">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75"/>
      <c r="B565" s="2876"/>
      <c r="C565" s="2876"/>
      <c r="D565" s="2877"/>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4">
        <f t="shared" si="330"/>
        <v>0</v>
      </c>
      <c r="AW565" s="1124">
        <f t="shared" si="331"/>
        <v>0</v>
      </c>
      <c r="AX565" s="1124">
        <f t="shared" si="332"/>
        <v>0</v>
      </c>
      <c r="AY565" s="2928">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75"/>
      <c r="B566" s="2876"/>
      <c r="C566" s="2876"/>
      <c r="D566" s="2877"/>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4">
        <f t="shared" si="330"/>
        <v>0</v>
      </c>
      <c r="AW566" s="1124">
        <f t="shared" si="331"/>
        <v>0</v>
      </c>
      <c r="AX566" s="1124">
        <f t="shared" si="332"/>
        <v>0</v>
      </c>
      <c r="AY566" s="2928">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75"/>
      <c r="B567" s="2876"/>
      <c r="C567" s="2876"/>
      <c r="D567" s="2877"/>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4">
        <f t="shared" si="330"/>
        <v>0</v>
      </c>
      <c r="AW567" s="1124">
        <f t="shared" si="331"/>
        <v>0</v>
      </c>
      <c r="AX567" s="1124">
        <f t="shared" si="332"/>
        <v>0</v>
      </c>
      <c r="AY567" s="2928">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75"/>
      <c r="B568" s="2876"/>
      <c r="C568" s="2876"/>
      <c r="D568" s="2877"/>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4">
        <f t="shared" si="330"/>
        <v>0</v>
      </c>
      <c r="AW568" s="1124">
        <f t="shared" si="331"/>
        <v>0</v>
      </c>
      <c r="AX568" s="1124">
        <f t="shared" si="332"/>
        <v>0</v>
      </c>
      <c r="AY568" s="2928">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75"/>
      <c r="B569" s="2876"/>
      <c r="C569" s="2876"/>
      <c r="D569" s="2877"/>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4">
        <f t="shared" si="330"/>
        <v>0</v>
      </c>
      <c r="AW569" s="1124">
        <f t="shared" si="331"/>
        <v>0</v>
      </c>
      <c r="AX569" s="1124">
        <f t="shared" si="332"/>
        <v>0</v>
      </c>
      <c r="AY569" s="2928">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75"/>
      <c r="B570" s="2876"/>
      <c r="C570" s="2876"/>
      <c r="D570" s="2877"/>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4">
        <f t="shared" si="330"/>
        <v>0</v>
      </c>
      <c r="AW570" s="1124">
        <f t="shared" si="331"/>
        <v>0</v>
      </c>
      <c r="AX570" s="1124">
        <f t="shared" si="332"/>
        <v>0</v>
      </c>
      <c r="AY570" s="2928">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75"/>
      <c r="B571" s="2876"/>
      <c r="C571" s="2876"/>
      <c r="D571" s="2877"/>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4">
        <f t="shared" si="330"/>
        <v>0</v>
      </c>
      <c r="AW571" s="1124">
        <f t="shared" si="331"/>
        <v>0</v>
      </c>
      <c r="AX571" s="1124">
        <f t="shared" si="332"/>
        <v>0</v>
      </c>
      <c r="AY571" s="2928">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75"/>
      <c r="B572" s="2876"/>
      <c r="C572" s="2876"/>
      <c r="D572" s="2877"/>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4">
        <f t="shared" si="330"/>
        <v>0</v>
      </c>
      <c r="AW572" s="1124">
        <f t="shared" si="331"/>
        <v>0</v>
      </c>
      <c r="AX572" s="1124">
        <f t="shared" si="332"/>
        <v>0</v>
      </c>
      <c r="AY572" s="2928">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75"/>
      <c r="B573" s="2876"/>
      <c r="C573" s="2876"/>
      <c r="D573" s="2877"/>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4">
        <f t="shared" si="330"/>
        <v>0</v>
      </c>
      <c r="AW573" s="1124">
        <f t="shared" si="331"/>
        <v>0</v>
      </c>
      <c r="AX573" s="1124">
        <f t="shared" si="332"/>
        <v>0</v>
      </c>
      <c r="AY573" s="2928">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75"/>
      <c r="B574" s="2876"/>
      <c r="C574" s="2876"/>
      <c r="D574" s="2877"/>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4">
        <f t="shared" si="330"/>
        <v>0</v>
      </c>
      <c r="AW574" s="1124">
        <f t="shared" si="331"/>
        <v>0</v>
      </c>
      <c r="AX574" s="1124">
        <f t="shared" si="332"/>
        <v>0</v>
      </c>
      <c r="AY574" s="2928">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75"/>
      <c r="B575" s="2876"/>
      <c r="C575" s="2876"/>
      <c r="D575" s="2877"/>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4">
        <f t="shared" si="330"/>
        <v>0</v>
      </c>
      <c r="AW575" s="1124">
        <f t="shared" si="331"/>
        <v>0</v>
      </c>
      <c r="AX575" s="1124">
        <f t="shared" si="332"/>
        <v>0</v>
      </c>
      <c r="AY575" s="2928">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75"/>
      <c r="B576" s="2876"/>
      <c r="C576" s="2876"/>
      <c r="D576" s="2877"/>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4">
        <f t="shared" si="330"/>
        <v>0</v>
      </c>
      <c r="AW576" s="1124">
        <f t="shared" si="331"/>
        <v>0</v>
      </c>
      <c r="AX576" s="1124">
        <f t="shared" si="332"/>
        <v>0</v>
      </c>
      <c r="AY576" s="2928">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75"/>
      <c r="B577" s="2876"/>
      <c r="C577" s="2876"/>
      <c r="D577" s="2877"/>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4">
        <f t="shared" si="330"/>
        <v>0</v>
      </c>
      <c r="AW577" s="1124">
        <f t="shared" si="331"/>
        <v>0</v>
      </c>
      <c r="AX577" s="1124">
        <f t="shared" si="332"/>
        <v>0</v>
      </c>
      <c r="AY577" s="2928">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75"/>
      <c r="B578" s="2876"/>
      <c r="C578" s="2876"/>
      <c r="D578" s="2877"/>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4">
        <f t="shared" si="330"/>
        <v>0</v>
      </c>
      <c r="AW578" s="1124">
        <f t="shared" si="331"/>
        <v>0</v>
      </c>
      <c r="AX578" s="1124">
        <f t="shared" si="332"/>
        <v>0</v>
      </c>
      <c r="AY578" s="2928">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75"/>
      <c r="B579" s="2876"/>
      <c r="C579" s="2876"/>
      <c r="D579" s="2877"/>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4">
        <f t="shared" si="330"/>
        <v>0</v>
      </c>
      <c r="AW579" s="1124">
        <f t="shared" si="331"/>
        <v>0</v>
      </c>
      <c r="AX579" s="1124">
        <f t="shared" si="332"/>
        <v>0</v>
      </c>
      <c r="AY579" s="2928">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75"/>
      <c r="B580" s="2876"/>
      <c r="C580" s="2876"/>
      <c r="D580" s="2877"/>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4">
        <f t="shared" si="330"/>
        <v>0</v>
      </c>
      <c r="AW580" s="1124">
        <f t="shared" si="331"/>
        <v>0</v>
      </c>
      <c r="AX580" s="1124">
        <f t="shared" si="332"/>
        <v>0</v>
      </c>
      <c r="AY580" s="2928">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75"/>
      <c r="B581" s="2876"/>
      <c r="C581" s="2876"/>
      <c r="D581" s="2877"/>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4">
        <f t="shared" si="330"/>
        <v>0</v>
      </c>
      <c r="AW581" s="1124">
        <f t="shared" si="331"/>
        <v>0</v>
      </c>
      <c r="AX581" s="1124">
        <f t="shared" si="332"/>
        <v>0</v>
      </c>
      <c r="AY581" s="2928">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75"/>
      <c r="B582" s="2876"/>
      <c r="C582" s="2876"/>
      <c r="D582" s="2877"/>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4">
        <f t="shared" si="330"/>
        <v>0</v>
      </c>
      <c r="AW582" s="1124">
        <f t="shared" si="331"/>
        <v>0</v>
      </c>
      <c r="AX582" s="1124">
        <f t="shared" si="332"/>
        <v>0</v>
      </c>
      <c r="AY582" s="2928">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75"/>
      <c r="B583" s="2876"/>
      <c r="C583" s="2876"/>
      <c r="D583" s="2877"/>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4">
        <f t="shared" si="330"/>
        <v>0</v>
      </c>
      <c r="AW583" s="1124">
        <f t="shared" si="331"/>
        <v>0</v>
      </c>
      <c r="AX583" s="1124">
        <f t="shared" si="332"/>
        <v>0</v>
      </c>
      <c r="AY583" s="2928">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75"/>
      <c r="B584" s="2876"/>
      <c r="C584" s="2876"/>
      <c r="D584" s="2877"/>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4">
        <f t="shared" si="330"/>
        <v>0</v>
      </c>
      <c r="AW584" s="1124">
        <f t="shared" si="331"/>
        <v>0</v>
      </c>
      <c r="AX584" s="1124">
        <f t="shared" si="332"/>
        <v>0</v>
      </c>
      <c r="AY584" s="2928">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75"/>
      <c r="B585" s="2875"/>
      <c r="C585" s="2875"/>
      <c r="D585" s="2877"/>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4">
        <f t="shared" si="330"/>
        <v>0</v>
      </c>
      <c r="AW585" s="1124">
        <f t="shared" si="331"/>
        <v>0</v>
      </c>
      <c r="AX585" s="1124">
        <f t="shared" si="332"/>
        <v>0</v>
      </c>
      <c r="AY585" s="2928">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75"/>
      <c r="B586" s="2875"/>
      <c r="C586" s="2875"/>
      <c r="D586" s="2877"/>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4">
        <f t="shared" si="330"/>
        <v>0</v>
      </c>
      <c r="AW586" s="1124">
        <f t="shared" si="331"/>
        <v>0</v>
      </c>
      <c r="AX586" s="1124">
        <f t="shared" si="332"/>
        <v>0</v>
      </c>
      <c r="AY586" s="2928">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75"/>
      <c r="B587" s="2875"/>
      <c r="C587" s="2875"/>
      <c r="D587" s="2877"/>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4">
        <f t="shared" si="330"/>
        <v>0</v>
      </c>
      <c r="AW587" s="1124">
        <f t="shared" si="331"/>
        <v>0</v>
      </c>
      <c r="AX587" s="1124">
        <f t="shared" si="332"/>
        <v>0</v>
      </c>
      <c r="AY587" s="2928">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6" customFormat="1">
      <c r="A588" s="2945"/>
      <c r="B588" s="2945"/>
      <c r="C588" s="2945"/>
      <c r="D588" s="2945"/>
      <c r="E588" s="2947"/>
      <c r="F588" s="2947"/>
      <c r="G588" s="2945"/>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c r="AU588" s="2945"/>
      <c r="AV588" s="2945"/>
      <c r="AW588" s="2945"/>
      <c r="AX588" s="2945"/>
    </row>
    <row r="589" spans="1:72" s="2857" customFormat="1">
      <c r="C589" s="2946"/>
      <c r="D589" s="2946"/>
    </row>
    <row r="590" spans="1:72" s="2857" customFormat="1">
      <c r="C590" s="2946"/>
      <c r="D590" s="2946"/>
    </row>
    <row r="593" spans="2:2">
      <c r="B593" s="2946"/>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97" t="s">
        <v>473</v>
      </c>
      <c r="B1" s="3297" t="s">
        <v>474</v>
      </c>
      <c r="C1" s="3297" t="s">
        <v>475</v>
      </c>
      <c r="D1" s="3296" t="s">
        <v>476</v>
      </c>
      <c r="E1" s="3296" t="s">
        <v>477</v>
      </c>
      <c r="F1" s="3296"/>
      <c r="G1" s="3296"/>
      <c r="H1" s="3296"/>
      <c r="I1" s="3296"/>
      <c r="J1" s="3296"/>
      <c r="K1" s="3296"/>
      <c r="L1" s="3296"/>
      <c r="M1" s="3296"/>
    </row>
    <row r="2" spans="1:13" ht="27" customHeight="1">
      <c r="A2" s="3297"/>
      <c r="B2" s="3297"/>
      <c r="C2" s="3297"/>
      <c r="D2" s="3296"/>
      <c r="E2" s="3296" t="s">
        <v>478</v>
      </c>
      <c r="F2" s="3296" t="s">
        <v>479</v>
      </c>
      <c r="G2" s="3296"/>
      <c r="H2" s="3296"/>
      <c r="I2" s="3296"/>
      <c r="J2" s="3296" t="s">
        <v>480</v>
      </c>
      <c r="K2" s="3296"/>
      <c r="L2" s="3296"/>
      <c r="M2" s="3296"/>
    </row>
    <row r="3" spans="1:13" ht="28.5">
      <c r="A3" s="3297"/>
      <c r="B3" s="3297"/>
      <c r="C3" s="3297"/>
      <c r="D3" s="3296"/>
      <c r="E3" s="3296"/>
      <c r="F3" s="2852" t="s">
        <v>481</v>
      </c>
      <c r="G3" s="2852" t="s">
        <v>482</v>
      </c>
      <c r="H3" s="2852" t="s">
        <v>483</v>
      </c>
      <c r="I3" s="2852" t="s">
        <v>484</v>
      </c>
      <c r="J3" s="2852" t="s">
        <v>481</v>
      </c>
      <c r="K3" s="2852" t="s">
        <v>485</v>
      </c>
      <c r="L3" s="2852" t="s">
        <v>486</v>
      </c>
      <c r="M3" s="2852" t="s">
        <v>487</v>
      </c>
    </row>
    <row r="4" spans="1:13" ht="42.75">
      <c r="A4" s="2852" t="s">
        <v>488</v>
      </c>
      <c r="B4" s="2852" t="s">
        <v>489</v>
      </c>
      <c r="C4" s="2852" t="s">
        <v>490</v>
      </c>
      <c r="D4" s="2851">
        <v>3807.94</v>
      </c>
      <c r="E4" s="2851">
        <v>20666.91</v>
      </c>
      <c r="F4" s="2851">
        <v>19673</v>
      </c>
      <c r="G4" s="2851">
        <v>0</v>
      </c>
      <c r="H4" s="2851">
        <v>19673</v>
      </c>
      <c r="I4" s="2851">
        <v>0</v>
      </c>
      <c r="J4" s="2851">
        <v>993.91</v>
      </c>
      <c r="K4" s="2851">
        <v>0</v>
      </c>
      <c r="L4" s="2851">
        <v>0</v>
      </c>
      <c r="M4" s="2851">
        <v>993.91</v>
      </c>
    </row>
    <row r="5" spans="1:13" ht="42.75">
      <c r="A5" s="2852" t="s">
        <v>488</v>
      </c>
      <c r="B5" s="2852" t="s">
        <v>491</v>
      </c>
      <c r="C5" s="2852" t="s">
        <v>492</v>
      </c>
      <c r="D5" s="2851">
        <v>3667.86</v>
      </c>
      <c r="E5" s="2851">
        <v>19906.61</v>
      </c>
      <c r="F5" s="2851">
        <v>18792.87</v>
      </c>
      <c r="G5" s="2851">
        <v>18792.87</v>
      </c>
      <c r="H5" s="2851">
        <v>0</v>
      </c>
      <c r="I5" s="2851">
        <v>0</v>
      </c>
      <c r="J5" s="2851">
        <v>1113.74</v>
      </c>
      <c r="K5" s="2851">
        <v>55.59</v>
      </c>
      <c r="L5" s="2851">
        <v>0</v>
      </c>
      <c r="M5" s="2851">
        <v>1058.1500000000001</v>
      </c>
    </row>
    <row r="6" spans="1:13" ht="42.75">
      <c r="A6" s="2852" t="s">
        <v>488</v>
      </c>
      <c r="B6" s="2852" t="s">
        <v>491</v>
      </c>
      <c r="C6" s="2852" t="s">
        <v>493</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488</v>
      </c>
      <c r="B7" s="2852" t="s">
        <v>491</v>
      </c>
      <c r="C7" s="2852" t="s">
        <v>494</v>
      </c>
      <c r="D7" s="2851">
        <v>8.18</v>
      </c>
      <c r="E7" s="2851">
        <v>44.41</v>
      </c>
      <c r="F7" s="2851">
        <v>0</v>
      </c>
      <c r="G7" s="2851">
        <v>0</v>
      </c>
      <c r="H7" s="2851">
        <v>0</v>
      </c>
      <c r="I7" s="2851">
        <v>0</v>
      </c>
      <c r="J7" s="2851">
        <v>44.41</v>
      </c>
      <c r="K7" s="2851">
        <v>44.41</v>
      </c>
      <c r="L7" s="2851">
        <v>0</v>
      </c>
      <c r="M7" s="2851">
        <v>0</v>
      </c>
    </row>
    <row r="8" spans="1:13" ht="42.75">
      <c r="A8" s="2852" t="s">
        <v>488</v>
      </c>
      <c r="B8" s="2852" t="s">
        <v>491</v>
      </c>
      <c r="C8" s="2852" t="s">
        <v>484</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96" t="s">
        <v>495</v>
      </c>
      <c r="B9" s="3296"/>
      <c r="C9" s="3296"/>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3" sqref="J13"/>
    </sheetView>
  </sheetViews>
  <sheetFormatPr defaultColWidth="9.25" defaultRowHeight="14.25"/>
  <cols>
    <col min="1" max="1" width="12.125" style="2764" customWidth="1"/>
    <col min="2" max="2" width="10.25" style="2764" customWidth="1"/>
    <col min="3" max="3" width="18.5" style="2764" customWidth="1"/>
    <col min="4" max="4" width="11.625" style="2764" customWidth="1"/>
    <col min="5" max="5" width="13.375" style="2764" customWidth="1"/>
    <col min="6" max="8" width="11.5" style="2764" customWidth="1"/>
    <col min="9" max="9" width="11.125" style="2764" customWidth="1"/>
    <col min="10" max="10" width="3.125" style="2765" customWidth="1"/>
    <col min="11" max="16" width="10" style="2764" customWidth="1"/>
    <col min="17" max="17" width="2.625" style="2764" customWidth="1"/>
    <col min="18" max="18" width="9.375" style="2764" customWidth="1"/>
    <col min="19" max="19" width="10.5" style="2764" customWidth="1"/>
    <col min="20" max="16384" width="9.25" style="2764"/>
  </cols>
  <sheetData>
    <row r="1" spans="1:16" ht="18.75">
      <c r="A1" s="2196" t="s">
        <v>496</v>
      </c>
      <c r="B1" s="2251"/>
      <c r="C1" s="2251"/>
      <c r="D1" s="2251"/>
      <c r="E1" s="2251"/>
      <c r="F1" s="2251"/>
      <c r="G1" s="2251"/>
      <c r="H1" s="2251"/>
      <c r="I1" s="2251"/>
      <c r="J1" s="2251"/>
      <c r="K1" s="2251"/>
      <c r="L1" s="2251"/>
      <c r="M1" s="2251"/>
      <c r="N1" s="2251"/>
      <c r="O1" s="2251"/>
      <c r="P1" s="2251"/>
    </row>
    <row r="2" spans="1:16" ht="15">
      <c r="A2" s="3307" t="s">
        <v>497</v>
      </c>
      <c r="B2" s="3307"/>
      <c r="C2" s="3307"/>
      <c r="D2" s="2106" t="s">
        <v>498</v>
      </c>
      <c r="E2" s="2792" t="s">
        <v>499</v>
      </c>
      <c r="F2" s="2793"/>
      <c r="G2" s="2794"/>
      <c r="H2" s="2795"/>
      <c r="I2" s="2395" t="s">
        <v>500</v>
      </c>
      <c r="J2" s="2793"/>
      <c r="K2" s="2793"/>
      <c r="L2" s="2793"/>
      <c r="M2" s="2793"/>
      <c r="N2" s="1252"/>
      <c r="O2" s="2793"/>
      <c r="P2" s="2793"/>
    </row>
    <row r="3" spans="1:16" ht="15">
      <c r="A3" s="3308" t="s">
        <v>501</v>
      </c>
      <c r="B3" s="3308"/>
      <c r="C3" s="3308"/>
      <c r="D3" s="2766">
        <f>'数据-基础表'!AY6</f>
        <v>8299.16</v>
      </c>
      <c r="E3" s="2766">
        <f>'数据-基础表'!AZ5</f>
        <v>29009.8</v>
      </c>
      <c r="F3" s="2793"/>
      <c r="G3" s="2796"/>
      <c r="H3" s="2214" t="s">
        <v>502</v>
      </c>
      <c r="I3" s="2831">
        <f>ROUND('数据-基础表'!B3/'数据-基础表'!A3,2)</f>
        <v>3.5</v>
      </c>
      <c r="J3" s="2793"/>
      <c r="K3" s="2793"/>
      <c r="L3" s="2793"/>
      <c r="M3" s="2793"/>
      <c r="N3" s="1252"/>
      <c r="O3" s="2793"/>
      <c r="P3" s="2793"/>
    </row>
    <row r="4" spans="1:16" ht="15">
      <c r="A4" s="3309"/>
      <c r="B4" s="3310"/>
      <c r="C4" s="3311"/>
      <c r="D4" s="2767" t="s">
        <v>498</v>
      </c>
      <c r="E4" s="2797" t="s">
        <v>499</v>
      </c>
      <c r="F4" s="2793"/>
      <c r="G4" s="2798" t="s">
        <v>503</v>
      </c>
      <c r="H4" s="2214" t="s">
        <v>504</v>
      </c>
      <c r="I4" s="2831">
        <f>ROUND(SUMIF('数据-基础表'!I9:AS9,"地上",'数据-基础表'!I5:AS5)/'数据-基础表'!A3,2)</f>
        <v>3.07</v>
      </c>
      <c r="J4" s="2793"/>
      <c r="K4" s="2793"/>
      <c r="L4" s="2793"/>
      <c r="M4" s="2793"/>
      <c r="N4" s="1252"/>
      <c r="O4" s="2793"/>
      <c r="P4" s="2793"/>
    </row>
    <row r="5" spans="1:16">
      <c r="A5" s="2768" t="s">
        <v>505</v>
      </c>
      <c r="B5" s="3312" t="s">
        <v>506</v>
      </c>
      <c r="C5" s="3312"/>
      <c r="D5" s="2769">
        <f>ROUND($D$3*E5/$E$3,2)</f>
        <v>0</v>
      </c>
      <c r="E5" s="2799">
        <f>SUMIF('数据-基础表'!$11:$11,"住宅",'数据-基础表'!$5:$5)</f>
        <v>0</v>
      </c>
      <c r="F5" s="2793"/>
      <c r="G5" s="2796"/>
      <c r="H5" s="2214" t="s">
        <v>502</v>
      </c>
      <c r="I5" s="2831">
        <f>ROUND(E31/D31,2)</f>
        <v>3.5</v>
      </c>
      <c r="J5" s="2793"/>
      <c r="K5" s="2793"/>
      <c r="L5" s="2793"/>
      <c r="M5" s="2793"/>
      <c r="N5" s="2793"/>
      <c r="O5" s="2793"/>
      <c r="P5" s="2793"/>
    </row>
    <row r="6" spans="1:16">
      <c r="A6" s="2770"/>
      <c r="B6" s="3312" t="s">
        <v>507</v>
      </c>
      <c r="C6" s="3312"/>
      <c r="D6" s="2769">
        <f>ROUND($D$3*E6/$E$3,2)</f>
        <v>8299.16</v>
      </c>
      <c r="E6" s="2799">
        <f>E3-E5</f>
        <v>29009.8</v>
      </c>
      <c r="F6" s="2793"/>
      <c r="G6" s="2800" t="s">
        <v>508</v>
      </c>
      <c r="H6" s="2801" t="s">
        <v>504</v>
      </c>
      <c r="I6" s="2832">
        <f>ROUND(F31/D31,2)</f>
        <v>3.07</v>
      </c>
      <c r="J6" s="2793"/>
      <c r="K6" s="2793"/>
      <c r="L6" s="2793"/>
      <c r="M6" s="2793"/>
      <c r="N6" s="2793"/>
      <c r="O6" s="2793"/>
      <c r="P6" s="2793"/>
    </row>
    <row r="7" spans="1:16" ht="15">
      <c r="A7" s="3298"/>
      <c r="B7" s="3299"/>
      <c r="C7" s="3300"/>
      <c r="D7" s="2767" t="s">
        <v>498</v>
      </c>
      <c r="E7" s="2802" t="s">
        <v>509</v>
      </c>
      <c r="F7" s="2793"/>
      <c r="G7" s="2803" t="s">
        <v>510</v>
      </c>
      <c r="H7" s="2804"/>
      <c r="I7" s="2833"/>
      <c r="J7" s="2793"/>
      <c r="K7" s="2793"/>
      <c r="L7" s="2793"/>
      <c r="M7" s="2793"/>
      <c r="N7" s="2793"/>
      <c r="O7" s="2793"/>
      <c r="P7" s="2793"/>
    </row>
    <row r="8" spans="1:16">
      <c r="A8" s="2768" t="s">
        <v>511</v>
      </c>
      <c r="B8" s="2771" t="s">
        <v>512</v>
      </c>
      <c r="C8" s="2769" t="s">
        <v>513</v>
      </c>
      <c r="D8" s="2769">
        <f t="shared" ref="D8:D15" si="0">ROUND($D$3*E8/$E$3,2)</f>
        <v>7284.46</v>
      </c>
      <c r="E8" s="2805">
        <f>SUMIF('数据-基础表'!BB10:BK10,"地上",'数据-基础表'!BB5:BK5)</f>
        <v>25462.9</v>
      </c>
      <c r="F8" s="2793"/>
      <c r="G8" s="2806"/>
      <c r="H8" s="2806"/>
      <c r="I8" s="2793"/>
      <c r="J8" s="2793"/>
      <c r="K8" s="2793"/>
      <c r="L8" s="2793"/>
      <c r="M8" s="2793"/>
      <c r="N8" s="2793"/>
      <c r="O8" s="2793"/>
      <c r="P8" s="2793"/>
    </row>
    <row r="9" spans="1:16">
      <c r="A9" s="2772"/>
      <c r="B9" s="2773"/>
      <c r="C9" s="2769" t="s">
        <v>514</v>
      </c>
      <c r="D9" s="2769">
        <f t="shared" si="0"/>
        <v>0</v>
      </c>
      <c r="E9" s="2807">
        <v>0</v>
      </c>
      <c r="F9" s="2793"/>
      <c r="G9" s="2806"/>
      <c r="H9" s="2806"/>
      <c r="I9" s="2793"/>
      <c r="J9" s="2793"/>
      <c r="K9" s="2793"/>
      <c r="L9" s="2793"/>
      <c r="M9" s="2793"/>
      <c r="N9" s="2793"/>
      <c r="O9" s="2793"/>
      <c r="P9" s="2793"/>
    </row>
    <row r="10" spans="1:16">
      <c r="A10" s="2772"/>
      <c r="B10" s="2773"/>
      <c r="C10" s="2769" t="s">
        <v>515</v>
      </c>
      <c r="D10" s="2769">
        <f t="shared" si="0"/>
        <v>1014.7</v>
      </c>
      <c r="E10" s="2805">
        <f>SUMPRODUCT(('数据-基础表'!BB10:BK10="地下")*('数据-基础表'!BB11:BK11="商业")*('数据-基础表'!BB5:BK5))</f>
        <v>3546.9</v>
      </c>
      <c r="F10" s="2793"/>
      <c r="G10" s="2806"/>
      <c r="H10" s="2806"/>
      <c r="I10" s="2793"/>
      <c r="J10" s="2793"/>
      <c r="K10" s="2793"/>
      <c r="L10" s="2793"/>
      <c r="M10" s="2793"/>
      <c r="N10" s="2793"/>
      <c r="O10" s="2793"/>
      <c r="P10" s="2793"/>
    </row>
    <row r="11" spans="1:16">
      <c r="A11" s="2772"/>
      <c r="B11" s="2773"/>
      <c r="C11" s="2769" t="s">
        <v>516</v>
      </c>
      <c r="D11" s="2769">
        <f t="shared" si="0"/>
        <v>0</v>
      </c>
      <c r="E11" s="2805">
        <f>SUMPRODUCT(('数据-基础表'!BB10:BK10="地下")*('数据-基础表'!BB11:BK11="办公")*('数据-基础表'!BB5:BK5))+'数据-基础表'!BP5</f>
        <v>0</v>
      </c>
      <c r="F11" s="2793"/>
      <c r="G11" s="2806"/>
      <c r="H11" s="2806"/>
      <c r="I11" s="2793"/>
      <c r="J11" s="2793"/>
      <c r="K11" s="2793"/>
      <c r="L11" s="2793"/>
      <c r="M11" s="2793"/>
      <c r="N11" s="2793"/>
      <c r="O11" s="2793"/>
      <c r="P11" s="2793"/>
    </row>
    <row r="12" spans="1:16">
      <c r="A12" s="2772"/>
      <c r="B12" s="2773"/>
      <c r="C12" s="2769" t="s">
        <v>517</v>
      </c>
      <c r="D12" s="2769">
        <f t="shared" si="0"/>
        <v>0</v>
      </c>
      <c r="E12" s="2805">
        <f>SUMPRODUCT(('数据-基础表'!BB10:BK10="地下")*('数据-基础表'!BB11:BK11="仓储")*('数据-基础表'!BB5:BK5))</f>
        <v>0</v>
      </c>
      <c r="F12" s="2793"/>
      <c r="G12" s="2806"/>
      <c r="H12" s="2806"/>
      <c r="I12" s="2793"/>
      <c r="J12" s="2793"/>
      <c r="K12" s="2793"/>
      <c r="L12" s="2793"/>
      <c r="M12" s="2793"/>
      <c r="N12" s="2793"/>
      <c r="O12" s="2793"/>
      <c r="P12" s="2793"/>
    </row>
    <row r="13" spans="1:16">
      <c r="A13" s="2772"/>
      <c r="B13" s="2773"/>
      <c r="C13" s="2769" t="s">
        <v>518</v>
      </c>
      <c r="D13" s="2769">
        <f t="shared" si="0"/>
        <v>0</v>
      </c>
      <c r="E13" s="2805">
        <f>SUMPRODUCT(('数据-基础表'!BB10:BK10="地下")*('数据-基础表'!BB11:BK11="车库")*('数据-基础表'!BB5:BK5))</f>
        <v>0</v>
      </c>
      <c r="F13" s="2793"/>
      <c r="G13" s="2806"/>
      <c r="H13" s="2806"/>
      <c r="I13" s="2793"/>
      <c r="J13" s="2793"/>
      <c r="K13" s="2793"/>
      <c r="L13" s="2793"/>
      <c r="M13" s="2793"/>
      <c r="N13" s="2793"/>
      <c r="O13" s="2793"/>
      <c r="P13" s="2793"/>
    </row>
    <row r="14" spans="1:16">
      <c r="A14" s="2772"/>
      <c r="B14" s="2773"/>
      <c r="C14" s="2769" t="s">
        <v>519</v>
      </c>
      <c r="D14" s="2769">
        <f t="shared" si="0"/>
        <v>0</v>
      </c>
      <c r="E14" s="2805">
        <f>SUMPRODUCT(('数据-基础表'!BB10:BK10="地下")*('数据-基础表'!BB11:BK11="车库—商业")*('数据-基础表'!BB5:BK5))</f>
        <v>0</v>
      </c>
      <c r="F14" s="2793"/>
      <c r="G14" s="2806"/>
      <c r="H14" s="2806"/>
      <c r="I14" s="2793"/>
      <c r="J14" s="2793"/>
      <c r="K14" s="2793"/>
      <c r="L14" s="2793"/>
      <c r="M14" s="2793"/>
      <c r="N14" s="2793"/>
      <c r="O14" s="2793"/>
      <c r="P14" s="2793"/>
    </row>
    <row r="15" spans="1:16">
      <c r="A15" s="2772"/>
      <c r="B15" s="2773"/>
      <c r="C15" s="2769" t="s">
        <v>520</v>
      </c>
      <c r="D15" s="2769">
        <f t="shared" si="0"/>
        <v>0</v>
      </c>
      <c r="E15" s="2805">
        <f>SUMPRODUCT(('数据-基础表'!BB10:BK10="地下")*('数据-基础表'!BB11:BK11="车库—办公")*('数据-基础表'!BB5:BK5))</f>
        <v>0</v>
      </c>
      <c r="F15" s="2793"/>
      <c r="G15" s="2806"/>
      <c r="H15" s="2806"/>
      <c r="I15" s="2793"/>
      <c r="J15" s="2793"/>
      <c r="K15" s="2793"/>
      <c r="L15" s="2793"/>
      <c r="M15" s="2793"/>
      <c r="N15" s="2793"/>
      <c r="O15" s="2793"/>
      <c r="P15" s="2793"/>
    </row>
    <row r="16" spans="1:16" ht="15">
      <c r="A16" s="2770"/>
      <c r="B16" s="2773"/>
      <c r="C16" s="2771" t="s">
        <v>521</v>
      </c>
      <c r="D16" s="2771">
        <f>SUM(D8:D15)</f>
        <v>8299.16</v>
      </c>
      <c r="E16" s="2808">
        <f>SUM(E8:E15)</f>
        <v>29009.8</v>
      </c>
      <c r="F16" s="2793"/>
      <c r="G16" s="2806"/>
      <c r="H16" s="2809" t="s">
        <v>522</v>
      </c>
      <c r="I16" s="2834"/>
      <c r="J16" s="2251"/>
      <c r="K16" s="3301" t="s">
        <v>522</v>
      </c>
      <c r="L16" s="3302"/>
      <c r="M16" s="3302"/>
      <c r="N16" s="3302"/>
      <c r="O16" s="3302"/>
      <c r="P16" s="3303"/>
    </row>
    <row r="17" spans="1:19" ht="15">
      <c r="A17" s="2736" t="s">
        <v>523</v>
      </c>
      <c r="B17" s="2774" t="s">
        <v>524</v>
      </c>
      <c r="C17" s="2725" t="s">
        <v>525</v>
      </c>
      <c r="D17" s="2775" t="s">
        <v>498</v>
      </c>
      <c r="E17" s="2810" t="s">
        <v>499</v>
      </c>
      <c r="F17" s="2811"/>
      <c r="G17" s="2812"/>
      <c r="H17" s="2813" t="s">
        <v>526</v>
      </c>
      <c r="I17" s="2835" t="s">
        <v>527</v>
      </c>
      <c r="J17" s="2251"/>
      <c r="K17" s="3304" t="s">
        <v>528</v>
      </c>
      <c r="L17" s="3305"/>
      <c r="M17" s="3306"/>
      <c r="N17" s="3304" t="s">
        <v>529</v>
      </c>
      <c r="O17" s="3305"/>
      <c r="P17" s="3306"/>
      <c r="R17" s="2848" t="s">
        <v>530</v>
      </c>
      <c r="S17" s="2205"/>
    </row>
    <row r="18" spans="1:19" ht="15">
      <c r="A18" s="2772"/>
      <c r="B18" s="2776"/>
      <c r="C18" s="2777"/>
      <c r="D18" s="2778"/>
      <c r="E18" s="2814" t="s">
        <v>531</v>
      </c>
      <c r="F18" s="2815" t="s">
        <v>504</v>
      </c>
      <c r="G18" s="2816" t="s">
        <v>532</v>
      </c>
      <c r="H18" s="2738" t="s">
        <v>533</v>
      </c>
      <c r="I18" s="2836" t="s">
        <v>534</v>
      </c>
      <c r="J18" s="2251"/>
      <c r="K18" s="2738" t="s">
        <v>535</v>
      </c>
      <c r="L18" s="2439" t="s">
        <v>536</v>
      </c>
      <c r="M18" s="2831" t="s">
        <v>537</v>
      </c>
      <c r="N18" s="2738" t="s">
        <v>535</v>
      </c>
      <c r="O18" s="2439" t="s">
        <v>536</v>
      </c>
      <c r="P18" s="2831" t="s">
        <v>537</v>
      </c>
      <c r="R18" s="2214" t="s">
        <v>533</v>
      </c>
      <c r="S18" s="2214" t="s">
        <v>534</v>
      </c>
    </row>
    <row r="19" spans="1:19">
      <c r="A19" s="2779"/>
      <c r="B19" s="2771" t="s">
        <v>538</v>
      </c>
      <c r="C19" s="2780" t="s">
        <v>463</v>
      </c>
      <c r="D19" s="2769">
        <f>ROUND($D$3*E19/$E$3,2)</f>
        <v>8299.16</v>
      </c>
      <c r="E19" s="2817">
        <f t="shared" ref="E19:E26" si="1">SUM(F19:G19)</f>
        <v>29009.8</v>
      </c>
      <c r="F19" s="2818">
        <f>'数据-基础表'!I5</f>
        <v>25462.9</v>
      </c>
      <c r="G19" s="2819">
        <f>'数据-基础表'!K5</f>
        <v>3546.9</v>
      </c>
      <c r="H19" s="2719">
        <f>ROUND($D$3*I19/$E$3,2)</f>
        <v>0</v>
      </c>
      <c r="I19" s="2805">
        <f t="shared" ref="I19:I26" si="2">IF($I$17="自定义",P19,M19)</f>
        <v>0</v>
      </c>
      <c r="J19" s="2251"/>
      <c r="K19" s="2837">
        <f t="shared" ref="K19:K26" si="3">ROUND(E$28*E19/E$27,2)</f>
        <v>0</v>
      </c>
      <c r="L19" s="2214">
        <f t="shared" ref="L19:L26" si="4">ROUND(IF(COUNTIF(C19,"*住宅*")&gt;0,E$29*E19/E$32,0),2)</f>
        <v>0</v>
      </c>
      <c r="M19" s="2841">
        <f>K19+L19</f>
        <v>0</v>
      </c>
      <c r="N19" s="2842"/>
      <c r="O19" s="2843"/>
      <c r="P19" s="2841">
        <f>N19+O19</f>
        <v>0</v>
      </c>
      <c r="R19" s="2214">
        <f t="shared" ref="R19:S26" si="5">D19+H19</f>
        <v>8299.16</v>
      </c>
      <c r="S19" s="2849">
        <f t="shared" si="5"/>
        <v>29009.8</v>
      </c>
    </row>
    <row r="20" spans="1:19">
      <c r="A20" s="2781"/>
      <c r="B20" s="2771" t="s">
        <v>538</v>
      </c>
      <c r="C20" s="2782"/>
      <c r="D20" s="2769">
        <f t="shared" ref="D20:D26" si="6">ROUND($D$3*E20/$E$3,2)</f>
        <v>0</v>
      </c>
      <c r="E20" s="2817">
        <f t="shared" si="1"/>
        <v>0</v>
      </c>
      <c r="F20" s="2818"/>
      <c r="G20" s="2819"/>
      <c r="H20" s="2719">
        <f t="shared" ref="H20:H26" si="7">ROUND($D$3*I20/$E$3,2)</f>
        <v>0</v>
      </c>
      <c r="I20" s="2805">
        <f t="shared" si="2"/>
        <v>0</v>
      </c>
      <c r="J20" s="2251"/>
      <c r="K20" s="2837">
        <f t="shared" si="3"/>
        <v>0</v>
      </c>
      <c r="L20" s="2214">
        <f t="shared" si="4"/>
        <v>0</v>
      </c>
      <c r="M20" s="2841">
        <f t="shared" ref="M20:M26" si="8">K20+L20</f>
        <v>0</v>
      </c>
      <c r="N20" s="2842"/>
      <c r="O20" s="2843"/>
      <c r="P20" s="2841">
        <f t="shared" ref="P20:P26" si="9">N20+O20</f>
        <v>0</v>
      </c>
      <c r="R20" s="2214">
        <f t="shared" si="5"/>
        <v>0</v>
      </c>
      <c r="S20" s="2849">
        <f t="shared" si="5"/>
        <v>0</v>
      </c>
    </row>
    <row r="21" spans="1:19">
      <c r="A21" s="2781"/>
      <c r="B21" s="2771" t="s">
        <v>538</v>
      </c>
      <c r="C21" s="2782"/>
      <c r="D21" s="2769">
        <f t="shared" si="6"/>
        <v>0</v>
      </c>
      <c r="E21" s="2817">
        <f t="shared" si="1"/>
        <v>0</v>
      </c>
      <c r="F21" s="2818"/>
      <c r="G21" s="2819"/>
      <c r="H21" s="2719">
        <f t="shared" si="7"/>
        <v>0</v>
      </c>
      <c r="I21" s="2805">
        <f t="shared" si="2"/>
        <v>0</v>
      </c>
      <c r="J21" s="2251"/>
      <c r="K21" s="2837">
        <f t="shared" si="3"/>
        <v>0</v>
      </c>
      <c r="L21" s="2214">
        <f t="shared" si="4"/>
        <v>0</v>
      </c>
      <c r="M21" s="2841">
        <f t="shared" si="8"/>
        <v>0</v>
      </c>
      <c r="N21" s="2842"/>
      <c r="O21" s="2843"/>
      <c r="P21" s="2841">
        <f t="shared" si="9"/>
        <v>0</v>
      </c>
      <c r="R21" s="2214">
        <f t="shared" si="5"/>
        <v>0</v>
      </c>
      <c r="S21" s="2849">
        <f t="shared" si="5"/>
        <v>0</v>
      </c>
    </row>
    <row r="22" spans="1:19">
      <c r="A22" s="2781"/>
      <c r="B22" s="2771" t="s">
        <v>538</v>
      </c>
      <c r="C22" s="2783"/>
      <c r="D22" s="2769">
        <f t="shared" si="6"/>
        <v>0</v>
      </c>
      <c r="E22" s="2817">
        <f t="shared" si="1"/>
        <v>0</v>
      </c>
      <c r="F22" s="2820"/>
      <c r="G22" s="2821"/>
      <c r="H22" s="2719">
        <f t="shared" si="7"/>
        <v>0</v>
      </c>
      <c r="I22" s="2805">
        <f t="shared" si="2"/>
        <v>0</v>
      </c>
      <c r="J22" s="2251"/>
      <c r="K22" s="2837">
        <f t="shared" si="3"/>
        <v>0</v>
      </c>
      <c r="L22" s="2214">
        <f t="shared" si="4"/>
        <v>0</v>
      </c>
      <c r="M22" s="2841">
        <f t="shared" si="8"/>
        <v>0</v>
      </c>
      <c r="N22" s="2842"/>
      <c r="O22" s="2843"/>
      <c r="P22" s="2841">
        <f t="shared" si="9"/>
        <v>0</v>
      </c>
      <c r="R22" s="2214">
        <f t="shared" si="5"/>
        <v>0</v>
      </c>
      <c r="S22" s="2849">
        <f t="shared" si="5"/>
        <v>0</v>
      </c>
    </row>
    <row r="23" spans="1:19">
      <c r="A23" s="2781"/>
      <c r="B23" s="2771" t="s">
        <v>538</v>
      </c>
      <c r="C23" s="2783"/>
      <c r="D23" s="2769">
        <f t="shared" si="6"/>
        <v>0</v>
      </c>
      <c r="E23" s="2817">
        <f t="shared" si="1"/>
        <v>0</v>
      </c>
      <c r="F23" s="2820"/>
      <c r="G23" s="2821"/>
      <c r="H23" s="2719">
        <f t="shared" si="7"/>
        <v>0</v>
      </c>
      <c r="I23" s="2805">
        <f t="shared" si="2"/>
        <v>0</v>
      </c>
      <c r="J23" s="2251"/>
      <c r="K23" s="2837">
        <f t="shared" si="3"/>
        <v>0</v>
      </c>
      <c r="L23" s="2214">
        <f t="shared" si="4"/>
        <v>0</v>
      </c>
      <c r="M23" s="2841">
        <f t="shared" si="8"/>
        <v>0</v>
      </c>
      <c r="N23" s="2842"/>
      <c r="O23" s="2843"/>
      <c r="P23" s="2841">
        <f t="shared" si="9"/>
        <v>0</v>
      </c>
      <c r="R23" s="2214">
        <f t="shared" si="5"/>
        <v>0</v>
      </c>
      <c r="S23" s="2849">
        <f t="shared" si="5"/>
        <v>0</v>
      </c>
    </row>
    <row r="24" spans="1:19">
      <c r="A24" s="2781"/>
      <c r="B24" s="2771" t="s">
        <v>538</v>
      </c>
      <c r="C24" s="2783"/>
      <c r="D24" s="2769">
        <f t="shared" si="6"/>
        <v>0</v>
      </c>
      <c r="E24" s="2817">
        <f t="shared" si="1"/>
        <v>0</v>
      </c>
      <c r="F24" s="2820"/>
      <c r="G24" s="2821"/>
      <c r="H24" s="2719">
        <f t="shared" si="7"/>
        <v>0</v>
      </c>
      <c r="I24" s="2805">
        <f t="shared" si="2"/>
        <v>0</v>
      </c>
      <c r="J24" s="2251"/>
      <c r="K24" s="2837">
        <f t="shared" si="3"/>
        <v>0</v>
      </c>
      <c r="L24" s="2214">
        <f t="shared" si="4"/>
        <v>0</v>
      </c>
      <c r="M24" s="2841">
        <f t="shared" si="8"/>
        <v>0</v>
      </c>
      <c r="N24" s="2842"/>
      <c r="O24" s="2843"/>
      <c r="P24" s="2841">
        <f t="shared" si="9"/>
        <v>0</v>
      </c>
      <c r="R24" s="2214">
        <f t="shared" si="5"/>
        <v>0</v>
      </c>
      <c r="S24" s="2849">
        <f t="shared" si="5"/>
        <v>0</v>
      </c>
    </row>
    <row r="25" spans="1:19">
      <c r="A25" s="2781"/>
      <c r="B25" s="2771" t="s">
        <v>538</v>
      </c>
      <c r="C25" s="2783"/>
      <c r="D25" s="2769">
        <f t="shared" si="6"/>
        <v>0</v>
      </c>
      <c r="E25" s="2817">
        <f t="shared" si="1"/>
        <v>0</v>
      </c>
      <c r="F25" s="2820"/>
      <c r="G25" s="2821"/>
      <c r="H25" s="2768">
        <f t="shared" si="7"/>
        <v>0</v>
      </c>
      <c r="I25" s="2805">
        <f t="shared" si="2"/>
        <v>0</v>
      </c>
      <c r="J25" s="2251"/>
      <c r="K25" s="2837">
        <f t="shared" si="3"/>
        <v>0</v>
      </c>
      <c r="L25" s="2214">
        <f t="shared" si="4"/>
        <v>0</v>
      </c>
      <c r="M25" s="2841">
        <f t="shared" si="8"/>
        <v>0</v>
      </c>
      <c r="N25" s="2842"/>
      <c r="O25" s="2843"/>
      <c r="P25" s="2841">
        <f t="shared" si="9"/>
        <v>0</v>
      </c>
      <c r="R25" s="2214">
        <f t="shared" si="5"/>
        <v>0</v>
      </c>
      <c r="S25" s="2849">
        <f t="shared" si="5"/>
        <v>0</v>
      </c>
    </row>
    <row r="26" spans="1:19">
      <c r="A26" s="2781"/>
      <c r="B26" s="2771" t="s">
        <v>538</v>
      </c>
      <c r="C26" s="2784"/>
      <c r="D26" s="2769">
        <f t="shared" si="6"/>
        <v>0</v>
      </c>
      <c r="E26" s="2817">
        <f t="shared" si="1"/>
        <v>0</v>
      </c>
      <c r="F26" s="2820"/>
      <c r="G26" s="2821"/>
      <c r="H26" s="2768">
        <f t="shared" si="7"/>
        <v>0</v>
      </c>
      <c r="I26" s="2805">
        <f t="shared" si="2"/>
        <v>0</v>
      </c>
      <c r="J26" s="2251"/>
      <c r="K26" s="2796">
        <f t="shared" si="3"/>
        <v>0</v>
      </c>
      <c r="L26" s="2801">
        <f t="shared" si="4"/>
        <v>0</v>
      </c>
      <c r="M26" s="2827">
        <f t="shared" si="8"/>
        <v>0</v>
      </c>
      <c r="N26" s="2844"/>
      <c r="O26" s="2845"/>
      <c r="P26" s="2827">
        <f t="shared" si="9"/>
        <v>0</v>
      </c>
      <c r="R26" s="2214">
        <f t="shared" si="5"/>
        <v>0</v>
      </c>
      <c r="S26" s="2849">
        <f t="shared" si="5"/>
        <v>0</v>
      </c>
    </row>
    <row r="27" spans="1:19" ht="15">
      <c r="A27" s="2781"/>
      <c r="B27" s="2769"/>
      <c r="C27" s="2435" t="s">
        <v>539</v>
      </c>
      <c r="D27" s="2785">
        <f>SUM(D19:D26)</f>
        <v>8299.16</v>
      </c>
      <c r="E27" s="2822">
        <f>IF(SUM(E19:E26)='数据-基础表'!BA5,SUM(E19:E26),IF(F27="地上面积有误","面积有误","地下面积有误"))</f>
        <v>29009.8</v>
      </c>
      <c r="F27" s="2785">
        <f>IF(SUM(F19:F26)=E8,SUM(F19:F26),"地上面积有误")</f>
        <v>25462.9</v>
      </c>
      <c r="G27" s="2823">
        <f>SUM(G19:G26)</f>
        <v>3546.9</v>
      </c>
      <c r="H27" s="2824">
        <f>SUM(H19:H26)</f>
        <v>0</v>
      </c>
      <c r="I27" s="2838">
        <f>SUM(I19:I26)</f>
        <v>0</v>
      </c>
      <c r="J27" s="2251"/>
      <c r="K27" s="2839">
        <f>SUM(K19:K26)</f>
        <v>0</v>
      </c>
      <c r="L27" s="2840">
        <f>SUM(L19:L26)</f>
        <v>0</v>
      </c>
      <c r="M27" s="2846">
        <f>SUM(M19:M26)</f>
        <v>0</v>
      </c>
      <c r="N27" s="2839">
        <f t="shared" ref="N27:P27" si="10">SUM(N19:N26)</f>
        <v>0</v>
      </c>
      <c r="O27" s="2840">
        <f t="shared" si="10"/>
        <v>0</v>
      </c>
      <c r="P27" s="2847">
        <f t="shared" si="10"/>
        <v>0</v>
      </c>
      <c r="R27" s="2758">
        <f>IF(SUM(R19:R26)=$D$3,SUM(R19:R26),SUM(R19:R26)&amp;"误差"&amp;ROUND(SUM(R19:R26)-$D$3,2))</f>
        <v>8299.16</v>
      </c>
      <c r="S27" s="2214">
        <f>IF(SUM(S19:S26)=$E$3,SUM(S19:S26),SUM(S19:S26)&amp;"误差"&amp;ROUND(SUM(S19:S26)-E3,2))</f>
        <v>29009.8</v>
      </c>
    </row>
    <row r="28" spans="1:19">
      <c r="A28" s="2781"/>
      <c r="B28" s="2771" t="s">
        <v>540</v>
      </c>
      <c r="C28" s="2732" t="s">
        <v>541</v>
      </c>
      <c r="D28" s="2769">
        <f>ROUND($D$3*E28/$E$3,2)</f>
        <v>0</v>
      </c>
      <c r="E28" s="2817">
        <f>SUM(F28:G28)</f>
        <v>0</v>
      </c>
      <c r="F28" s="2205">
        <f>'数据-基础表'!BQ5+'数据-基础表'!BS5</f>
        <v>0</v>
      </c>
      <c r="G28" s="2825">
        <f>'数据-基础表'!BR5+'数据-基础表'!BT5</f>
        <v>0</v>
      </c>
      <c r="H28" s="2793"/>
      <c r="I28" s="2793"/>
      <c r="J28" s="2793"/>
      <c r="K28" s="2793"/>
      <c r="L28" s="2793"/>
      <c r="M28" s="2793"/>
      <c r="N28" s="2793"/>
      <c r="O28" s="2793"/>
      <c r="P28" s="2793"/>
    </row>
    <row r="29" spans="1:19">
      <c r="A29" s="2781"/>
      <c r="B29" s="2771" t="s">
        <v>540</v>
      </c>
      <c r="C29" s="2249" t="s">
        <v>542</v>
      </c>
      <c r="D29" s="2769">
        <f>ROUND($D$3*E29/$E$3,2)</f>
        <v>0</v>
      </c>
      <c r="E29" s="2817">
        <f>SUM(F29:G29)</f>
        <v>0</v>
      </c>
      <c r="F29" s="2826">
        <f>'数据-基础表'!BM5+'数据-基础表'!BO5</f>
        <v>0</v>
      </c>
      <c r="G29" s="2827">
        <f>'数据-基础表'!BN5+'数据-基础表'!BP5</f>
        <v>0</v>
      </c>
      <c r="H29" s="2793"/>
      <c r="I29" s="2793"/>
      <c r="J29" s="2793"/>
      <c r="K29" s="2793"/>
      <c r="L29" s="2793"/>
      <c r="M29" s="2793"/>
      <c r="N29" s="2793"/>
      <c r="O29" s="2793"/>
      <c r="P29" s="2793"/>
    </row>
    <row r="30" spans="1:19" ht="15">
      <c r="A30" s="2781"/>
      <c r="B30" s="2771"/>
      <c r="C30" s="2786" t="s">
        <v>539</v>
      </c>
      <c r="D30" s="2785">
        <f>SUM(D28:D29)</f>
        <v>0</v>
      </c>
      <c r="E30" s="2785">
        <f>SUM(E28:E29)</f>
        <v>0</v>
      </c>
      <c r="F30" s="2785">
        <f>SUM(F28:F29)</f>
        <v>0</v>
      </c>
      <c r="G30" s="2823">
        <f>SUM(G28:G29)</f>
        <v>0</v>
      </c>
      <c r="H30" s="2793"/>
      <c r="I30" s="2793"/>
      <c r="J30" s="2793"/>
      <c r="K30" s="2793"/>
      <c r="L30" s="2793"/>
      <c r="M30" s="2793"/>
      <c r="N30" s="2793"/>
      <c r="O30" s="2793"/>
      <c r="P30" s="2793"/>
    </row>
    <row r="31" spans="1:19" ht="15">
      <c r="A31" s="2787"/>
      <c r="B31" s="2788"/>
      <c r="C31" s="2131" t="s">
        <v>543</v>
      </c>
      <c r="D31" s="2789">
        <f>D27+D30</f>
        <v>8299.16</v>
      </c>
      <c r="E31" s="2789">
        <f>E27+E30</f>
        <v>29009.8</v>
      </c>
      <c r="F31" s="2828">
        <f>F27+F30</f>
        <v>25462.9</v>
      </c>
      <c r="G31" s="2829">
        <f>G27+G30</f>
        <v>3546.9</v>
      </c>
      <c r="H31" s="2793"/>
      <c r="I31" s="2793"/>
      <c r="J31" s="2793"/>
      <c r="K31" s="2793"/>
      <c r="L31" s="2793"/>
      <c r="M31" s="2793"/>
      <c r="N31" s="2793"/>
      <c r="O31" s="2793"/>
      <c r="P31" s="2793"/>
    </row>
    <row r="32" spans="1:19">
      <c r="A32" s="2790"/>
      <c r="B32" s="2790" t="s">
        <v>544</v>
      </c>
      <c r="C32" s="2790"/>
      <c r="D32" s="2790"/>
      <c r="E32" s="2830">
        <f>SUMIF(C19:C26,"*住宅*",E19:E26)</f>
        <v>0</v>
      </c>
      <c r="F32" s="2790"/>
      <c r="G32" s="2790"/>
      <c r="H32" s="2793"/>
      <c r="I32" s="2793"/>
      <c r="J32" s="2793"/>
      <c r="K32" s="2793"/>
      <c r="L32" s="2793"/>
      <c r="M32" s="2793"/>
      <c r="N32" s="2793"/>
      <c r="O32" s="2793"/>
      <c r="P32" s="2793"/>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P22" sqref="P22"/>
    </sheetView>
  </sheetViews>
  <sheetFormatPr defaultColWidth="13.75" defaultRowHeight="12.75"/>
  <cols>
    <col min="1" max="1" width="20.8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13.75" style="2566"/>
    <col min="68" max="16384" width="13.75" style="2568"/>
  </cols>
  <sheetData>
    <row r="1" spans="1:67" ht="18.75">
      <c r="A1" s="2571" t="s">
        <v>545</v>
      </c>
      <c r="B1" s="2572"/>
      <c r="C1" s="1941"/>
      <c r="D1" s="2573"/>
      <c r="E1" s="1941"/>
      <c r="F1" s="1941"/>
      <c r="G1" s="1941"/>
      <c r="H1" s="1941"/>
      <c r="I1" s="1941"/>
      <c r="J1" s="1941"/>
      <c r="K1" s="283"/>
      <c r="L1" s="283"/>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6"/>
      <c r="AO1" s="2136"/>
      <c r="AP1" s="2136"/>
      <c r="AQ1" s="2136"/>
      <c r="AR1" s="2136"/>
    </row>
    <row r="2" spans="1:67" s="2563" customFormat="1" ht="15">
      <c r="A2" s="2574" t="s">
        <v>546</v>
      </c>
      <c r="B2" s="2575">
        <f>项目基本情况!D3</f>
        <v>44827</v>
      </c>
      <c r="C2" s="2576"/>
      <c r="D2" s="2577"/>
      <c r="E2" s="2576"/>
      <c r="F2" s="2576"/>
      <c r="G2" s="2576"/>
      <c r="H2" s="2576"/>
      <c r="I2" s="2576"/>
      <c r="J2" s="2576"/>
      <c r="K2" s="2673"/>
      <c r="L2" s="2673"/>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99"/>
      <c r="AO2" s="2599"/>
      <c r="AP2" s="2599"/>
      <c r="AQ2" s="2599"/>
      <c r="AR2" s="259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3"/>
      <c r="L3" s="2673"/>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99"/>
      <c r="AO3" s="2599"/>
      <c r="AP3" s="2599"/>
      <c r="AQ3" s="2599"/>
      <c r="AR3" s="259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369" t="s">
        <v>547</v>
      </c>
      <c r="B4" s="2218"/>
      <c r="C4" s="2580"/>
      <c r="D4" s="2581"/>
      <c r="E4" s="2580" t="s">
        <v>548</v>
      </c>
      <c r="F4" s="2580"/>
      <c r="G4" s="2580"/>
      <c r="H4" s="2580"/>
      <c r="I4" s="2580"/>
      <c r="J4" s="2674"/>
      <c r="K4" s="2675"/>
      <c r="L4" s="2676"/>
      <c r="M4" s="2580"/>
      <c r="N4" s="2580" t="s">
        <v>549</v>
      </c>
      <c r="O4" s="2580"/>
      <c r="P4" s="2580"/>
      <c r="Q4" s="2580"/>
      <c r="R4" s="2580"/>
      <c r="S4" s="2674"/>
      <c r="T4" s="2698" t="str">
        <f>'数据-汇总表'!I17</f>
        <v>按面积比例</v>
      </c>
      <c r="U4" s="2218" t="s">
        <v>550</v>
      </c>
      <c r="V4" s="2580"/>
      <c r="W4" s="2580"/>
      <c r="X4" s="2580"/>
      <c r="Y4" s="2674"/>
      <c r="Z4" s="2725" t="s">
        <v>551</v>
      </c>
      <c r="AA4" s="2725"/>
      <c r="AB4" s="2725"/>
      <c r="AC4" s="2725"/>
      <c r="AD4" s="2725"/>
      <c r="AE4" s="2736" t="s">
        <v>552</v>
      </c>
      <c r="AF4" s="2725"/>
      <c r="AG4" s="2739"/>
      <c r="AH4" s="2218"/>
      <c r="AI4" s="2580"/>
      <c r="AJ4" s="2580"/>
      <c r="AK4" s="2580"/>
      <c r="AL4" s="2580"/>
      <c r="AM4" s="2674"/>
      <c r="AN4" s="2599"/>
      <c r="AO4" s="2599"/>
      <c r="AP4" s="2599"/>
      <c r="AQ4" s="2599"/>
      <c r="AR4" s="259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525</v>
      </c>
      <c r="B5" s="2583" t="s">
        <v>524</v>
      </c>
      <c r="C5" s="2584" t="s">
        <v>553</v>
      </c>
      <c r="D5" s="2585" t="s">
        <v>554</v>
      </c>
      <c r="E5" s="2663" t="s">
        <v>555</v>
      </c>
      <c r="F5" s="2664" t="s">
        <v>556</v>
      </c>
      <c r="G5" s="2663" t="s">
        <v>557</v>
      </c>
      <c r="H5" s="2663" t="s">
        <v>558</v>
      </c>
      <c r="I5" s="2663" t="s">
        <v>559</v>
      </c>
      <c r="J5" s="2677" t="s">
        <v>560</v>
      </c>
      <c r="K5" s="2678" t="s">
        <v>534</v>
      </c>
      <c r="L5" s="2679" t="s">
        <v>561</v>
      </c>
      <c r="M5" s="2689" t="s">
        <v>562</v>
      </c>
      <c r="N5" s="2690" t="s">
        <v>563</v>
      </c>
      <c r="O5" s="2679" t="s">
        <v>564</v>
      </c>
      <c r="P5" s="2691" t="s">
        <v>565</v>
      </c>
      <c r="Q5" s="1257" t="s">
        <v>566</v>
      </c>
      <c r="R5" s="2699" t="s">
        <v>567</v>
      </c>
      <c r="S5" s="2700" t="s">
        <v>568</v>
      </c>
      <c r="T5" s="2701" t="s">
        <v>569</v>
      </c>
      <c r="U5" s="2712" t="s">
        <v>570</v>
      </c>
      <c r="V5" s="2663" t="s">
        <v>571</v>
      </c>
      <c r="W5" s="2663" t="s">
        <v>572</v>
      </c>
      <c r="X5" s="940"/>
      <c r="Y5" s="1382" t="s">
        <v>573</v>
      </c>
      <c r="Z5" s="2726" t="s">
        <v>570</v>
      </c>
      <c r="AA5" s="2663" t="s">
        <v>571</v>
      </c>
      <c r="AB5" s="2663" t="s">
        <v>572</v>
      </c>
      <c r="AC5" s="940"/>
      <c r="AD5" s="940" t="s">
        <v>573</v>
      </c>
      <c r="AE5" s="2712" t="s">
        <v>574</v>
      </c>
      <c r="AF5" s="2663" t="s">
        <v>575</v>
      </c>
      <c r="AG5" s="1382" t="s">
        <v>576</v>
      </c>
      <c r="AH5" s="2712" t="s">
        <v>577</v>
      </c>
      <c r="AI5" s="2726" t="s">
        <v>578</v>
      </c>
      <c r="AJ5" s="2726" t="s">
        <v>579</v>
      </c>
      <c r="AK5" s="2663" t="s">
        <v>580</v>
      </c>
      <c r="AL5" s="2663" t="s">
        <v>581</v>
      </c>
      <c r="AM5" s="1382" t="s">
        <v>582</v>
      </c>
      <c r="AN5" s="2743" t="s">
        <v>583</v>
      </c>
      <c r="AO5" s="2757" t="s">
        <v>584</v>
      </c>
      <c r="AP5" s="2758" t="s">
        <v>585</v>
      </c>
      <c r="AQ5" s="2759" t="s">
        <v>586</v>
      </c>
      <c r="AR5" s="2759" t="s">
        <v>587</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6" t="str">
        <f>'数据-汇总表'!C19</f>
        <v>商业</v>
      </c>
      <c r="B6" s="2587" t="str">
        <f>IF(A6=0,"","经营性")</f>
        <v>经营性</v>
      </c>
      <c r="C6" s="2588" t="s">
        <v>463</v>
      </c>
      <c r="D6" s="2589">
        <f>SUMIF(项目基本情况!D$12:I$12,C6,项目基本情况!D$14:I$14)</f>
        <v>40</v>
      </c>
      <c r="E6" s="2665">
        <f>IF(B6="","",SUMIF(项目基本情况!D$12:I$12,C6,项目基本情况!D$13:I$13))</f>
        <v>54870</v>
      </c>
      <c r="F6" s="2666">
        <f>SUMIF(项目基本情况!D$12:I$12,C6,项目基本情况!D$15:I$15)</f>
        <v>27.51</v>
      </c>
      <c r="G6" s="2667">
        <f>IF(ISERROR(ROUND(POWER(1+H6,D6-F6)*(POWER(1+H6,F6)-1)/(POWER(1+H6,D6)-1),3)),0,ROUND(POWER(1+H6,D6-F6)*(POWER(1+H6,F6)-1)/(POWER(1+H6,D6)-1),3))</f>
        <v>0.86099999999999999</v>
      </c>
      <c r="H6" s="2668">
        <v>0.05</v>
      </c>
      <c r="I6" s="2668">
        <v>5.5E-2</v>
      </c>
      <c r="J6" s="2669">
        <v>7.4999999999999997E-2</v>
      </c>
      <c r="K6" s="2680">
        <f>SUMIF('数据-汇总表'!C$19:C$33,A6,'数据-汇总表'!E$19:E$33)</f>
        <v>29009.8</v>
      </c>
      <c r="L6" s="2681">
        <v>7000</v>
      </c>
      <c r="M6" s="2692">
        <f t="shared" ref="M6:M14" si="0">ROUND(K6*L6/10000,0)</f>
        <v>20307</v>
      </c>
      <c r="N6" s="3221">
        <f>N21</f>
        <v>0.7</v>
      </c>
      <c r="O6" s="2692" t="str">
        <f>IF($N$5="成新度","——",ROUND(M6*N6,0))</f>
        <v>——</v>
      </c>
      <c r="P6" s="2694" t="str">
        <f>IF($N$5="成新度","——",M6-O6)</f>
        <v>——</v>
      </c>
      <c r="Q6" s="3222">
        <v>0.15</v>
      </c>
      <c r="R6" s="2703">
        <f ca="1">SUMIF('数据-汇总表'!C$19:C$33,A6,'数据-汇总表'!R$19:R$27)</f>
        <v>8299.16</v>
      </c>
      <c r="S6" s="2704">
        <f>IF('数据-汇总表'!$I$17="按面积比例",SUMIF('数据-汇总表'!C$19:C$33,A6,'数据-汇总表'!K$19:K$33),SUMIF('数据-汇总表'!C$19:C$33,A6,'数据-汇总表'!N$19:N$33))</f>
        <v>0</v>
      </c>
      <c r="T6" s="2705">
        <f>ROUND($L$14*S6/10000,0)</f>
        <v>0</v>
      </c>
      <c r="U6" s="2713"/>
      <c r="V6" s="2714"/>
      <c r="W6" s="2714"/>
      <c r="X6" s="2715"/>
      <c r="Y6" s="2727"/>
      <c r="Z6" s="2728"/>
      <c r="AA6" s="2669"/>
      <c r="AB6" s="2669"/>
      <c r="AC6" s="2715"/>
      <c r="AD6" s="2737"/>
      <c r="AE6" s="2738">
        <f ca="1">IF(AN6="",0,SUMIF(INDIRECT("'"&amp;AN6&amp;"'"&amp;"!E:E"),$AE$5,INDIRECT("'"&amp;AN6&amp;"'"&amp;"!F:F")))</f>
        <v>27.51</v>
      </c>
      <c r="AF6" s="2203"/>
      <c r="AG6" s="1571">
        <f>IF(AF6="",0,AE6-AF6)</f>
        <v>0</v>
      </c>
      <c r="AH6" s="2718">
        <v>1</v>
      </c>
      <c r="AI6" s="2740">
        <v>1</v>
      </c>
      <c r="AJ6" s="2741"/>
      <c r="AK6" s="2744">
        <v>1.4999999999999999E-2</v>
      </c>
      <c r="AL6" s="2745">
        <v>1.5E-3</v>
      </c>
      <c r="AM6" s="2746">
        <v>0.01</v>
      </c>
      <c r="AN6" s="2747" t="s">
        <v>588</v>
      </c>
      <c r="AO6" s="1135">
        <f ca="1">SUMIF(INDIRECT("'"&amp;AN6&amp;"'"&amp;"!A:A"),"总价",INDIRECT("'"&amp;AN6&amp;"'"&amp;"!B:B"))</f>
        <v>-6068</v>
      </c>
      <c r="AP6" s="2760">
        <f>IF(C6="住宅",K6*L6,0)</f>
        <v>0</v>
      </c>
      <c r="AQ6" s="1135">
        <f>ROUND($L$14*$N$14*S6/10000,0)</f>
        <v>0</v>
      </c>
      <c r="AR6" s="113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6">
        <f>'数据-汇总表'!C20</f>
        <v>0</v>
      </c>
      <c r="B7" s="2587" t="str">
        <f t="shared" ref="B7:B13" si="1">IF(A7=0,"","经营性")</f>
        <v/>
      </c>
      <c r="C7" s="2588"/>
      <c r="D7" s="2589">
        <f>SUMIF(项目基本情况!D$12:I$12,C7,项目基本情况!D$14:I$14)</f>
        <v>0</v>
      </c>
      <c r="E7" s="2665" t="str">
        <f>IF(B7="","",SUMIF(项目基本情况!D$12:I$12,C7,项目基本情况!D$13:I$13))</f>
        <v/>
      </c>
      <c r="F7" s="2666">
        <f>SUMIF(项目基本情况!D$12:I$12,C7,项目基本情况!D$15:I$15)</f>
        <v>0</v>
      </c>
      <c r="G7" s="2667">
        <f t="shared" ref="G7:G13" si="2">IF(ISERROR(ROUND(POWER(1+H7,D7-F7)*(POWER(1+H7,F7)-1)/(POWER(1+H7,D7)-1),3)),0,ROUND(POWER(1+H7,D7-F7)*(POWER(1+H7,F7)-1)/(POWER(1+H7,D7)-1),3))</f>
        <v>0</v>
      </c>
      <c r="H7" s="2668"/>
      <c r="I7" s="2668"/>
      <c r="J7" s="2669"/>
      <c r="K7" s="2680">
        <f>SUMIF('数据-汇总表'!C$19:C$33,A7,'数据-汇总表'!E$19:E$33)</f>
        <v>0</v>
      </c>
      <c r="L7" s="2681"/>
      <c r="M7" s="2692">
        <f t="shared" si="0"/>
        <v>0</v>
      </c>
      <c r="N7" s="2693"/>
      <c r="O7" s="2692" t="str">
        <f t="shared" ref="O7:O14" si="3">IF($N$5="成新度","——",ROUND(M7*N7,0))</f>
        <v>——</v>
      </c>
      <c r="P7" s="2694"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13"/>
      <c r="V7" s="2714"/>
      <c r="W7" s="2714"/>
      <c r="X7" s="2715"/>
      <c r="Y7" s="2727"/>
      <c r="Z7" s="2728"/>
      <c r="AA7" s="2669"/>
      <c r="AB7" s="2669"/>
      <c r="AC7" s="2715"/>
      <c r="AD7" s="2737"/>
      <c r="AE7" s="2738">
        <f t="shared" ref="AE7:AE13" ca="1" si="6">IF(AN7="",0,SUMIF(INDIRECT("'"&amp;AN7&amp;"'"&amp;"!E:E"),$AE$5,INDIRECT("'"&amp;AN7&amp;"'"&amp;"!F:F")))</f>
        <v>0</v>
      </c>
      <c r="AF7" s="2203"/>
      <c r="AG7" s="1571">
        <f t="shared" ref="AG7:AG13" si="7">IF(AF7="",0,AE7-AF7)</f>
        <v>0</v>
      </c>
      <c r="AH7" s="2718"/>
      <c r="AI7" s="2740"/>
      <c r="AJ7" s="2741"/>
      <c r="AK7" s="2744"/>
      <c r="AL7" s="2745"/>
      <c r="AM7" s="2746"/>
      <c r="AN7" s="2747"/>
      <c r="AO7" s="1135" t="e">
        <f t="shared" ref="AO7:AO13" ca="1" si="8">SUMIF(INDIRECT("'"&amp;AN7&amp;"'"&amp;"!A:A"),"总价",INDIRECT("'"&amp;AN7&amp;"'"&amp;"!B:B"))</f>
        <v>#REF!</v>
      </c>
      <c r="AP7" s="2760">
        <f t="shared" ref="AP7:AP13" si="9">IF(C7="住宅",K7*L7,0)</f>
        <v>0</v>
      </c>
      <c r="AQ7" s="1135">
        <f t="shared" ref="AQ7:AQ13" si="10">ROUND($L$14*$N$14*S7/10000,0)</f>
        <v>0</v>
      </c>
      <c r="AR7" s="113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6">
        <f>'数据-汇总表'!C21</f>
        <v>0</v>
      </c>
      <c r="B8" s="2587" t="str">
        <f t="shared" si="1"/>
        <v/>
      </c>
      <c r="C8" s="2588"/>
      <c r="D8" s="2589">
        <f>SUMIF(项目基本情况!D$12:I$12,C8,项目基本情况!D$14:I$14)</f>
        <v>0</v>
      </c>
      <c r="E8" s="2665" t="str">
        <f>IF(B8="","",SUMIF(项目基本情况!D$12:I$12,C8,项目基本情况!D$13:I$13))</f>
        <v/>
      </c>
      <c r="F8" s="2666">
        <f>SUMIF(项目基本情况!D$12:I$12,C8,项目基本情况!D$15:I$15)</f>
        <v>0</v>
      </c>
      <c r="G8" s="2667">
        <f t="shared" si="2"/>
        <v>0</v>
      </c>
      <c r="H8" s="2668"/>
      <c r="I8" s="2668"/>
      <c r="J8" s="2669"/>
      <c r="K8" s="2680">
        <f>SUMIF('数据-汇总表'!C$19:C$33,A8,'数据-汇总表'!E$19:E$33)</f>
        <v>0</v>
      </c>
      <c r="L8" s="2681"/>
      <c r="M8" s="2692">
        <f t="shared" si="0"/>
        <v>0</v>
      </c>
      <c r="N8" s="2693"/>
      <c r="O8" s="2692" t="str">
        <f t="shared" si="3"/>
        <v>——</v>
      </c>
      <c r="P8" s="2694"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16"/>
      <c r="V8" s="2717"/>
      <c r="W8" s="2717"/>
      <c r="X8" s="2715"/>
      <c r="Y8" s="2729"/>
      <c r="Z8" s="2728"/>
      <c r="AA8" s="2669"/>
      <c r="AB8" s="2669"/>
      <c r="AC8" s="2715"/>
      <c r="AD8" s="2737"/>
      <c r="AE8" s="2738">
        <f t="shared" ca="1" si="6"/>
        <v>0</v>
      </c>
      <c r="AF8" s="2203"/>
      <c r="AG8" s="1571">
        <f t="shared" si="7"/>
        <v>0</v>
      </c>
      <c r="AH8" s="2742"/>
      <c r="AI8" s="2740"/>
      <c r="AJ8" s="2741"/>
      <c r="AK8" s="2748"/>
      <c r="AL8" s="2749"/>
      <c r="AM8" s="2750"/>
      <c r="AN8" s="2747"/>
      <c r="AO8" s="1135" t="e">
        <f t="shared" ca="1" si="8"/>
        <v>#REF!</v>
      </c>
      <c r="AP8" s="2760">
        <f t="shared" si="9"/>
        <v>0</v>
      </c>
      <c r="AQ8" s="1135">
        <f t="shared" si="10"/>
        <v>0</v>
      </c>
      <c r="AR8" s="113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6">
        <f>'数据-汇总表'!C22</f>
        <v>0</v>
      </c>
      <c r="B9" s="2587" t="str">
        <f t="shared" si="1"/>
        <v/>
      </c>
      <c r="C9" s="2588"/>
      <c r="D9" s="2589">
        <f>SUMIF(项目基本情况!D$12:I$12,C9,项目基本情况!D$14:I$14)</f>
        <v>0</v>
      </c>
      <c r="E9" s="2665" t="str">
        <f>IF(B9="","",SUMIF(项目基本情况!D$12:I$12,C9,项目基本情况!D$13:I$13))</f>
        <v/>
      </c>
      <c r="F9" s="2666">
        <f>SUMIF(项目基本情况!D$12:I$12,C9,项目基本情况!D$15:I$15)</f>
        <v>0</v>
      </c>
      <c r="G9" s="2667">
        <f t="shared" si="2"/>
        <v>0</v>
      </c>
      <c r="H9" s="2669"/>
      <c r="I9" s="2669"/>
      <c r="J9" s="2669"/>
      <c r="K9" s="2680">
        <f>SUMIF('数据-汇总表'!C$19:C$33,A9,'数据-汇总表'!E$19:E$33)</f>
        <v>0</v>
      </c>
      <c r="L9" s="2681"/>
      <c r="M9" s="2692">
        <f t="shared" si="0"/>
        <v>0</v>
      </c>
      <c r="N9" s="2693"/>
      <c r="O9" s="2692" t="str">
        <f t="shared" si="3"/>
        <v>——</v>
      </c>
      <c r="P9" s="2694" t="str">
        <f t="shared" si="4"/>
        <v>——</v>
      </c>
      <c r="Q9" s="2706"/>
      <c r="R9" s="2703">
        <f ca="1">SUMIF('数据-汇总表'!C$19:C$33,A9,'数据-汇总表'!R$19:R$27)</f>
        <v>0</v>
      </c>
      <c r="S9" s="2704">
        <f>IF('数据-汇总表'!$I$17="按面积比例",SUMIF('数据-汇总表'!C$19:C$33,A9,'数据-汇总表'!K$19:K$33),SUMIF('数据-汇总表'!C$19:C$33,A9,'数据-汇总表'!N$19:N$33))</f>
        <v>0</v>
      </c>
      <c r="T9" s="2705">
        <f t="shared" si="5"/>
        <v>0</v>
      </c>
      <c r="U9" s="2713"/>
      <c r="V9" s="2714"/>
      <c r="W9" s="2714"/>
      <c r="X9" s="2715"/>
      <c r="Y9" s="2727"/>
      <c r="Z9" s="2728"/>
      <c r="AA9" s="2669"/>
      <c r="AB9" s="2669"/>
      <c r="AC9" s="2715"/>
      <c r="AD9" s="2737"/>
      <c r="AE9" s="2738">
        <f t="shared" ca="1" si="6"/>
        <v>0</v>
      </c>
      <c r="AF9" s="2203"/>
      <c r="AG9" s="1571">
        <f t="shared" si="7"/>
        <v>0</v>
      </c>
      <c r="AH9" s="2718"/>
      <c r="AI9" s="2740"/>
      <c r="AJ9" s="2741"/>
      <c r="AK9" s="2744"/>
      <c r="AL9" s="2745"/>
      <c r="AM9" s="2746"/>
      <c r="AN9" s="2747"/>
      <c r="AO9" s="1135" t="e">
        <f t="shared" ca="1" si="8"/>
        <v>#REF!</v>
      </c>
      <c r="AP9" s="2760">
        <f t="shared" si="9"/>
        <v>0</v>
      </c>
      <c r="AQ9" s="1135">
        <f t="shared" si="10"/>
        <v>0</v>
      </c>
      <c r="AR9" s="113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6">
        <f>'数据-汇总表'!C23</f>
        <v>0</v>
      </c>
      <c r="B10" s="2587" t="str">
        <f t="shared" si="1"/>
        <v/>
      </c>
      <c r="C10" s="2588"/>
      <c r="D10" s="2589">
        <f>SUMIF(项目基本情况!D$12:I$12,C10,项目基本情况!D$14:I$14)</f>
        <v>0</v>
      </c>
      <c r="E10" s="2665" t="str">
        <f>IF(B10="","",SUMIF(项目基本情况!D$12:I$12,C10,项目基本情况!D$13:I$13))</f>
        <v/>
      </c>
      <c r="F10" s="2666">
        <f>SUMIF(项目基本情况!D$12:I$12,C10,项目基本情况!D$15:I$15)</f>
        <v>0</v>
      </c>
      <c r="G10" s="2667">
        <f t="shared" si="2"/>
        <v>0</v>
      </c>
      <c r="H10" s="2669"/>
      <c r="I10" s="2669"/>
      <c r="J10" s="2669"/>
      <c r="K10" s="2680">
        <f>SUMIF('数据-汇总表'!C$19:C$33,A10,'数据-汇总表'!E$19:E$33)</f>
        <v>0</v>
      </c>
      <c r="L10" s="2681"/>
      <c r="M10" s="2692">
        <f t="shared" si="0"/>
        <v>0</v>
      </c>
      <c r="N10" s="2693"/>
      <c r="O10" s="2692" t="str">
        <f t="shared" si="3"/>
        <v>——</v>
      </c>
      <c r="P10" s="2694" t="str">
        <f t="shared" si="4"/>
        <v>——</v>
      </c>
      <c r="Q10" s="2706"/>
      <c r="R10" s="2703">
        <f ca="1">SUMIF('数据-汇总表'!C$19:C$33,A10,'数据-汇总表'!R$19:R$27)</f>
        <v>0</v>
      </c>
      <c r="S10" s="2704">
        <f>IF('数据-汇总表'!$I$17="按面积比例",SUMIF('数据-汇总表'!C$19:C$33,A10,'数据-汇总表'!K$19:K$33),SUMIF('数据-汇总表'!C$19:C$33,A10,'数据-汇总表'!N$19:N$33))</f>
        <v>0</v>
      </c>
      <c r="T10" s="2705">
        <f t="shared" si="5"/>
        <v>0</v>
      </c>
      <c r="U10" s="2713"/>
      <c r="V10" s="2714"/>
      <c r="W10" s="2714"/>
      <c r="X10" s="2715"/>
      <c r="Y10" s="2727"/>
      <c r="Z10" s="2728"/>
      <c r="AA10" s="2669"/>
      <c r="AB10" s="2669"/>
      <c r="AC10" s="2715"/>
      <c r="AD10" s="2737"/>
      <c r="AE10" s="2738">
        <f t="shared" ca="1" si="6"/>
        <v>0</v>
      </c>
      <c r="AF10" s="2203"/>
      <c r="AG10" s="1571">
        <f t="shared" si="7"/>
        <v>0</v>
      </c>
      <c r="AH10" s="2718"/>
      <c r="AI10" s="2740"/>
      <c r="AJ10" s="2741"/>
      <c r="AK10" s="2744"/>
      <c r="AL10" s="2745"/>
      <c r="AM10" s="2746"/>
      <c r="AN10" s="2747"/>
      <c r="AO10" s="1135" t="e">
        <f t="shared" ca="1" si="8"/>
        <v>#REF!</v>
      </c>
      <c r="AP10" s="2760">
        <f t="shared" si="9"/>
        <v>0</v>
      </c>
      <c r="AQ10" s="1135">
        <f t="shared" si="10"/>
        <v>0</v>
      </c>
      <c r="AR10" s="113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6">
        <f>'数据-汇总表'!C24</f>
        <v>0</v>
      </c>
      <c r="B11" s="2587" t="str">
        <f t="shared" si="1"/>
        <v/>
      </c>
      <c r="C11" s="2588"/>
      <c r="D11" s="2589">
        <f>SUMIF(项目基本情况!D$12:I$12,C11,项目基本情况!D$14:I$14)</f>
        <v>0</v>
      </c>
      <c r="E11" s="2665" t="str">
        <f>IF(B11="","",SUMIF(项目基本情况!D$12:I$12,C11,项目基本情况!D$13:I$13))</f>
        <v/>
      </c>
      <c r="F11" s="2666">
        <f>SUMIF(项目基本情况!D$12:I$12,C11,项目基本情况!D$15:I$15)</f>
        <v>0</v>
      </c>
      <c r="G11" s="2667">
        <f t="shared" si="2"/>
        <v>0</v>
      </c>
      <c r="H11" s="2669"/>
      <c r="I11" s="2669"/>
      <c r="J11" s="2669"/>
      <c r="K11" s="2680">
        <f>SUMIF('数据-汇总表'!C$19:C$33,A11,'数据-汇总表'!E$19:E$33)</f>
        <v>0</v>
      </c>
      <c r="L11" s="2682"/>
      <c r="M11" s="2692">
        <f t="shared" si="0"/>
        <v>0</v>
      </c>
      <c r="N11" s="2695"/>
      <c r="O11" s="2692" t="str">
        <f t="shared" si="3"/>
        <v>——</v>
      </c>
      <c r="P11" s="2694" t="str">
        <f t="shared" si="4"/>
        <v>——</v>
      </c>
      <c r="Q11" s="2706"/>
      <c r="R11" s="2703">
        <f ca="1">SUMIF('数据-汇总表'!C$19:C$33,A11,'数据-汇总表'!R$19:R$27)</f>
        <v>0</v>
      </c>
      <c r="S11" s="2704">
        <f>IF('数据-汇总表'!$I$17="按面积比例",SUMIF('数据-汇总表'!C$19:C$33,A11,'数据-汇总表'!K$19:K$33),SUMIF('数据-汇总表'!C$19:C$33,A11,'数据-汇总表'!N$19:N$33))</f>
        <v>0</v>
      </c>
      <c r="T11" s="2705">
        <f t="shared" si="5"/>
        <v>0</v>
      </c>
      <c r="U11" s="2718"/>
      <c r="V11" s="2669"/>
      <c r="W11" s="2669"/>
      <c r="X11" s="2715"/>
      <c r="Y11" s="2727"/>
      <c r="Z11" s="2730"/>
      <c r="AA11" s="2669"/>
      <c r="AB11" s="2669"/>
      <c r="AC11" s="2715"/>
      <c r="AD11" s="2737"/>
      <c r="AE11" s="2738">
        <f t="shared" ca="1" si="6"/>
        <v>0</v>
      </c>
      <c r="AF11" s="2203"/>
      <c r="AG11" s="1571">
        <f t="shared" si="7"/>
        <v>0</v>
      </c>
      <c r="AH11" s="2718"/>
      <c r="AI11" s="2740"/>
      <c r="AJ11" s="2741"/>
      <c r="AK11" s="2751"/>
      <c r="AL11" s="2752"/>
      <c r="AM11" s="2753"/>
      <c r="AN11" s="2747"/>
      <c r="AO11" s="1135" t="e">
        <f t="shared" ca="1" si="8"/>
        <v>#REF!</v>
      </c>
      <c r="AP11" s="2760">
        <f t="shared" si="9"/>
        <v>0</v>
      </c>
      <c r="AQ11" s="1135">
        <f t="shared" si="10"/>
        <v>0</v>
      </c>
      <c r="AR11" s="113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6">
        <f>'数据-汇总表'!C25</f>
        <v>0</v>
      </c>
      <c r="B12" s="2587" t="str">
        <f t="shared" si="1"/>
        <v/>
      </c>
      <c r="C12" s="2588"/>
      <c r="D12" s="2589">
        <f>SUMIF(项目基本情况!D$12:I$12,C12,项目基本情况!D$14:I$14)</f>
        <v>0</v>
      </c>
      <c r="E12" s="2665" t="str">
        <f>IF(B12="","",SUMIF(项目基本情况!D$12:I$12,C12,项目基本情况!D$13:I$13))</f>
        <v/>
      </c>
      <c r="F12" s="2666">
        <f>SUMIF(项目基本情况!D$12:I$12,C12,项目基本情况!D$15:I$15)</f>
        <v>0</v>
      </c>
      <c r="G12" s="2667">
        <f t="shared" si="2"/>
        <v>0</v>
      </c>
      <c r="H12" s="2669"/>
      <c r="I12" s="2669"/>
      <c r="J12" s="2669"/>
      <c r="K12" s="2680">
        <f>SUMIF('数据-汇总表'!C$19:C$33,A12,'数据-汇总表'!E$19:E$33)</f>
        <v>0</v>
      </c>
      <c r="L12" s="2682"/>
      <c r="M12" s="2692">
        <f t="shared" si="0"/>
        <v>0</v>
      </c>
      <c r="N12" s="2695"/>
      <c r="O12" s="2692" t="str">
        <f t="shared" si="3"/>
        <v>——</v>
      </c>
      <c r="P12" s="2694" t="str">
        <f t="shared" si="4"/>
        <v>——</v>
      </c>
      <c r="Q12" s="2706"/>
      <c r="R12" s="2703">
        <f ca="1">SUMIF('数据-汇总表'!C$19:C$33,A12,'数据-汇总表'!R$19:R$27)</f>
        <v>0</v>
      </c>
      <c r="S12" s="2704">
        <f>IF('数据-汇总表'!$I$17="按面积比例",SUMIF('数据-汇总表'!C$19:C$33,A12,'数据-汇总表'!K$19:K$33),SUMIF('数据-汇总表'!C$19:C$33,A12,'数据-汇总表'!N$19:N$33))</f>
        <v>0</v>
      </c>
      <c r="T12" s="2705">
        <f t="shared" si="5"/>
        <v>0</v>
      </c>
      <c r="U12" s="2718"/>
      <c r="V12" s="2669"/>
      <c r="W12" s="2669"/>
      <c r="X12" s="2715"/>
      <c r="Y12" s="2727"/>
      <c r="Z12" s="2730"/>
      <c r="AA12" s="2669"/>
      <c r="AB12" s="2669"/>
      <c r="AC12" s="2715"/>
      <c r="AD12" s="2737"/>
      <c r="AE12" s="2738">
        <f t="shared" ca="1" si="6"/>
        <v>0</v>
      </c>
      <c r="AF12" s="2203"/>
      <c r="AG12" s="1571">
        <f t="shared" si="7"/>
        <v>0</v>
      </c>
      <c r="AH12" s="2718"/>
      <c r="AI12" s="2740"/>
      <c r="AJ12" s="2741"/>
      <c r="AK12" s="2751"/>
      <c r="AL12" s="2752"/>
      <c r="AM12" s="2753"/>
      <c r="AN12" s="2747"/>
      <c r="AO12" s="1135" t="e">
        <f t="shared" ca="1" si="8"/>
        <v>#REF!</v>
      </c>
      <c r="AP12" s="2760">
        <f t="shared" si="9"/>
        <v>0</v>
      </c>
      <c r="AQ12" s="1135">
        <f t="shared" si="10"/>
        <v>0</v>
      </c>
      <c r="AR12" s="113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6">
        <f>'数据-汇总表'!C26</f>
        <v>0</v>
      </c>
      <c r="B13" s="2587" t="str">
        <f t="shared" si="1"/>
        <v/>
      </c>
      <c r="C13" s="2588"/>
      <c r="D13" s="2589">
        <f>SUMIF(项目基本情况!D$12:I$12,C13,项目基本情况!D$14:I$14)</f>
        <v>0</v>
      </c>
      <c r="E13" s="2665" t="str">
        <f>IF(B13="","",SUMIF(项目基本情况!D$12:I$12,C13,项目基本情况!D$13:I$13))</f>
        <v/>
      </c>
      <c r="F13" s="2666">
        <f>SUMIF(项目基本情况!D$12:I$12,C13,项目基本情况!D$15:I$15)</f>
        <v>0</v>
      </c>
      <c r="G13" s="2667">
        <f t="shared" si="2"/>
        <v>0</v>
      </c>
      <c r="H13" s="2669"/>
      <c r="I13" s="2669"/>
      <c r="J13" s="2669"/>
      <c r="K13" s="2680">
        <f>SUMIF('数据-汇总表'!C$19:C$33,A13,'数据-汇总表'!E$19:E$33)</f>
        <v>0</v>
      </c>
      <c r="L13" s="2682"/>
      <c r="M13" s="2692">
        <f t="shared" si="0"/>
        <v>0</v>
      </c>
      <c r="N13" s="2695"/>
      <c r="O13" s="2692" t="str">
        <f t="shared" si="3"/>
        <v>——</v>
      </c>
      <c r="P13" s="2694" t="str">
        <f t="shared" si="4"/>
        <v>——</v>
      </c>
      <c r="Q13" s="2706"/>
      <c r="R13" s="2703">
        <f ca="1">SUMIF('数据-汇总表'!C$19:C$33,A13,'数据-汇总表'!R$19:R$27)</f>
        <v>0</v>
      </c>
      <c r="S13" s="2704">
        <f>IF('数据-汇总表'!$I$17="按面积比例",SUMIF('数据-汇总表'!C$19:C$33,A13,'数据-汇总表'!K$19:K$33),SUMIF('数据-汇总表'!C$19:C$33,A13,'数据-汇总表'!N$19:N$33))</f>
        <v>0</v>
      </c>
      <c r="T13" s="2705">
        <f t="shared" si="5"/>
        <v>0</v>
      </c>
      <c r="U13" s="2713"/>
      <c r="V13" s="2714"/>
      <c r="W13" s="2714"/>
      <c r="X13" s="2715"/>
      <c r="Y13" s="2727"/>
      <c r="Z13" s="2728"/>
      <c r="AA13" s="2669"/>
      <c r="AB13" s="2669"/>
      <c r="AC13" s="2715"/>
      <c r="AD13" s="2737"/>
      <c r="AE13" s="2738">
        <f t="shared" ca="1" si="6"/>
        <v>0</v>
      </c>
      <c r="AF13" s="2203"/>
      <c r="AG13" s="1571">
        <f t="shared" si="7"/>
        <v>0</v>
      </c>
      <c r="AH13" s="2718"/>
      <c r="AI13" s="2740"/>
      <c r="AJ13" s="2741"/>
      <c r="AK13" s="2744"/>
      <c r="AL13" s="2745"/>
      <c r="AM13" s="2746"/>
      <c r="AN13" s="2747"/>
      <c r="AO13" s="1135" t="e">
        <f t="shared" ca="1" si="8"/>
        <v>#REF!</v>
      </c>
      <c r="AP13" s="2760">
        <f t="shared" si="9"/>
        <v>0</v>
      </c>
      <c r="AQ13" s="1135">
        <f t="shared" si="10"/>
        <v>0</v>
      </c>
      <c r="AR13" s="113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0" t="s">
        <v>541</v>
      </c>
      <c r="B14" s="2587" t="s">
        <v>540</v>
      </c>
      <c r="C14" s="2591" t="s">
        <v>541</v>
      </c>
      <c r="D14" s="2589"/>
      <c r="E14" s="2665"/>
      <c r="F14" s="2666"/>
      <c r="G14" s="2667"/>
      <c r="H14" s="2670"/>
      <c r="I14" s="2670"/>
      <c r="J14" s="2670"/>
      <c r="K14" s="2680">
        <f>SUMIF('数据-汇总表'!C$19:C$33,A14,'数据-汇总表'!E$19:E$33)</f>
        <v>0</v>
      </c>
      <c r="L14" s="2682"/>
      <c r="M14" s="2692">
        <f t="shared" si="0"/>
        <v>0</v>
      </c>
      <c r="N14" s="2695"/>
      <c r="O14" s="2692" t="str">
        <f t="shared" si="3"/>
        <v>——</v>
      </c>
      <c r="P14" s="2694" t="str">
        <f t="shared" si="4"/>
        <v>——</v>
      </c>
      <c r="Q14" s="2707"/>
      <c r="R14" s="2703"/>
      <c r="S14" s="2704"/>
      <c r="T14" s="2705"/>
      <c r="U14" s="2719"/>
      <c r="V14" s="2720"/>
      <c r="W14" s="2720"/>
      <c r="X14" s="2721"/>
      <c r="Y14" s="2731"/>
      <c r="Z14" s="2732"/>
      <c r="AA14" s="2733"/>
      <c r="AB14" s="2733"/>
      <c r="AC14" s="2715"/>
      <c r="AD14" s="2721"/>
      <c r="AE14" s="2738"/>
      <c r="AF14" s="1135"/>
      <c r="AG14" s="1571"/>
      <c r="AH14" s="2738"/>
      <c r="AI14" s="1123"/>
      <c r="AJ14" s="1134"/>
      <c r="AK14" s="2754"/>
      <c r="AL14" s="2755"/>
      <c r="AM14" s="2756"/>
      <c r="AN14" s="2136"/>
      <c r="AO14" s="2599"/>
      <c r="AP14" s="2599"/>
      <c r="AQ14" s="2599"/>
      <c r="AR14" s="259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27">
      <c r="A15" s="2590" t="s">
        <v>542</v>
      </c>
      <c r="B15" s="2587" t="s">
        <v>540</v>
      </c>
      <c r="C15" s="2591" t="s">
        <v>589</v>
      </c>
      <c r="D15" s="2589"/>
      <c r="E15" s="2665"/>
      <c r="F15" s="2666"/>
      <c r="G15" s="2667"/>
      <c r="H15" s="2670"/>
      <c r="I15" s="2670"/>
      <c r="J15" s="2670"/>
      <c r="K15" s="2680">
        <f>SUMIF('数据-汇总表'!C$19:C$33,A15,'数据-汇总表'!E$19:E$33)</f>
        <v>0</v>
      </c>
      <c r="L15" s="2683"/>
      <c r="M15" s="2692"/>
      <c r="N15" s="2696"/>
      <c r="O15" s="2692"/>
      <c r="P15" s="2694"/>
      <c r="Q15" s="2707"/>
      <c r="R15" s="2703"/>
      <c r="S15" s="2704"/>
      <c r="T15" s="2705"/>
      <c r="U15" s="2719"/>
      <c r="V15" s="2720"/>
      <c r="W15" s="2720"/>
      <c r="X15" s="2721"/>
      <c r="Y15" s="2731"/>
      <c r="Z15" s="2732"/>
      <c r="AA15" s="2733"/>
      <c r="AB15" s="2733"/>
      <c r="AC15" s="2715"/>
      <c r="AD15" s="2721"/>
      <c r="AE15" s="2738"/>
      <c r="AF15" s="1135"/>
      <c r="AG15" s="1571"/>
      <c r="AH15" s="2738"/>
      <c r="AI15" s="1123"/>
      <c r="AJ15" s="1134"/>
      <c r="AK15" s="2754"/>
      <c r="AL15" s="2755"/>
      <c r="AM15" s="2756"/>
      <c r="AN15" s="2136"/>
      <c r="AO15" s="2599"/>
      <c r="AP15" s="2599"/>
      <c r="AQ15" s="2599"/>
      <c r="AR15" s="259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592" t="s">
        <v>543</v>
      </c>
      <c r="B16" s="2593"/>
      <c r="C16" s="2129"/>
      <c r="D16" s="2594"/>
      <c r="E16" s="2593"/>
      <c r="F16" s="2593"/>
      <c r="G16" s="2671">
        <f>ROUND(SUMPRODUCT(G6:G13,K6:K13)/SUMPRODUCT((G6:G13&gt;0)*(K6:K13)),3)</f>
        <v>0.86099999999999999</v>
      </c>
      <c r="H16" s="2672">
        <f>ROUND(SUMPRODUCT(H6:H13,K6:K13)/SUMPRODUCT((H6:H13&gt;0)*(K6:K13)),3)</f>
        <v>0.05</v>
      </c>
      <c r="I16" s="2684"/>
      <c r="J16" s="2684"/>
      <c r="K16" s="2685">
        <f>SUM(K6:K15)</f>
        <v>29009.8</v>
      </c>
      <c r="L16" s="2686">
        <f>ROUND(M16*10000/SUM(K6:K14),0)</f>
        <v>7000</v>
      </c>
      <c r="M16" s="2686">
        <f>SUM(M6:M14)</f>
        <v>20307</v>
      </c>
      <c r="N16" s="2697">
        <f>ROUND(SUMPRODUCT(M6:M14,N6:N14)/M16,3)</f>
        <v>0.7</v>
      </c>
      <c r="O16" s="2686">
        <f>SUM(O6:O14)</f>
        <v>0</v>
      </c>
      <c r="P16" s="2686">
        <f>SUM(P6:P14)</f>
        <v>0</v>
      </c>
      <c r="Q16" s="2708">
        <f>ROUND(SUMPRODUCT(Q6:Q13,K6:K13)/SUMPRODUCT((Q6:Q13&gt;0)*(K6:K13)),2)</f>
        <v>0.15</v>
      </c>
      <c r="R16" s="2709">
        <f ca="1">SUM(R6:R13)</f>
        <v>8299.16</v>
      </c>
      <c r="S16" s="2710">
        <f>SUM(S6:S13)</f>
        <v>0</v>
      </c>
      <c r="T16" s="2711">
        <f>IF(SUMIF(T6:T13,"&lt;9E307")=M14,SUMIF(T6:T13,"&lt;9E307"),"有误，请检查")</f>
        <v>0</v>
      </c>
      <c r="U16" s="2722"/>
      <c r="V16" s="2723"/>
      <c r="W16" s="2723"/>
      <c r="X16" s="2724"/>
      <c r="Y16" s="2734"/>
      <c r="Z16" s="2735"/>
      <c r="AA16" s="2723"/>
      <c r="AB16" s="2723"/>
      <c r="AC16" s="2724"/>
      <c r="AD16" s="2724"/>
      <c r="AE16" s="2722"/>
      <c r="AF16" s="2723"/>
      <c r="AG16" s="2734"/>
      <c r="AH16" s="2722"/>
      <c r="AI16" s="2735"/>
      <c r="AJ16" s="2735"/>
      <c r="AK16" s="2723"/>
      <c r="AL16" s="2723"/>
      <c r="AM16" s="2734"/>
      <c r="AN16" s="2136"/>
      <c r="AO16" s="2599"/>
      <c r="AP16" s="2599"/>
      <c r="AQ16" s="2599"/>
      <c r="AR16" s="259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595"/>
      <c r="B17" s="2596"/>
      <c r="C17" s="2136"/>
      <c r="D17" s="2597"/>
      <c r="E17" s="2597"/>
      <c r="F17" s="2136"/>
      <c r="G17" s="2136"/>
      <c r="H17" s="2136"/>
      <c r="I17" s="2136"/>
      <c r="J17" s="2136"/>
      <c r="K17" s="2687"/>
      <c r="L17" s="268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67" ht="14.25">
      <c r="A18" s="1369" t="s">
        <v>590</v>
      </c>
      <c r="B18" s="2598"/>
      <c r="C18" s="2599"/>
      <c r="D18" s="2600"/>
      <c r="E18" s="2599"/>
      <c r="F18" s="2599"/>
      <c r="G18" s="2599"/>
      <c r="H18" s="2599"/>
      <c r="I18" s="2599"/>
      <c r="J18" s="2599"/>
      <c r="K18" s="2687"/>
      <c r="L18" s="2687"/>
      <c r="M18" s="2136"/>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67" ht="14.25">
      <c r="A19" s="2601" t="s">
        <v>591</v>
      </c>
      <c r="B19" s="2602"/>
      <c r="C19" s="2603" t="s">
        <v>592</v>
      </c>
      <c r="D19" s="2600"/>
      <c r="E19" s="2599"/>
      <c r="F19" s="2599"/>
      <c r="G19" s="2599"/>
      <c r="H19" s="2599"/>
      <c r="I19" s="2599"/>
      <c r="J19" s="2599"/>
      <c r="K19" s="2687"/>
      <c r="L19" s="2687"/>
      <c r="M19" s="3220">
        <v>0.4</v>
      </c>
      <c r="N19" s="2693">
        <f>ROUND(1-(2022-1991)/60,2)</f>
        <v>0.48</v>
      </c>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67" ht="14.25">
      <c r="A20" s="2604" t="s">
        <v>593</v>
      </c>
      <c r="B20" s="2605">
        <v>2</v>
      </c>
      <c r="C20" s="2606" t="s">
        <v>594</v>
      </c>
      <c r="D20" s="2600"/>
      <c r="E20" s="2599"/>
      <c r="F20" s="2599"/>
      <c r="G20" s="2599"/>
      <c r="H20" s="2599"/>
      <c r="I20" s="2599"/>
      <c r="J20" s="2599"/>
      <c r="K20" s="2687"/>
      <c r="L20" s="2687"/>
      <c r="M20" s="3220">
        <f>1-M19</f>
        <v>0.6</v>
      </c>
      <c r="N20" s="2693">
        <v>0.85</v>
      </c>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67" ht="14.25">
      <c r="A21" s="2607" t="s">
        <v>595</v>
      </c>
      <c r="B21" s="2605">
        <v>2</v>
      </c>
      <c r="C21" s="2599"/>
      <c r="D21" s="2600"/>
      <c r="E21" s="2599"/>
      <c r="F21" s="2599"/>
      <c r="G21" s="2599"/>
      <c r="H21" s="2599"/>
      <c r="I21" s="2599"/>
      <c r="J21" s="2599"/>
      <c r="K21" s="2687"/>
      <c r="L21" s="2687"/>
      <c r="M21" s="2136"/>
      <c r="N21" s="2693">
        <f>ROUND(N19*M19+N20*M20,2)</f>
        <v>0.7</v>
      </c>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67" ht="14.25">
      <c r="A22" s="2604" t="s">
        <v>596</v>
      </c>
      <c r="B22" s="2608">
        <f>B19+B20</f>
        <v>2</v>
      </c>
      <c r="C22" s="2599"/>
      <c r="D22" s="2600"/>
      <c r="E22" s="2599"/>
      <c r="F22" s="2599"/>
      <c r="G22" s="2599"/>
      <c r="H22" s="2599"/>
      <c r="I22" s="2599"/>
      <c r="J22" s="2599"/>
      <c r="K22" s="2687"/>
      <c r="L22" s="2687"/>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67" ht="14.25">
      <c r="A23" s="2607" t="s">
        <v>597</v>
      </c>
      <c r="B23" s="2608">
        <f>B19+B21</f>
        <v>2</v>
      </c>
      <c r="C23" s="2599"/>
      <c r="D23" s="2600"/>
      <c r="E23" s="2599"/>
      <c r="F23" s="2599"/>
      <c r="G23" s="2599"/>
      <c r="H23" s="2599"/>
      <c r="I23" s="2599"/>
      <c r="J23" s="2599"/>
      <c r="K23" s="2687"/>
      <c r="L23" s="2687"/>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67" ht="14.25">
      <c r="A24" s="2609" t="s">
        <v>598</v>
      </c>
      <c r="B24" s="2610">
        <f>B20-B21</f>
        <v>0</v>
      </c>
      <c r="C24" s="2599"/>
      <c r="D24" s="2600"/>
      <c r="E24" s="2599"/>
      <c r="F24" s="2599"/>
      <c r="G24" s="2599"/>
      <c r="H24" s="2599"/>
      <c r="I24" s="2599"/>
      <c r="J24" s="2599"/>
      <c r="K24" s="2687"/>
      <c r="L24" s="268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67" ht="14.25">
      <c r="A25" s="2578"/>
      <c r="B25" s="2579"/>
      <c r="C25" s="2599"/>
      <c r="D25" s="2600"/>
      <c r="E25" s="2599"/>
      <c r="F25" s="2599"/>
      <c r="G25" s="2599"/>
      <c r="H25" s="2599"/>
      <c r="I25" s="2599"/>
      <c r="J25" s="2599"/>
      <c r="K25" s="2687"/>
      <c r="L25" s="268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67" ht="14.25">
      <c r="A26" s="2574" t="s">
        <v>599</v>
      </c>
      <c r="B26" s="2611" t="s">
        <v>600</v>
      </c>
      <c r="C26" s="2612" t="s">
        <v>601</v>
      </c>
      <c r="D26" s="2600"/>
      <c r="E26" s="2599"/>
      <c r="F26" s="2599"/>
      <c r="G26" s="2599"/>
      <c r="H26" s="2599"/>
      <c r="I26" s="2599"/>
      <c r="J26" s="2599"/>
      <c r="K26" s="2687"/>
      <c r="L26" s="268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67" s="2565" customFormat="1" ht="27.75">
      <c r="A27" s="2613" t="s">
        <v>602</v>
      </c>
      <c r="B27" s="2614"/>
      <c r="C27" s="2615" t="s">
        <v>603</v>
      </c>
      <c r="D27" s="2616"/>
      <c r="E27" s="1252"/>
      <c r="F27" s="1252"/>
      <c r="G27" s="2599"/>
      <c r="H27" s="2599"/>
      <c r="I27" s="2599"/>
      <c r="J27" s="2599"/>
      <c r="K27" s="2687"/>
      <c r="L27" s="268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7.75">
      <c r="A28" s="2617" t="s">
        <v>604</v>
      </c>
      <c r="B28" s="2618">
        <v>200</v>
      </c>
      <c r="C28" s="2619"/>
      <c r="D28" s="2616"/>
      <c r="E28" s="1252"/>
      <c r="F28" s="1252"/>
      <c r="G28" s="2599"/>
      <c r="H28" s="2599"/>
      <c r="I28" s="2599"/>
      <c r="J28" s="2599"/>
      <c r="K28" s="2687"/>
      <c r="L28" s="268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20" t="s">
        <v>605</v>
      </c>
      <c r="B29" s="2621">
        <f>ROUND(K6*B28/10000,0)</f>
        <v>580</v>
      </c>
      <c r="C29" s="2622" t="s">
        <v>606</v>
      </c>
      <c r="D29" s="2616"/>
      <c r="E29" s="1252"/>
      <c r="F29" s="1252"/>
      <c r="G29" s="2599"/>
      <c r="H29" s="2599"/>
      <c r="I29" s="2599"/>
      <c r="J29" s="2599"/>
      <c r="K29" s="2687"/>
      <c r="L29" s="268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7">
      <c r="A30" s="2623" t="s">
        <v>607</v>
      </c>
      <c r="B30" s="2624">
        <v>200</v>
      </c>
      <c r="C30" s="2619"/>
      <c r="D30" s="2616"/>
      <c r="E30" s="1252"/>
      <c r="F30" s="1252"/>
      <c r="G30" s="2599"/>
      <c r="H30" s="2599"/>
      <c r="I30" s="2599"/>
      <c r="J30" s="2599"/>
      <c r="K30" s="2687"/>
      <c r="L30" s="268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17" t="s">
        <v>608</v>
      </c>
      <c r="B31" s="2625">
        <f>B30-B32</f>
        <v>200</v>
      </c>
      <c r="C31" s="2626"/>
      <c r="D31" s="2616"/>
      <c r="E31" s="1252"/>
      <c r="F31" s="1252"/>
      <c r="G31" s="2599"/>
      <c r="H31" s="2599"/>
      <c r="I31" s="2599"/>
      <c r="J31" s="2599"/>
      <c r="K31" s="2687"/>
      <c r="L31" s="268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27" t="s">
        <v>609</v>
      </c>
      <c r="B32" s="2628"/>
      <c r="C32" s="2619"/>
      <c r="D32" s="2600"/>
      <c r="E32" s="2599"/>
      <c r="F32" s="2599"/>
      <c r="G32" s="2599"/>
      <c r="H32" s="2599"/>
      <c r="I32" s="2599"/>
      <c r="J32" s="2599"/>
      <c r="K32" s="2687"/>
      <c r="L32" s="268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13" t="s">
        <v>610</v>
      </c>
      <c r="B33" s="2629">
        <v>0.03</v>
      </c>
      <c r="C33" s="2630" t="s">
        <v>611</v>
      </c>
      <c r="D33" s="2600"/>
      <c r="E33" s="2599"/>
      <c r="F33" s="2599"/>
      <c r="G33" s="2599"/>
      <c r="H33" s="2599"/>
      <c r="I33" s="2599"/>
      <c r="J33" s="2599"/>
      <c r="K33" s="2687"/>
      <c r="L33" s="268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17" t="s">
        <v>612</v>
      </c>
      <c r="B34" s="2631">
        <v>0</v>
      </c>
      <c r="C34" s="2630" t="s">
        <v>613</v>
      </c>
      <c r="D34" s="2632" t="s">
        <v>614</v>
      </c>
      <c r="E34" s="2596"/>
      <c r="F34" s="2599"/>
      <c r="G34" s="2599"/>
      <c r="H34" s="2599"/>
      <c r="I34" s="2599"/>
      <c r="J34" s="2599"/>
      <c r="K34" s="2687"/>
      <c r="L34" s="268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17" t="s">
        <v>615</v>
      </c>
      <c r="B35" s="2618">
        <v>200</v>
      </c>
      <c r="C35" s="2630" t="s">
        <v>616</v>
      </c>
      <c r="D35" s="2616"/>
      <c r="E35" s="1252"/>
      <c r="F35" s="1252"/>
      <c r="G35" s="2599"/>
      <c r="H35" s="2599"/>
      <c r="I35" s="2599"/>
      <c r="J35" s="2599"/>
      <c r="K35" s="2687"/>
      <c r="L35" s="268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20" t="s">
        <v>617</v>
      </c>
      <c r="B36" s="2633">
        <v>1.4999999999999999E-2</v>
      </c>
      <c r="C36" s="2630" t="s">
        <v>618</v>
      </c>
      <c r="D36" s="2600"/>
      <c r="E36" s="2599"/>
      <c r="F36" s="2599"/>
      <c r="G36" s="2599"/>
      <c r="H36" s="2599"/>
      <c r="I36" s="2599"/>
      <c r="J36" s="2599"/>
      <c r="K36" s="2687"/>
      <c r="L36" s="268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67" ht="14.25">
      <c r="A37" s="2623" t="s">
        <v>619</v>
      </c>
      <c r="B37" s="2634">
        <v>0.02</v>
      </c>
      <c r="C37" s="2630" t="s">
        <v>620</v>
      </c>
      <c r="D37" s="2600"/>
      <c r="E37" s="2599"/>
      <c r="F37" s="2599"/>
      <c r="G37" s="2599"/>
      <c r="H37" s="2599"/>
      <c r="I37" s="2599"/>
      <c r="J37" s="2599"/>
      <c r="K37" s="2687"/>
      <c r="L37" s="268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67" ht="14.25">
      <c r="A38" s="2617" t="s">
        <v>621</v>
      </c>
      <c r="B38" s="2631">
        <v>0.02</v>
      </c>
      <c r="C38" s="2630" t="s">
        <v>620</v>
      </c>
      <c r="D38" s="2600"/>
      <c r="E38" s="2599"/>
      <c r="F38" s="2599"/>
      <c r="G38" s="2599"/>
      <c r="H38" s="2599"/>
      <c r="I38" s="2599"/>
      <c r="J38" s="2599"/>
      <c r="K38" s="2687"/>
      <c r="L38" s="268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67" ht="14.25">
      <c r="A39" s="2627" t="s">
        <v>622</v>
      </c>
      <c r="B39" s="2635">
        <f ca="1">存贷款利率!I1</f>
        <v>1.4999999999999999E-2</v>
      </c>
      <c r="C39" s="2636"/>
      <c r="D39" s="2600"/>
      <c r="E39" s="2599"/>
      <c r="F39" s="2599"/>
      <c r="G39" s="2599"/>
      <c r="H39" s="2599"/>
      <c r="I39" s="2599"/>
      <c r="J39" s="2599"/>
      <c r="K39" s="2687"/>
      <c r="L39" s="268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67" ht="28.5">
      <c r="A40" s="2637" t="s">
        <v>623</v>
      </c>
      <c r="B40" s="2638">
        <f ca="1">IF(A40="利息：取LPR",存贷款利率!G1,存贷款利率!G1+C40)</f>
        <v>4.1499999999999995E-2</v>
      </c>
      <c r="C40" s="2639">
        <v>5.0000000000000001E-3</v>
      </c>
      <c r="D40" s="2136"/>
      <c r="E40" s="2600"/>
      <c r="F40" s="2599"/>
      <c r="G40" s="2599"/>
      <c r="H40" s="2599"/>
      <c r="I40" s="2599"/>
      <c r="J40" s="2599"/>
      <c r="K40" s="2687"/>
      <c r="L40" s="268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67" ht="14.25">
      <c r="A41" s="2613" t="s">
        <v>624</v>
      </c>
      <c r="B41" s="2640">
        <f>B42+B43</f>
        <v>5.6000000000000001E-2</v>
      </c>
      <c r="C41" s="2626"/>
      <c r="D41" s="2136"/>
      <c r="E41" s="2600"/>
      <c r="F41" s="2599"/>
      <c r="G41" s="2599"/>
      <c r="H41" s="2599"/>
      <c r="I41" s="2599"/>
      <c r="J41" s="2599"/>
      <c r="K41" s="2687"/>
      <c r="L41" s="268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67" ht="14.25">
      <c r="A42" s="2641" t="s">
        <v>625</v>
      </c>
      <c r="B42" s="2642">
        <v>0.05</v>
      </c>
      <c r="C42" s="2643">
        <f>IF(B2&lt;DATE(2016,5,1),0,B42)</f>
        <v>0.05</v>
      </c>
      <c r="D42" s="2600"/>
      <c r="E42" s="2599"/>
      <c r="F42" s="2599"/>
      <c r="G42" s="2599"/>
      <c r="H42" s="2599"/>
      <c r="I42" s="2599"/>
      <c r="J42" s="2599"/>
      <c r="K42" s="2687"/>
      <c r="L42" s="268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67" ht="14.25">
      <c r="A43" s="2641" t="s">
        <v>626</v>
      </c>
      <c r="B43" s="2644">
        <f>B42*(B44+B45+B46)+B47</f>
        <v>6.0000000000000001E-3</v>
      </c>
      <c r="C43" s="2626"/>
      <c r="D43" s="2600"/>
      <c r="E43" s="2599"/>
      <c r="F43" s="2599"/>
      <c r="G43" s="2599"/>
      <c r="H43" s="2599"/>
      <c r="I43" s="2599"/>
      <c r="J43" s="2599"/>
      <c r="K43" s="2687"/>
      <c r="L43" s="268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67" ht="14.25">
      <c r="A44" s="2645" t="s">
        <v>627</v>
      </c>
      <c r="B44" s="2646">
        <v>7.0000000000000007E-2</v>
      </c>
      <c r="C44" s="2630" t="s">
        <v>628</v>
      </c>
      <c r="D44" s="2600"/>
      <c r="E44" s="2599"/>
      <c r="F44" s="2599"/>
      <c r="G44" s="2599"/>
      <c r="H44" s="2599"/>
      <c r="I44" s="2599"/>
      <c r="J44" s="2599"/>
      <c r="K44" s="2687"/>
      <c r="L44" s="268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67" ht="14.25">
      <c r="A45" s="2645" t="s">
        <v>629</v>
      </c>
      <c r="B45" s="2642">
        <v>0.03</v>
      </c>
      <c r="C45" s="2622" t="s">
        <v>630</v>
      </c>
      <c r="D45" s="2600"/>
      <c r="E45" s="2599"/>
      <c r="F45" s="2599"/>
      <c r="G45" s="2599"/>
      <c r="H45" s="2599"/>
      <c r="I45" s="2599"/>
      <c r="J45" s="2599"/>
      <c r="K45" s="2687"/>
      <c r="L45" s="268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67" ht="14.25">
      <c r="A46" s="2645" t="s">
        <v>631</v>
      </c>
      <c r="B46" s="2642">
        <v>0.02</v>
      </c>
      <c r="C46" s="2622" t="s">
        <v>632</v>
      </c>
      <c r="D46" s="2600"/>
      <c r="E46" s="2599"/>
      <c r="F46" s="2599"/>
      <c r="G46" s="2599"/>
      <c r="H46" s="2599"/>
      <c r="I46" s="2599"/>
      <c r="J46" s="2599"/>
      <c r="K46" s="2687"/>
      <c r="L46" s="268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67" ht="14.25">
      <c r="A47" s="2647" t="s">
        <v>633</v>
      </c>
      <c r="B47" s="2648"/>
      <c r="C47" s="2649" t="s">
        <v>634</v>
      </c>
      <c r="D47" s="2600"/>
      <c r="E47" s="2599"/>
      <c r="F47" s="2599"/>
      <c r="G47" s="2599"/>
      <c r="H47" s="2599"/>
      <c r="I47" s="2599"/>
      <c r="J47" s="2599"/>
      <c r="K47" s="2687"/>
      <c r="L47" s="268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67" ht="14.25">
      <c r="A48" s="2650" t="s">
        <v>635</v>
      </c>
      <c r="B48" s="2651">
        <v>0.03</v>
      </c>
      <c r="C48" s="2622" t="s">
        <v>630</v>
      </c>
      <c r="D48" s="2600"/>
      <c r="E48" s="2599"/>
      <c r="F48" s="2599"/>
      <c r="G48" s="2599"/>
      <c r="H48" s="2599"/>
      <c r="I48" s="2599"/>
      <c r="J48" s="2599"/>
      <c r="K48" s="2687"/>
      <c r="L48" s="268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27" t="s">
        <v>636</v>
      </c>
      <c r="B49" s="2642">
        <v>5.0000000000000001E-4</v>
      </c>
      <c r="C49" s="2622" t="s">
        <v>637</v>
      </c>
      <c r="D49" s="2600"/>
      <c r="E49" s="2599"/>
      <c r="F49" s="2599"/>
      <c r="G49" s="2599"/>
      <c r="H49" s="2599"/>
      <c r="I49" s="2599"/>
      <c r="J49" s="2599"/>
      <c r="K49" s="2687"/>
      <c r="L49" s="268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52" t="s">
        <v>638</v>
      </c>
      <c r="B50" s="2653">
        <v>1.2E-2</v>
      </c>
      <c r="C50" s="1252"/>
      <c r="D50" s="2600"/>
      <c r="E50" s="2599"/>
      <c r="F50" s="2599"/>
      <c r="G50" s="2599"/>
      <c r="H50" s="2599"/>
      <c r="I50" s="2599"/>
      <c r="J50" s="2599"/>
      <c r="K50" s="2687"/>
      <c r="L50" s="268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20" t="s">
        <v>639</v>
      </c>
      <c r="B51" s="2654">
        <v>0.12</v>
      </c>
      <c r="C51" s="1252"/>
      <c r="D51" s="2600"/>
      <c r="E51" s="2599"/>
      <c r="F51" s="2599"/>
      <c r="G51" s="2599"/>
      <c r="H51" s="2599"/>
      <c r="I51" s="2599"/>
      <c r="J51" s="2599"/>
      <c r="K51" s="2687"/>
      <c r="L51" s="268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52" t="s">
        <v>640</v>
      </c>
      <c r="B52" s="2655">
        <f>SUMIF(A54:A63,B53,B54:B63)</f>
        <v>3</v>
      </c>
      <c r="C52" s="1252"/>
      <c r="D52" s="2600"/>
      <c r="E52" s="2599"/>
      <c r="F52" s="2599"/>
      <c r="G52" s="2599"/>
      <c r="H52" s="2599"/>
      <c r="I52" s="2599"/>
      <c r="J52" s="2599"/>
      <c r="K52" s="2687"/>
      <c r="L52" s="268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17" t="s">
        <v>641</v>
      </c>
      <c r="B53" s="2656" t="s">
        <v>267</v>
      </c>
      <c r="C53" s="1252" t="s">
        <v>642</v>
      </c>
      <c r="D53" s="2657" t="s">
        <v>643</v>
      </c>
      <c r="E53" s="2599"/>
      <c r="F53" s="2599"/>
      <c r="G53" s="2599"/>
      <c r="H53" s="2599"/>
      <c r="I53" s="2599"/>
      <c r="J53" s="2599"/>
      <c r="K53" s="2687"/>
      <c r="L53" s="268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58" t="s">
        <v>644</v>
      </c>
      <c r="B54" s="2659"/>
      <c r="C54" s="1252">
        <v>30</v>
      </c>
      <c r="D54" s="2600"/>
      <c r="E54" s="2599"/>
      <c r="F54" s="2599"/>
      <c r="G54" s="2599"/>
      <c r="H54" s="2599"/>
      <c r="I54" s="2599"/>
      <c r="J54" s="2599"/>
      <c r="K54" s="2687"/>
      <c r="L54" s="268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58" t="s">
        <v>645</v>
      </c>
      <c r="B55" s="2659"/>
      <c r="C55" s="1252">
        <v>24</v>
      </c>
      <c r="D55" s="2600"/>
      <c r="E55" s="2599"/>
      <c r="F55" s="2599"/>
      <c r="G55" s="2599"/>
      <c r="H55" s="2599"/>
      <c r="I55" s="2688"/>
      <c r="J55" s="2599"/>
      <c r="K55" s="2687"/>
      <c r="L55" s="268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58" t="s">
        <v>646</v>
      </c>
      <c r="B56" s="2659"/>
      <c r="C56" s="1252">
        <v>18</v>
      </c>
      <c r="D56" s="2600"/>
      <c r="E56" s="2599"/>
      <c r="F56" s="2599"/>
      <c r="G56" s="2599"/>
      <c r="H56" s="2599"/>
      <c r="I56" s="2599"/>
      <c r="J56" s="2599"/>
      <c r="K56" s="2687"/>
      <c r="L56" s="268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58" t="s">
        <v>647</v>
      </c>
      <c r="B57" s="2659"/>
      <c r="C57" s="1252">
        <v>12</v>
      </c>
      <c r="D57" s="2600"/>
      <c r="E57" s="2599"/>
      <c r="F57" s="2599"/>
      <c r="G57" s="2599"/>
      <c r="H57" s="2599"/>
      <c r="I57" s="2599"/>
      <c r="J57" s="2599"/>
      <c r="K57" s="2687"/>
      <c r="L57" s="268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58" t="s">
        <v>648</v>
      </c>
      <c r="B58" s="2659">
        <v>3</v>
      </c>
      <c r="C58" s="1252">
        <v>3</v>
      </c>
      <c r="D58" s="2600"/>
      <c r="E58" s="2599"/>
      <c r="F58" s="2599"/>
      <c r="G58" s="2599"/>
      <c r="H58" s="2599"/>
      <c r="I58" s="2599"/>
      <c r="J58" s="2599"/>
      <c r="K58" s="2687"/>
      <c r="L58" s="268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58" t="s">
        <v>649</v>
      </c>
      <c r="B59" s="2566"/>
      <c r="C59" s="1252">
        <v>1.5</v>
      </c>
      <c r="D59" s="2600"/>
      <c r="E59" s="2599"/>
      <c r="F59" s="2599"/>
      <c r="G59" s="2599"/>
      <c r="H59" s="2599"/>
      <c r="I59" s="2599"/>
      <c r="J59" s="2599"/>
      <c r="K59" s="2687"/>
      <c r="L59" s="268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58" t="s">
        <v>650</v>
      </c>
      <c r="B60" s="2659"/>
      <c r="C60" s="2599"/>
      <c r="D60" s="2600"/>
      <c r="E60" s="2599"/>
      <c r="F60" s="2599"/>
      <c r="G60" s="2599"/>
      <c r="H60" s="2599"/>
      <c r="I60" s="2599"/>
      <c r="J60" s="2599"/>
      <c r="K60" s="2687"/>
      <c r="L60" s="268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58" t="s">
        <v>651</v>
      </c>
      <c r="B61" s="2659"/>
      <c r="C61" s="2599"/>
      <c r="D61" s="2600"/>
      <c r="E61" s="2599"/>
      <c r="F61" s="2599"/>
      <c r="G61" s="2599"/>
      <c r="H61" s="2599"/>
      <c r="I61" s="2599"/>
      <c r="J61" s="2599"/>
      <c r="K61" s="2687"/>
      <c r="L61" s="268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58" t="s">
        <v>652</v>
      </c>
      <c r="B62" s="2659"/>
      <c r="C62" s="2599"/>
      <c r="D62" s="2600"/>
      <c r="E62" s="2599"/>
      <c r="F62" s="2599"/>
      <c r="G62" s="2599"/>
      <c r="H62" s="2599"/>
      <c r="I62" s="2599"/>
      <c r="J62" s="2599"/>
      <c r="K62" s="2687"/>
      <c r="L62" s="268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60" t="s">
        <v>653</v>
      </c>
      <c r="B63" s="2661"/>
      <c r="C63" s="2599"/>
      <c r="D63" s="2600"/>
      <c r="E63" s="2599"/>
      <c r="F63" s="2599"/>
      <c r="G63" s="2599"/>
      <c r="H63" s="2599"/>
      <c r="I63" s="2599"/>
      <c r="J63" s="2599"/>
      <c r="K63" s="2687"/>
      <c r="L63" s="268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2165" customFormat="1">
      <c r="A64" s="2662"/>
      <c r="B64" s="2136"/>
      <c r="C64" s="2136"/>
      <c r="D64" s="2597"/>
      <c r="E64" s="2136"/>
      <c r="F64" s="2136"/>
      <c r="G64" s="2136"/>
      <c r="H64" s="2136"/>
      <c r="I64" s="2136"/>
      <c r="J64" s="2136"/>
      <c r="K64" s="2687"/>
      <c r="L64" s="2687"/>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2165" customFormat="1">
      <c r="A65" s="2662"/>
      <c r="B65" s="2136"/>
      <c r="C65" s="2136"/>
      <c r="D65" s="2597"/>
      <c r="E65" s="2136"/>
      <c r="F65" s="2136"/>
      <c r="G65" s="2136"/>
      <c r="H65" s="2136"/>
      <c r="I65" s="2136"/>
      <c r="J65" s="2136"/>
      <c r="K65" s="2687"/>
      <c r="L65" s="2687"/>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2165" customFormat="1">
      <c r="A66" s="2662"/>
      <c r="B66" s="2136"/>
      <c r="C66" s="2136"/>
      <c r="D66" s="2597"/>
      <c r="E66" s="2136"/>
      <c r="F66" s="2136"/>
      <c r="G66" s="2136"/>
      <c r="H66" s="2136"/>
      <c r="I66" s="2136"/>
      <c r="J66" s="2136"/>
      <c r="K66" s="2687"/>
      <c r="L66" s="2687"/>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2165" customFormat="1">
      <c r="A67" s="2662"/>
      <c r="B67" s="2136"/>
      <c r="C67" s="2136"/>
      <c r="D67" s="2597"/>
      <c r="E67" s="2136"/>
      <c r="F67" s="2136"/>
      <c r="G67" s="2136"/>
      <c r="H67" s="2136"/>
      <c r="I67" s="2136"/>
      <c r="J67" s="2136"/>
      <c r="K67" s="2687"/>
      <c r="L67" s="2687"/>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2165" customFormat="1">
      <c r="A68" s="2662"/>
      <c r="B68" s="2136"/>
      <c r="C68" s="2136"/>
      <c r="D68" s="2597"/>
      <c r="E68" s="2136"/>
      <c r="F68" s="2136"/>
      <c r="G68" s="2136"/>
      <c r="H68" s="2136"/>
      <c r="I68" s="2136"/>
      <c r="J68" s="2136"/>
      <c r="K68" s="2687"/>
      <c r="L68" s="2687"/>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2165" customFormat="1">
      <c r="A69" s="2474"/>
      <c r="D69" s="2761"/>
      <c r="K69" s="364"/>
      <c r="L69" s="364"/>
    </row>
    <row r="70" spans="1:44" s="2165" customFormat="1">
      <c r="A70" s="2474"/>
      <c r="D70" s="2761"/>
      <c r="K70" s="364"/>
      <c r="L70" s="364"/>
    </row>
    <row r="71" spans="1:44" s="2165" customFormat="1">
      <c r="A71" s="2474"/>
      <c r="D71" s="2761"/>
      <c r="K71" s="364"/>
      <c r="L71" s="364"/>
    </row>
    <row r="72" spans="1:44" s="2165" customFormat="1">
      <c r="A72" s="2474"/>
      <c r="D72" s="2761"/>
      <c r="K72" s="364"/>
      <c r="L72" s="364"/>
    </row>
    <row r="73" spans="1:44" s="2165" customFormat="1">
      <c r="A73" s="2474"/>
      <c r="D73" s="2761"/>
      <c r="K73" s="364"/>
      <c r="L73" s="364"/>
    </row>
    <row r="74" spans="1:44" s="2165" customFormat="1">
      <c r="A74" s="2474"/>
      <c r="D74" s="2761"/>
      <c r="K74" s="364"/>
      <c r="L74" s="364"/>
    </row>
    <row r="75" spans="1:44" s="2165" customFormat="1">
      <c r="A75" s="2474"/>
      <c r="D75" s="2761"/>
      <c r="K75" s="364"/>
      <c r="L75" s="364"/>
    </row>
    <row r="76" spans="1:44" s="2165" customFormat="1">
      <c r="A76" s="2474"/>
      <c r="D76" s="2761"/>
      <c r="K76" s="364"/>
      <c r="L76" s="364"/>
    </row>
    <row r="77" spans="1:44" s="2165" customFormat="1">
      <c r="A77" s="2474"/>
      <c r="D77" s="2761"/>
      <c r="K77" s="364"/>
      <c r="L77" s="364"/>
    </row>
    <row r="78" spans="1:44" s="2165" customFormat="1">
      <c r="A78" s="2474"/>
      <c r="D78" s="2761"/>
      <c r="K78" s="364"/>
      <c r="L78" s="364"/>
    </row>
    <row r="79" spans="1:44" s="2165" customFormat="1">
      <c r="A79" s="2474"/>
      <c r="D79" s="2761"/>
      <c r="K79" s="364"/>
      <c r="L79" s="364"/>
    </row>
    <row r="80" spans="1:44" s="2165" customFormat="1">
      <c r="A80" s="2474"/>
      <c r="D80" s="2761"/>
      <c r="K80" s="364"/>
      <c r="L80" s="364"/>
    </row>
    <row r="81" spans="1:12" s="2165" customFormat="1">
      <c r="A81" s="2474"/>
      <c r="D81" s="2761"/>
      <c r="K81" s="364"/>
      <c r="L81" s="364"/>
    </row>
    <row r="82" spans="1:12" s="2165" customFormat="1">
      <c r="A82" s="2474"/>
      <c r="D82" s="2761"/>
      <c r="K82" s="364"/>
      <c r="L82" s="364"/>
    </row>
    <row r="83" spans="1:12" s="2165" customFormat="1">
      <c r="A83" s="2474"/>
      <c r="D83" s="2761"/>
      <c r="K83" s="364"/>
      <c r="L83" s="364"/>
    </row>
    <row r="84" spans="1:12" s="2165" customFormat="1">
      <c r="A84" s="2474"/>
      <c r="D84" s="2761"/>
      <c r="K84" s="364"/>
      <c r="L84" s="364"/>
    </row>
    <row r="85" spans="1:12" s="2165" customFormat="1">
      <c r="A85" s="2474"/>
      <c r="D85" s="2761"/>
      <c r="K85" s="364"/>
      <c r="L85" s="364"/>
    </row>
    <row r="86" spans="1:12" s="2165" customFormat="1">
      <c r="A86" s="2474"/>
      <c r="D86" s="2761"/>
      <c r="K86" s="364"/>
      <c r="L86" s="364"/>
    </row>
    <row r="87" spans="1:12" s="2165" customFormat="1">
      <c r="A87" s="2474"/>
      <c r="D87" s="2761"/>
      <c r="K87" s="364"/>
      <c r="L87" s="364"/>
    </row>
    <row r="88" spans="1:12" s="2165" customFormat="1">
      <c r="A88" s="2474"/>
      <c r="D88" s="2761"/>
      <c r="K88" s="364"/>
      <c r="L88" s="364"/>
    </row>
    <row r="89" spans="1:12" s="2165" customFormat="1">
      <c r="A89" s="2474"/>
      <c r="D89" s="2761"/>
      <c r="K89" s="364"/>
      <c r="L89" s="364"/>
    </row>
    <row r="90" spans="1:12" s="2165" customFormat="1">
      <c r="A90" s="2474"/>
      <c r="D90" s="2761"/>
      <c r="K90" s="364"/>
      <c r="L90" s="364"/>
    </row>
    <row r="91" spans="1:12" s="2165" customFormat="1">
      <c r="A91" s="2474"/>
      <c r="D91" s="2761"/>
      <c r="K91" s="364"/>
      <c r="L91" s="364"/>
    </row>
    <row r="92" spans="1:12" s="2165" customFormat="1">
      <c r="A92" s="2474"/>
      <c r="D92" s="2761"/>
      <c r="K92" s="364"/>
      <c r="L92" s="364"/>
    </row>
    <row r="93" spans="1:12" s="2165" customFormat="1">
      <c r="A93" s="2474"/>
      <c r="D93" s="2761"/>
      <c r="K93" s="364"/>
      <c r="L93" s="364"/>
    </row>
    <row r="94" spans="1:12" s="2165" customFormat="1">
      <c r="A94" s="2474"/>
      <c r="D94" s="2761"/>
      <c r="K94" s="364"/>
      <c r="L94" s="364"/>
    </row>
    <row r="95" spans="1:12" s="2165" customFormat="1">
      <c r="A95" s="2474"/>
      <c r="D95" s="2761"/>
      <c r="K95" s="364"/>
      <c r="L95" s="364"/>
    </row>
    <row r="96" spans="1:12" s="2165" customFormat="1">
      <c r="A96" s="2474"/>
      <c r="D96" s="2761"/>
      <c r="K96" s="364"/>
      <c r="L96" s="364"/>
    </row>
    <row r="97" spans="1:12" s="2165" customFormat="1">
      <c r="A97" s="2474"/>
      <c r="D97" s="2761"/>
      <c r="K97" s="364"/>
      <c r="L97" s="364"/>
    </row>
    <row r="98" spans="1:12" s="2165" customFormat="1">
      <c r="A98" s="2474"/>
      <c r="D98" s="2761"/>
      <c r="K98" s="364"/>
      <c r="L98" s="364"/>
    </row>
    <row r="99" spans="1:12" s="2165" customFormat="1">
      <c r="A99" s="2474"/>
      <c r="D99" s="2761"/>
      <c r="K99" s="364"/>
      <c r="L99" s="364"/>
    </row>
    <row r="100" spans="1:12" s="2165" customFormat="1">
      <c r="A100" s="2474"/>
      <c r="D100" s="2761"/>
      <c r="K100" s="364"/>
      <c r="L100" s="364"/>
    </row>
    <row r="101" spans="1:12" s="2165" customFormat="1">
      <c r="A101" s="2474"/>
      <c r="D101" s="2761"/>
      <c r="K101" s="364"/>
      <c r="L101" s="364"/>
    </row>
    <row r="102" spans="1:12" s="2165" customFormat="1">
      <c r="A102" s="2474"/>
      <c r="D102" s="2761"/>
      <c r="K102" s="364"/>
      <c r="L102" s="364"/>
    </row>
    <row r="103" spans="1:12" s="2165" customFormat="1">
      <c r="A103" s="2474"/>
      <c r="D103" s="2761"/>
      <c r="K103" s="364"/>
      <c r="L103" s="364"/>
    </row>
    <row r="104" spans="1:12" s="2165" customFormat="1">
      <c r="A104" s="2474"/>
      <c r="D104" s="2761"/>
      <c r="K104" s="364"/>
      <c r="L104" s="364"/>
    </row>
    <row r="105" spans="1:12" s="2165" customFormat="1">
      <c r="A105" s="2474"/>
      <c r="D105" s="2761"/>
      <c r="K105" s="364"/>
      <c r="L105" s="364"/>
    </row>
    <row r="106" spans="1:12" s="2165" customFormat="1">
      <c r="A106" s="2474"/>
      <c r="D106" s="2761"/>
      <c r="K106" s="364"/>
      <c r="L106" s="364"/>
    </row>
    <row r="107" spans="1:12" s="2165" customFormat="1">
      <c r="A107" s="2474"/>
      <c r="D107" s="2761"/>
      <c r="K107" s="364"/>
      <c r="L107" s="364"/>
    </row>
    <row r="108" spans="1:12" s="2165" customFormat="1">
      <c r="A108" s="2474"/>
      <c r="D108" s="2761"/>
      <c r="K108" s="364"/>
      <c r="L108" s="364"/>
    </row>
    <row r="109" spans="1:12" s="2165" customFormat="1">
      <c r="A109" s="2474"/>
      <c r="D109" s="2761"/>
      <c r="K109" s="364"/>
      <c r="L109" s="364"/>
    </row>
    <row r="110" spans="1:12" s="2165" customFormat="1">
      <c r="A110" s="2474"/>
      <c r="D110" s="2761"/>
      <c r="K110" s="364"/>
      <c r="L110" s="364"/>
    </row>
    <row r="111" spans="1:12" s="2165" customFormat="1">
      <c r="A111" s="2474"/>
      <c r="D111" s="2761"/>
      <c r="K111" s="364"/>
      <c r="L111" s="364"/>
    </row>
    <row r="112" spans="1:12" s="2165" customFormat="1">
      <c r="A112" s="2474"/>
      <c r="D112" s="2761"/>
      <c r="K112" s="364"/>
      <c r="L112" s="364"/>
    </row>
    <row r="113" spans="1:12" s="2165" customFormat="1">
      <c r="A113" s="2474"/>
      <c r="D113" s="2761"/>
      <c r="K113" s="364"/>
      <c r="L113" s="364"/>
    </row>
    <row r="114" spans="1:12" s="2165" customFormat="1">
      <c r="A114" s="2474"/>
      <c r="D114" s="2761"/>
      <c r="K114" s="364"/>
      <c r="L114" s="364"/>
    </row>
    <row r="115" spans="1:12" s="2165" customFormat="1">
      <c r="A115" s="2474"/>
      <c r="D115" s="2761"/>
      <c r="K115" s="364"/>
      <c r="L115" s="364"/>
    </row>
    <row r="116" spans="1:12" s="2165" customFormat="1">
      <c r="A116" s="2474"/>
      <c r="D116" s="2761"/>
      <c r="K116" s="364"/>
      <c r="L116" s="364"/>
    </row>
    <row r="117" spans="1:12" s="2165" customFormat="1">
      <c r="A117" s="2474"/>
      <c r="D117" s="2761"/>
      <c r="K117" s="364"/>
      <c r="L117" s="364"/>
    </row>
    <row r="118" spans="1:12" s="2165" customFormat="1">
      <c r="A118" s="2474"/>
      <c r="D118" s="2761"/>
      <c r="K118" s="364"/>
      <c r="L118" s="364"/>
    </row>
    <row r="119" spans="1:12" s="2165" customFormat="1">
      <c r="A119" s="2474"/>
      <c r="D119" s="2761"/>
      <c r="K119" s="364"/>
      <c r="L119" s="364"/>
    </row>
    <row r="120" spans="1:12" s="2165" customFormat="1">
      <c r="A120" s="2474"/>
      <c r="D120" s="2761"/>
      <c r="K120" s="364"/>
      <c r="L120" s="364"/>
    </row>
    <row r="121" spans="1:12" s="2165" customFormat="1">
      <c r="A121" s="2474"/>
      <c r="D121" s="2761"/>
      <c r="K121" s="364"/>
      <c r="L121" s="364"/>
    </row>
    <row r="122" spans="1:12" s="2165" customFormat="1">
      <c r="A122" s="2474"/>
      <c r="D122" s="2761"/>
      <c r="K122" s="364"/>
      <c r="L122" s="364"/>
    </row>
    <row r="123" spans="1:12" s="2165" customFormat="1">
      <c r="A123" s="2474"/>
      <c r="D123" s="2761"/>
      <c r="K123" s="364"/>
      <c r="L123" s="364"/>
    </row>
    <row r="124" spans="1:12" s="2165" customFormat="1">
      <c r="A124" s="2474"/>
      <c r="D124" s="2761"/>
      <c r="K124" s="364"/>
      <c r="L124" s="364"/>
    </row>
    <row r="125" spans="1:12" s="2165" customFormat="1">
      <c r="A125" s="2474"/>
      <c r="D125" s="2761"/>
      <c r="K125" s="364"/>
      <c r="L125" s="364"/>
    </row>
    <row r="126" spans="1:12" s="2165" customFormat="1">
      <c r="A126" s="2474"/>
      <c r="D126" s="2761"/>
      <c r="K126" s="364"/>
      <c r="L126" s="364"/>
    </row>
    <row r="127" spans="1:12" s="2165" customFormat="1">
      <c r="A127" s="2474"/>
      <c r="D127" s="2761"/>
      <c r="K127" s="364"/>
      <c r="L127" s="364"/>
    </row>
    <row r="128" spans="1:12" s="2165" customFormat="1">
      <c r="A128" s="2474"/>
      <c r="D128" s="2761"/>
      <c r="K128" s="364"/>
      <c r="L128" s="364"/>
    </row>
    <row r="129" spans="1:12" s="2165" customFormat="1">
      <c r="A129" s="2474"/>
      <c r="D129" s="2761"/>
      <c r="K129" s="364"/>
      <c r="L129" s="364"/>
    </row>
    <row r="130" spans="1:12" s="2165" customFormat="1">
      <c r="A130" s="2474"/>
      <c r="D130" s="2761"/>
      <c r="K130" s="364"/>
      <c r="L130" s="364"/>
    </row>
    <row r="131" spans="1:12" s="2165" customFormat="1">
      <c r="A131" s="2474"/>
      <c r="D131" s="2761"/>
      <c r="K131" s="364"/>
      <c r="L131" s="364"/>
    </row>
    <row r="132" spans="1:12" s="2165" customFormat="1">
      <c r="A132" s="2474"/>
      <c r="D132" s="2761"/>
      <c r="K132" s="364"/>
      <c r="L132" s="364"/>
    </row>
    <row r="133" spans="1:12" s="2165" customFormat="1">
      <c r="A133" s="2474"/>
      <c r="D133" s="2761"/>
      <c r="K133" s="364"/>
      <c r="L133" s="364"/>
    </row>
    <row r="134" spans="1:12" s="2566" customFormat="1">
      <c r="A134" s="2762"/>
      <c r="D134" s="2763"/>
      <c r="K134" s="243"/>
      <c r="L134" s="243"/>
    </row>
    <row r="135" spans="1:12" s="2566" customFormat="1">
      <c r="A135" s="2762"/>
      <c r="D135" s="2763"/>
      <c r="K135" s="243"/>
      <c r="L135" s="243"/>
    </row>
    <row r="136" spans="1:12" s="2566" customFormat="1">
      <c r="A136" s="2762"/>
      <c r="D136" s="2763"/>
      <c r="K136" s="243"/>
      <c r="L136" s="243"/>
    </row>
    <row r="137" spans="1:12" s="2566" customFormat="1">
      <c r="A137" s="2762"/>
      <c r="D137" s="2763"/>
      <c r="K137" s="243"/>
      <c r="L137" s="243"/>
    </row>
    <row r="138" spans="1:12" s="2566" customFormat="1">
      <c r="A138" s="2762"/>
      <c r="D138" s="2763"/>
      <c r="K138" s="243"/>
      <c r="L138" s="243"/>
    </row>
    <row r="139" spans="1:12" s="2566" customFormat="1">
      <c r="A139" s="2762"/>
      <c r="D139" s="2763"/>
      <c r="K139" s="243"/>
      <c r="L139" s="243"/>
    </row>
    <row r="140" spans="1:12" s="2566" customFormat="1">
      <c r="A140" s="2762"/>
      <c r="D140" s="2763"/>
      <c r="K140" s="243"/>
      <c r="L140" s="243"/>
    </row>
    <row r="141" spans="1:12" s="2566" customFormat="1">
      <c r="A141" s="2762"/>
      <c r="D141" s="2763"/>
      <c r="K141" s="243"/>
      <c r="L141" s="243"/>
    </row>
    <row r="142" spans="1:12" s="2566" customFormat="1">
      <c r="A142" s="2762"/>
      <c r="D142" s="2763"/>
      <c r="K142" s="243"/>
      <c r="L142" s="243"/>
    </row>
    <row r="143" spans="1:12" s="2566" customFormat="1">
      <c r="A143" s="2762"/>
      <c r="D143" s="2763"/>
      <c r="K143" s="243"/>
      <c r="L143" s="243"/>
    </row>
    <row r="144" spans="1:12" s="2566" customFormat="1">
      <c r="A144" s="2762"/>
      <c r="D144" s="2763"/>
      <c r="K144" s="243"/>
      <c r="L144" s="243"/>
    </row>
    <row r="145" spans="1:12" s="2566" customFormat="1">
      <c r="A145" s="2762"/>
      <c r="D145" s="2763"/>
      <c r="K145" s="243"/>
      <c r="L145" s="243"/>
    </row>
    <row r="146" spans="1:12" s="2566" customFormat="1">
      <c r="A146" s="2762"/>
      <c r="D146" s="2763"/>
      <c r="K146" s="243"/>
      <c r="L146" s="243"/>
    </row>
    <row r="147" spans="1:12" s="2566" customFormat="1">
      <c r="A147" s="2762"/>
      <c r="D147" s="2763"/>
      <c r="K147" s="243"/>
      <c r="L147" s="243"/>
    </row>
    <row r="148" spans="1:12" s="2566" customFormat="1">
      <c r="A148" s="2762"/>
      <c r="D148" s="2763"/>
      <c r="K148" s="243"/>
      <c r="L148" s="243"/>
    </row>
    <row r="149" spans="1:12" s="2566" customFormat="1">
      <c r="A149" s="2762"/>
      <c r="D149" s="2763"/>
      <c r="K149" s="243"/>
      <c r="L149" s="243"/>
    </row>
    <row r="150" spans="1:12" s="2566" customFormat="1">
      <c r="A150" s="2762"/>
      <c r="D150" s="2763"/>
      <c r="K150" s="243"/>
      <c r="L150" s="243"/>
    </row>
    <row r="151" spans="1:12" s="2566" customFormat="1">
      <c r="A151" s="2762"/>
      <c r="D151" s="2763"/>
      <c r="K151" s="243"/>
      <c r="L151" s="243"/>
    </row>
    <row r="152" spans="1:12" s="2566" customFormat="1">
      <c r="A152" s="2762"/>
      <c r="D152" s="2763"/>
      <c r="K152" s="243"/>
      <c r="L152" s="243"/>
    </row>
    <row r="153" spans="1:12" s="2566" customFormat="1">
      <c r="A153" s="2762"/>
      <c r="D153" s="2763"/>
      <c r="K153" s="243"/>
      <c r="L153" s="243"/>
    </row>
    <row r="154" spans="1:12" s="2566" customFormat="1">
      <c r="A154" s="2762"/>
      <c r="D154" s="2763"/>
      <c r="K154" s="243"/>
      <c r="L154" s="243"/>
    </row>
    <row r="155" spans="1:12" s="2566" customFormat="1">
      <c r="A155" s="2762"/>
      <c r="D155" s="2763"/>
      <c r="K155" s="243"/>
      <c r="L155" s="243"/>
    </row>
    <row r="156" spans="1:12" s="2566" customFormat="1">
      <c r="A156" s="2762"/>
      <c r="D156" s="2763"/>
      <c r="K156" s="243"/>
      <c r="L156" s="243"/>
    </row>
    <row r="157" spans="1:12" s="2566" customFormat="1">
      <c r="A157" s="2762"/>
      <c r="D157" s="2763"/>
      <c r="K157" s="243"/>
      <c r="L157" s="243"/>
    </row>
    <row r="158" spans="1:12" s="2566" customFormat="1">
      <c r="A158" s="2762"/>
      <c r="D158" s="2763"/>
      <c r="K158" s="243"/>
      <c r="L158" s="243"/>
    </row>
    <row r="159" spans="1:12" s="2566" customFormat="1">
      <c r="A159" s="2762"/>
      <c r="D159" s="2763"/>
      <c r="K159" s="243"/>
      <c r="L159" s="243"/>
    </row>
    <row r="160" spans="1:12" s="2566" customFormat="1">
      <c r="A160" s="2762"/>
      <c r="D160" s="2763"/>
      <c r="K160" s="243"/>
      <c r="L160" s="243"/>
    </row>
    <row r="161" spans="1:12" s="2566" customFormat="1">
      <c r="A161" s="2762"/>
      <c r="D161" s="2763"/>
      <c r="K161" s="243"/>
      <c r="L161" s="243"/>
    </row>
    <row r="162" spans="1:12" s="2566" customFormat="1">
      <c r="A162" s="2762"/>
      <c r="D162" s="2763"/>
      <c r="K162" s="243"/>
      <c r="L162" s="243"/>
    </row>
    <row r="163" spans="1:12" s="2566" customFormat="1">
      <c r="A163" s="2762"/>
      <c r="D163" s="2763"/>
      <c r="K163" s="243"/>
      <c r="L163" s="243"/>
    </row>
    <row r="164" spans="1:12" s="2566" customFormat="1">
      <c r="A164" s="2762"/>
      <c r="D164" s="2763"/>
      <c r="K164" s="243"/>
      <c r="L164" s="243"/>
    </row>
    <row r="165" spans="1:12" s="2566" customFormat="1">
      <c r="A165" s="2762"/>
      <c r="D165" s="2763"/>
      <c r="K165" s="243"/>
      <c r="L165" s="243"/>
    </row>
    <row r="166" spans="1:12" s="2566" customFormat="1">
      <c r="A166" s="2762"/>
      <c r="D166" s="2763"/>
      <c r="K166" s="243"/>
      <c r="L166" s="243"/>
    </row>
    <row r="167" spans="1:12" s="2566" customFormat="1">
      <c r="A167" s="2762"/>
      <c r="D167" s="2763"/>
      <c r="K167" s="243"/>
      <c r="L167" s="243"/>
    </row>
    <row r="168" spans="1:12" s="2566" customFormat="1">
      <c r="A168" s="2762"/>
      <c r="D168" s="2763"/>
      <c r="K168" s="243"/>
      <c r="L168" s="243"/>
    </row>
    <row r="169" spans="1:12" s="2566" customFormat="1">
      <c r="A169" s="2762"/>
      <c r="D169" s="2763"/>
      <c r="K169" s="243"/>
      <c r="L169" s="243"/>
    </row>
    <row r="170" spans="1:12" s="2566" customFormat="1">
      <c r="A170" s="2762"/>
      <c r="D170" s="2763"/>
      <c r="K170" s="243"/>
      <c r="L170" s="243"/>
    </row>
    <row r="171" spans="1:12" s="2566" customFormat="1">
      <c r="A171" s="2762"/>
      <c r="D171" s="2763"/>
      <c r="K171" s="243"/>
      <c r="L171" s="243"/>
    </row>
    <row r="172" spans="1:12" s="2566" customFormat="1">
      <c r="A172" s="2762"/>
      <c r="D172" s="2763"/>
      <c r="K172" s="243"/>
      <c r="L172" s="243"/>
    </row>
    <row r="173" spans="1:12" s="2566" customFormat="1">
      <c r="A173" s="2762"/>
      <c r="D173" s="2763"/>
      <c r="K173" s="243"/>
      <c r="L173" s="243"/>
    </row>
    <row r="174" spans="1:12" s="2566" customFormat="1">
      <c r="A174" s="2762"/>
      <c r="D174" s="2763"/>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3" t="s">
        <v>654</v>
      </c>
      <c r="B1" s="3314"/>
      <c r="C1" s="3314"/>
      <c r="D1" s="3314"/>
      <c r="E1" s="3314"/>
      <c r="F1" s="3314"/>
      <c r="G1" s="3314"/>
      <c r="H1" s="2534"/>
      <c r="I1" s="2553"/>
      <c r="J1" s="2534"/>
      <c r="K1" s="2534"/>
      <c r="L1" s="2553"/>
      <c r="M1" s="2534"/>
      <c r="N1" s="2534"/>
      <c r="O1" s="2553"/>
      <c r="P1" s="2534"/>
      <c r="Q1" s="2560"/>
      <c r="R1" s="2561"/>
      <c r="S1" s="2562"/>
      <c r="T1" s="2562"/>
      <c r="U1" s="2562"/>
      <c r="V1" s="2562"/>
      <c r="W1" s="2562"/>
      <c r="X1" s="2562"/>
      <c r="Y1" s="2562"/>
      <c r="Z1" s="2562"/>
      <c r="AA1" s="2562"/>
      <c r="AB1" s="2562"/>
      <c r="AC1" s="2562"/>
    </row>
    <row r="2" spans="1:29">
      <c r="A2" s="2501"/>
      <c r="B2" s="2502"/>
      <c r="C2" s="2503" t="s">
        <v>655</v>
      </c>
      <c r="D2" s="2504"/>
      <c r="E2" s="2501"/>
      <c r="F2" s="2535"/>
      <c r="G2" s="2503" t="s">
        <v>656</v>
      </c>
      <c r="H2" s="2081"/>
      <c r="I2" s="2081"/>
      <c r="J2" s="2081"/>
      <c r="K2" s="2081"/>
      <c r="L2" s="2081"/>
      <c r="M2" s="2081"/>
      <c r="N2" s="2081"/>
      <c r="O2" s="2081"/>
      <c r="P2" s="2081"/>
      <c r="Q2" s="2081"/>
      <c r="R2" s="2081"/>
    </row>
    <row r="3" spans="1:29" ht="48">
      <c r="A3" s="2505" t="s">
        <v>657</v>
      </c>
      <c r="B3" s="2506" t="s">
        <v>658</v>
      </c>
      <c r="C3" s="2507" t="s">
        <v>659</v>
      </c>
      <c r="D3" s="2508"/>
      <c r="E3" s="2509" t="s">
        <v>657</v>
      </c>
      <c r="F3" s="2536" t="s">
        <v>660</v>
      </c>
      <c r="G3" s="2537" t="s">
        <v>661</v>
      </c>
      <c r="H3" s="2081"/>
      <c r="I3" s="2081"/>
      <c r="J3" s="2081"/>
      <c r="K3" s="2081"/>
      <c r="L3" s="2081"/>
      <c r="M3" s="2081"/>
      <c r="N3" s="2081"/>
      <c r="O3" s="2081"/>
      <c r="P3" s="2081"/>
      <c r="Q3" s="2081"/>
      <c r="R3" s="2081"/>
    </row>
    <row r="4" spans="1:29" ht="36.75">
      <c r="A4" s="2509"/>
      <c r="B4" s="1835" t="s">
        <v>662</v>
      </c>
      <c r="C4" s="2510" t="s">
        <v>663</v>
      </c>
      <c r="D4" s="2508"/>
      <c r="E4" s="2538"/>
      <c r="F4" s="2075" t="s">
        <v>664</v>
      </c>
      <c r="G4" s="2511" t="s">
        <v>665</v>
      </c>
      <c r="H4" s="2081"/>
      <c r="I4" s="2081"/>
      <c r="J4" s="2081"/>
      <c r="K4" s="2081"/>
      <c r="L4" s="2081"/>
      <c r="M4" s="2081"/>
      <c r="N4" s="2081"/>
      <c r="O4" s="2081"/>
      <c r="P4" s="2081"/>
      <c r="Q4" s="2081"/>
      <c r="R4" s="2081"/>
    </row>
    <row r="5" spans="1:29" ht="36.75">
      <c r="A5" s="2509"/>
      <c r="B5" s="1835" t="s">
        <v>666</v>
      </c>
      <c r="C5" s="2510" t="s">
        <v>667</v>
      </c>
      <c r="D5" s="2508"/>
      <c r="E5" s="2538"/>
      <c r="F5" s="1835" t="s">
        <v>464</v>
      </c>
      <c r="G5" s="2511" t="s">
        <v>668</v>
      </c>
      <c r="H5" s="2081"/>
      <c r="I5" s="2081"/>
      <c r="J5" s="2081"/>
      <c r="K5" s="2081"/>
      <c r="L5" s="2081"/>
      <c r="M5" s="2081"/>
      <c r="N5" s="2081"/>
      <c r="O5" s="2081"/>
      <c r="P5" s="2081"/>
      <c r="Q5" s="2081"/>
      <c r="R5" s="2081"/>
    </row>
    <row r="6" spans="1:29" ht="36">
      <c r="A6" s="2509"/>
      <c r="B6" s="1835" t="s">
        <v>664</v>
      </c>
      <c r="C6" s="2511" t="s">
        <v>665</v>
      </c>
      <c r="D6" s="2508"/>
      <c r="E6" s="2538"/>
      <c r="F6" s="1835" t="s">
        <v>669</v>
      </c>
      <c r="G6" s="2511" t="s">
        <v>670</v>
      </c>
      <c r="H6" s="2081"/>
      <c r="I6" s="2081"/>
      <c r="J6" s="2081"/>
      <c r="K6" s="2081"/>
      <c r="L6" s="2081"/>
      <c r="M6" s="2081"/>
      <c r="N6" s="2081"/>
      <c r="O6" s="2081"/>
      <c r="P6" s="2081"/>
      <c r="Q6" s="2081"/>
      <c r="R6" s="2081"/>
    </row>
    <row r="7" spans="1:29" ht="24">
      <c r="A7" s="2509"/>
      <c r="B7" s="1835" t="s">
        <v>464</v>
      </c>
      <c r="C7" s="2511" t="s">
        <v>668</v>
      </c>
      <c r="D7" s="2512"/>
      <c r="E7" s="2539"/>
      <c r="F7" s="2540" t="s">
        <v>671</v>
      </c>
      <c r="G7" s="2541" t="s">
        <v>672</v>
      </c>
      <c r="H7" s="2081"/>
      <c r="I7" s="2081"/>
      <c r="J7" s="2081"/>
      <c r="K7" s="2081"/>
      <c r="L7" s="2081"/>
      <c r="M7" s="2081"/>
      <c r="N7" s="2081"/>
      <c r="O7" s="2081"/>
      <c r="P7" s="2081"/>
      <c r="Q7" s="2081"/>
      <c r="R7" s="2081"/>
    </row>
    <row r="8" spans="1:29">
      <c r="A8" s="2509"/>
      <c r="B8" s="1835" t="s">
        <v>669</v>
      </c>
      <c r="C8" s="2511" t="s">
        <v>670</v>
      </c>
      <c r="D8" s="2512"/>
      <c r="E8" s="2512"/>
      <c r="F8" s="1981"/>
      <c r="G8" s="1981"/>
      <c r="H8" s="2081"/>
      <c r="I8" s="2081"/>
      <c r="J8" s="2081"/>
      <c r="K8" s="2081"/>
      <c r="L8" s="2081"/>
      <c r="M8" s="2081"/>
      <c r="N8" s="2081"/>
      <c r="O8" s="2081"/>
      <c r="P8" s="2081"/>
      <c r="Q8" s="2081"/>
      <c r="R8" s="2081"/>
    </row>
    <row r="9" spans="1:29" ht="24">
      <c r="A9" s="2509"/>
      <c r="B9" s="1835" t="s">
        <v>673</v>
      </c>
      <c r="C9" s="2510" t="s">
        <v>674</v>
      </c>
      <c r="D9" s="2508"/>
      <c r="E9" s="2512"/>
      <c r="F9" s="1981"/>
      <c r="G9" s="1981"/>
      <c r="H9" s="2081"/>
      <c r="I9" s="2081"/>
      <c r="J9" s="2081"/>
      <c r="K9" s="2081"/>
      <c r="L9" s="2081"/>
      <c r="M9" s="2081"/>
      <c r="N9" s="2081"/>
      <c r="O9" s="2081"/>
      <c r="P9" s="2081"/>
      <c r="Q9" s="2081"/>
      <c r="R9" s="2081"/>
    </row>
    <row r="10" spans="1:29" s="2493" customFormat="1">
      <c r="A10" s="2513"/>
      <c r="B10" s="2514" t="s">
        <v>675</v>
      </c>
      <c r="C10" s="2515"/>
      <c r="D10" s="2508"/>
      <c r="E10" s="2508"/>
      <c r="F10" s="1981"/>
      <c r="G10" s="1981"/>
      <c r="H10" s="2542"/>
      <c r="I10" s="2554"/>
      <c r="J10" s="2555"/>
      <c r="K10" s="2542"/>
      <c r="L10" s="2554"/>
      <c r="M10" s="2555"/>
      <c r="N10" s="2542"/>
      <c r="O10" s="2554"/>
      <c r="P10" s="2555"/>
      <c r="Q10" s="2542"/>
      <c r="R10" s="2554"/>
      <c r="S10" s="2081"/>
      <c r="T10" s="2081"/>
      <c r="U10" s="2081"/>
      <c r="V10" s="2081"/>
      <c r="W10" s="2081"/>
      <c r="X10" s="2081"/>
      <c r="Y10" s="2081"/>
      <c r="Z10" s="2081"/>
      <c r="AA10" s="2081"/>
      <c r="AB10" s="2081"/>
      <c r="AC10" s="2081"/>
    </row>
    <row r="11" spans="1:29" s="2493" customFormat="1">
      <c r="A11" s="2516"/>
      <c r="B11" s="2512"/>
      <c r="C11" s="2508"/>
      <c r="D11" s="2508"/>
      <c r="E11" s="2508"/>
      <c r="F11" s="2512"/>
      <c r="G11" s="2543"/>
      <c r="H11" s="2542"/>
      <c r="I11" s="2554"/>
      <c r="J11" s="2555"/>
      <c r="K11" s="2542"/>
      <c r="L11" s="2554"/>
      <c r="M11" s="2555"/>
      <c r="N11" s="2542"/>
      <c r="O11" s="2554"/>
      <c r="P11" s="2555"/>
      <c r="Q11" s="2542"/>
      <c r="R11" s="2554"/>
      <c r="S11" s="2081"/>
      <c r="T11" s="2081"/>
      <c r="U11" s="2081"/>
      <c r="V11" s="2081"/>
      <c r="W11" s="2081"/>
      <c r="X11" s="2081"/>
      <c r="Y11" s="2081"/>
      <c r="Z11" s="2081"/>
      <c r="AA11" s="2081"/>
      <c r="AB11" s="2081"/>
      <c r="AC11" s="2081"/>
    </row>
    <row r="12" spans="1:29" s="2492" customFormat="1" ht="18">
      <c r="A12" s="2516"/>
      <c r="B12" s="2512"/>
      <c r="C12" s="2508"/>
      <c r="D12" s="2517"/>
      <c r="E12" s="2508"/>
      <c r="F12" s="2512"/>
      <c r="G12" s="2543"/>
      <c r="H12" s="2544"/>
      <c r="I12" s="2556"/>
      <c r="J12" s="2544"/>
      <c r="K12" s="2544"/>
      <c r="L12" s="2557"/>
      <c r="M12" s="2544"/>
      <c r="N12" s="2558"/>
      <c r="O12" s="2559"/>
      <c r="P12" s="2558"/>
      <c r="Q12" s="2558"/>
      <c r="R12" s="2561"/>
      <c r="S12" s="2562"/>
      <c r="T12" s="2562"/>
      <c r="U12" s="2562"/>
      <c r="V12" s="2562"/>
      <c r="W12" s="2562"/>
      <c r="X12" s="2562"/>
      <c r="Y12" s="2562"/>
      <c r="Z12" s="2562"/>
      <c r="AA12" s="2562"/>
      <c r="AB12" s="2562"/>
      <c r="AC12" s="2562"/>
    </row>
    <row r="13" spans="1:29" ht="15">
      <c r="A13" s="2518" t="s">
        <v>676</v>
      </c>
      <c r="B13" s="2517"/>
      <c r="C13" s="2517"/>
      <c r="D13" s="2516"/>
      <c r="E13" s="2517"/>
      <c r="F13" s="2517"/>
      <c r="G13" s="2517"/>
    </row>
    <row r="14" spans="1:29">
      <c r="A14" s="2519"/>
      <c r="B14" s="2519"/>
      <c r="C14" s="2520" t="s">
        <v>655</v>
      </c>
      <c r="D14" s="2508"/>
      <c r="E14" s="2545"/>
      <c r="F14" s="2545"/>
      <c r="G14" s="2503" t="s">
        <v>656</v>
      </c>
    </row>
    <row r="15" spans="1:29" ht="51">
      <c r="A15" s="2521" t="s">
        <v>657</v>
      </c>
      <c r="B15" s="2522" t="s">
        <v>658</v>
      </c>
      <c r="C15" s="2523" t="str">
        <f>C3</f>
        <v>估价对象周边居住用地比例、居住小区规模和社区发展完善程度，综合评价居住社区成熟度一般</v>
      </c>
      <c r="D15" s="2508"/>
      <c r="E15" s="2546" t="s">
        <v>657</v>
      </c>
      <c r="F15" s="2522" t="s">
        <v>660</v>
      </c>
      <c r="G15" s="2547" t="str">
        <f>G3</f>
        <v>估价对象位于XX开发区，园区建设成熟度XX，产业集聚程度XX</v>
      </c>
    </row>
    <row r="16" spans="1:29" ht="38.25">
      <c r="A16" s="2524"/>
      <c r="B16" s="2525" t="s">
        <v>662</v>
      </c>
      <c r="C16" s="2526" t="str">
        <f>C4</f>
        <v>估价对象位于XX商圈，周边商业氛围成熟，人流量大，商业繁华度好</v>
      </c>
      <c r="D16" s="2508"/>
      <c r="E16" s="2548"/>
      <c r="F16" s="2527" t="s">
        <v>664</v>
      </c>
      <c r="G16" s="2528" t="str">
        <f>G4</f>
        <v>估价对象周边道路状况、公共交通通达情况、停车便捷程度，综合评价交通便捷度较好</v>
      </c>
    </row>
    <row r="17" spans="1:18" ht="38.25">
      <c r="A17" s="2524"/>
      <c r="B17" s="2525" t="s">
        <v>666</v>
      </c>
      <c r="C17" s="2526" t="str">
        <f>C5</f>
        <v>估价对象位于XX商圈，周边办公楼项目较多，入驻率高，办公集聚程度较好</v>
      </c>
      <c r="D17" s="2512"/>
      <c r="E17" s="2548"/>
      <c r="F17" s="2527" t="s">
        <v>677</v>
      </c>
      <c r="G17" s="2529"/>
    </row>
    <row r="18" spans="1:18" ht="38.25">
      <c r="A18" s="2524"/>
      <c r="B18" s="2527" t="s">
        <v>664</v>
      </c>
      <c r="C18" s="2528" t="str">
        <f>C6</f>
        <v>估价对象周边道路状况、公共交通通达情况、停车便捷程度，综合评价交通便捷度较好</v>
      </c>
      <c r="D18" s="2512"/>
      <c r="E18" s="2548"/>
      <c r="F18" s="2527" t="s">
        <v>671</v>
      </c>
      <c r="G18" s="2528" t="str">
        <f>G7</f>
        <v>该园区内是否有污染型企业，绿化情况，卫生条件，整体环境状况判断</v>
      </c>
    </row>
    <row r="19" spans="1:18" ht="25.5">
      <c r="A19" s="2524"/>
      <c r="B19" s="2527" t="s">
        <v>677</v>
      </c>
      <c r="C19" s="2529"/>
      <c r="D19" s="2508"/>
      <c r="E19" s="2548"/>
      <c r="F19" s="1835" t="s">
        <v>464</v>
      </c>
      <c r="G19" s="2528" t="str">
        <f>G5</f>
        <v>估价对象所在区域公共配套设施齐备情况</v>
      </c>
    </row>
    <row r="20" spans="1:18" ht="25.5">
      <c r="A20" s="2524"/>
      <c r="B20" s="2527" t="s">
        <v>678</v>
      </c>
      <c r="C20" s="2526" t="str">
        <f>C9</f>
        <v>区域自然环境：；人文环境；综合评价环境状况一般</v>
      </c>
      <c r="D20" s="2512"/>
      <c r="E20" s="2548"/>
      <c r="F20" s="1835" t="s">
        <v>669</v>
      </c>
      <c r="G20" s="2528" t="str">
        <f>G6</f>
        <v>估价对象所在区域基础设施水平</v>
      </c>
    </row>
    <row r="21" spans="1:18" ht="25.5">
      <c r="A21" s="2524"/>
      <c r="B21" s="1835" t="s">
        <v>464</v>
      </c>
      <c r="C21" s="2528" t="str">
        <f>C7</f>
        <v>估价对象所在区域公共配套设施齐备情况</v>
      </c>
      <c r="D21" s="2508"/>
      <c r="E21" s="2548"/>
      <c r="F21" s="2527" t="s">
        <v>679</v>
      </c>
      <c r="G21" s="2530"/>
    </row>
    <row r="22" spans="1:18" ht="13.5" customHeight="1">
      <c r="A22" s="2524"/>
      <c r="B22" s="1835" t="s">
        <v>669</v>
      </c>
      <c r="C22" s="2528" t="str">
        <f>C8</f>
        <v>估价对象所在区域基础设施水平</v>
      </c>
      <c r="D22" s="2508"/>
      <c r="E22" s="2548"/>
      <c r="F22" s="2527" t="s">
        <v>675</v>
      </c>
      <c r="G22" s="2529"/>
    </row>
    <row r="23" spans="1:18" s="2081" customFormat="1">
      <c r="A23" s="2524"/>
      <c r="B23" s="2527" t="s">
        <v>679</v>
      </c>
      <c r="C23" s="2530"/>
      <c r="D23" s="2474"/>
      <c r="E23" s="2549"/>
      <c r="F23" s="2532" t="s">
        <v>412</v>
      </c>
      <c r="G23" s="2550"/>
      <c r="H23" s="2498"/>
      <c r="I23" s="2499"/>
      <c r="J23" s="2498"/>
      <c r="K23" s="2498"/>
      <c r="L23" s="2499"/>
      <c r="M23" s="2498"/>
      <c r="N23" s="2498"/>
      <c r="O23" s="2499"/>
      <c r="P23" s="2498"/>
      <c r="Q23" s="2498"/>
      <c r="R23" s="2500"/>
    </row>
    <row r="24" spans="1:18" s="2081" customFormat="1">
      <c r="A24" s="2531"/>
      <c r="B24" s="2532" t="s">
        <v>675</v>
      </c>
      <c r="C24" s="2533">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ht="16.5">
      <c r="A1" s="2480" t="s">
        <v>680</v>
      </c>
      <c r="B1" s="2480">
        <f>SUM(B14:B23)</f>
        <v>29009.8</v>
      </c>
      <c r="C1" s="2481"/>
      <c r="D1" s="2481"/>
      <c r="E1" s="2481"/>
      <c r="F1" s="2481"/>
      <c r="G1" s="2490"/>
      <c r="H1" s="2489"/>
      <c r="I1" s="2489"/>
      <c r="J1" s="2489"/>
      <c r="K1" s="2489"/>
    </row>
    <row r="2" spans="1:11" ht="16.5">
      <c r="A2" s="2480" t="s">
        <v>681</v>
      </c>
      <c r="B2" s="2480">
        <f>SUM(C14:C23)</f>
        <v>8299.16</v>
      </c>
      <c r="C2" s="2481"/>
      <c r="D2" s="2481"/>
      <c r="E2" s="2481"/>
      <c r="F2" s="2481"/>
      <c r="G2" s="2490"/>
      <c r="H2" s="2489"/>
      <c r="I2" s="2489"/>
      <c r="J2" s="2489"/>
      <c r="K2" s="2489"/>
    </row>
    <row r="3" spans="1:11" ht="16.5">
      <c r="A3" s="2480" t="s">
        <v>682</v>
      </c>
      <c r="B3" s="2482">
        <f>项目基本情况!D3</f>
        <v>44827</v>
      </c>
      <c r="C3" s="2481"/>
      <c r="D3" s="2481"/>
      <c r="E3" s="2481"/>
      <c r="F3" s="2481"/>
      <c r="G3" s="2490"/>
      <c r="H3" s="2489"/>
      <c r="I3" s="2489"/>
      <c r="J3" s="2489"/>
      <c r="K3" s="2489"/>
    </row>
    <row r="4" spans="1:11" ht="33">
      <c r="A4" s="2480" t="s">
        <v>683</v>
      </c>
      <c r="B4" s="2480" t="s">
        <v>684</v>
      </c>
      <c r="C4" s="2480" t="s">
        <v>685</v>
      </c>
      <c r="D4" s="2480" t="s">
        <v>686</v>
      </c>
      <c r="E4" s="2481"/>
      <c r="F4" s="2490"/>
      <c r="G4" s="2490"/>
      <c r="H4" s="2489"/>
      <c r="I4" s="2489"/>
      <c r="J4" s="2489"/>
      <c r="K4" s="2489"/>
    </row>
    <row r="5" spans="1:11" ht="16.5">
      <c r="A5" s="2480" t="s">
        <v>687</v>
      </c>
      <c r="B5" s="2480">
        <f ca="1">SUM(D14:D23)</f>
        <v>90270</v>
      </c>
      <c r="C5" s="2480">
        <f ca="1">ROUND(B5*10000/$B$1,0)</f>
        <v>31117</v>
      </c>
      <c r="D5" s="2480">
        <f ca="1">ROUND(B5*10000/$B$2,0)</f>
        <v>108770</v>
      </c>
      <c r="E5" s="2481"/>
      <c r="F5" s="2490"/>
      <c r="G5" s="2490"/>
      <c r="H5" s="2489"/>
      <c r="I5" s="2489"/>
      <c r="J5" s="2489"/>
      <c r="K5" s="2489"/>
    </row>
    <row r="6" spans="1:11" ht="16.5">
      <c r="A6" s="2480" t="s">
        <v>688</v>
      </c>
      <c r="B6" s="2480">
        <f ca="1">SUM(G14:G23)</f>
        <v>90270</v>
      </c>
      <c r="C6" s="2480">
        <f ca="1">ROUND(B6*10000/$B$1,0)</f>
        <v>31117</v>
      </c>
      <c r="D6" s="2480">
        <f ca="1">ROUND(B6*10000/$B$2,0)</f>
        <v>108770</v>
      </c>
      <c r="E6" s="2481"/>
      <c r="F6" s="2490"/>
      <c r="G6" s="2490"/>
      <c r="H6" s="2489"/>
      <c r="I6" s="2489"/>
      <c r="J6" s="2489"/>
      <c r="K6" s="2489"/>
    </row>
    <row r="7" spans="1:11" ht="16.5">
      <c r="A7" s="2480" t="s">
        <v>689</v>
      </c>
      <c r="B7" s="2480">
        <f>SUM(H14:H23)</f>
        <v>0</v>
      </c>
      <c r="C7" s="2480">
        <f>ROUND(B7*10000/$B$1,0)</f>
        <v>0</v>
      </c>
      <c r="D7" s="2480">
        <f>ROUND(B7*10000/$B$2,0)</f>
        <v>0</v>
      </c>
      <c r="E7" s="2481"/>
      <c r="F7" s="2490"/>
      <c r="G7" s="2490"/>
      <c r="H7" s="2489"/>
      <c r="I7" s="2489"/>
      <c r="J7" s="2489"/>
      <c r="K7" s="2489"/>
    </row>
    <row r="8" spans="1:11" ht="16.5">
      <c r="A8" s="2480" t="s">
        <v>328</v>
      </c>
      <c r="B8" s="2480">
        <f>SUM(I14:I23)</f>
        <v>0</v>
      </c>
      <c r="C8" s="2480">
        <f>ROUND(B8*10000/$B$1,0)</f>
        <v>0</v>
      </c>
      <c r="D8" s="2480">
        <f>ROUND(B8*10000/$B$2,0)</f>
        <v>0</v>
      </c>
      <c r="E8" s="2481"/>
      <c r="F8" s="2490"/>
      <c r="G8" s="2490"/>
      <c r="H8" s="2489"/>
      <c r="I8" s="2489"/>
      <c r="J8" s="2489"/>
      <c r="K8" s="2489"/>
    </row>
    <row r="9" spans="1:11" ht="16.5">
      <c r="A9" s="2480" t="s">
        <v>690</v>
      </c>
      <c r="B9" s="2483"/>
      <c r="C9" s="2481"/>
      <c r="D9" s="2481"/>
      <c r="E9" s="2481"/>
      <c r="F9" s="2490"/>
      <c r="G9" s="2490"/>
      <c r="H9" s="2489"/>
      <c r="I9" s="2489"/>
      <c r="J9" s="2489"/>
      <c r="K9" s="2489"/>
    </row>
    <row r="10" spans="1:11" ht="16.5">
      <c r="A10" s="2480" t="s">
        <v>691</v>
      </c>
      <c r="B10" s="2483"/>
      <c r="C10" s="2481"/>
      <c r="D10" s="2481"/>
      <c r="E10" s="2481"/>
      <c r="F10" s="2490"/>
      <c r="G10" s="2490"/>
      <c r="H10" s="2489"/>
      <c r="I10" s="2489"/>
      <c r="J10" s="2489"/>
      <c r="K10" s="2489"/>
    </row>
    <row r="11" spans="1:11" ht="16.5">
      <c r="A11" s="2480" t="s">
        <v>692</v>
      </c>
      <c r="B11" s="2483"/>
      <c r="C11" s="2481"/>
      <c r="D11" s="2481"/>
      <c r="E11" s="2481"/>
      <c r="F11" s="2490"/>
      <c r="G11" s="2490"/>
      <c r="H11" s="2489"/>
      <c r="I11" s="2489"/>
      <c r="J11" s="2489"/>
      <c r="K11" s="2489"/>
    </row>
    <row r="12" spans="1:11" ht="16.5">
      <c r="A12" s="2481"/>
      <c r="B12" s="2481"/>
      <c r="C12" s="2481"/>
      <c r="D12" s="2481"/>
      <c r="E12" s="2481"/>
      <c r="F12" s="2490"/>
      <c r="G12" s="2490"/>
      <c r="H12" s="2489"/>
      <c r="I12" s="2489"/>
      <c r="J12" s="2489"/>
      <c r="K12" s="2489"/>
    </row>
    <row r="13" spans="1:11" ht="33">
      <c r="A13" s="2484" t="s">
        <v>693</v>
      </c>
      <c r="B13" s="2485" t="s">
        <v>680</v>
      </c>
      <c r="C13" s="2485" t="s">
        <v>681</v>
      </c>
      <c r="D13" s="2485" t="s">
        <v>694</v>
      </c>
      <c r="E13" s="2480" t="s">
        <v>685</v>
      </c>
      <c r="F13" s="2480" t="s">
        <v>686</v>
      </c>
      <c r="G13" s="2485" t="s">
        <v>695</v>
      </c>
      <c r="H13" s="2485" t="s">
        <v>696</v>
      </c>
      <c r="I13" s="2485" t="s">
        <v>697</v>
      </c>
      <c r="J13" s="2490"/>
      <c r="K13" s="2489"/>
    </row>
    <row r="14" spans="1:11" ht="16.5">
      <c r="A14" s="2486" t="s">
        <v>698</v>
      </c>
      <c r="B14" s="2487">
        <f>结果表!B118</f>
        <v>29009.8</v>
      </c>
      <c r="C14" s="2487">
        <f>结果表!C118</f>
        <v>8299.16</v>
      </c>
      <c r="D14" s="2487">
        <f ca="1">结果表!H118</f>
        <v>90270</v>
      </c>
      <c r="E14" s="2487">
        <f ca="1">ROUND(D14*10000/B14,0)</f>
        <v>31117</v>
      </c>
      <c r="F14" s="2487">
        <f ca="1">ROUND(D14*10000/C14,0)</f>
        <v>108770</v>
      </c>
      <c r="G14" s="2487">
        <f ca="1">结果表!D122</f>
        <v>90270</v>
      </c>
      <c r="H14" s="2487" t="str">
        <f>结果表!D124</f>
        <v>——</v>
      </c>
      <c r="I14" s="2487" t="str">
        <f>结果表!D126</f>
        <v>——</v>
      </c>
      <c r="J14" s="2490"/>
      <c r="K14" s="2489"/>
    </row>
    <row r="15" spans="1:11" ht="16.5">
      <c r="A15" s="2486" t="s">
        <v>699</v>
      </c>
      <c r="B15" s="2488"/>
      <c r="C15" s="2488"/>
      <c r="D15" s="2488"/>
      <c r="E15" s="2487" t="e">
        <f t="shared" ref="E15:E23" si="0">ROUND(D15*10000/B15,0)</f>
        <v>#DIV/0!</v>
      </c>
      <c r="F15" s="2487" t="e">
        <f t="shared" ref="F15:F23" si="1">ROUND(D15*10000/C15,0)</f>
        <v>#DIV/0!</v>
      </c>
      <c r="G15" s="2491"/>
      <c r="H15" s="2491"/>
      <c r="I15" s="2488"/>
      <c r="J15" s="2490"/>
      <c r="K15" s="2489"/>
    </row>
    <row r="16" spans="1:11" ht="16.5">
      <c r="A16" s="2486" t="s">
        <v>700</v>
      </c>
      <c r="B16" s="2488"/>
      <c r="C16" s="2488"/>
      <c r="D16" s="2488"/>
      <c r="E16" s="2487" t="e">
        <f t="shared" si="0"/>
        <v>#DIV/0!</v>
      </c>
      <c r="F16" s="2487" t="e">
        <f t="shared" si="1"/>
        <v>#DIV/0!</v>
      </c>
      <c r="G16" s="2491"/>
      <c r="H16" s="2491"/>
      <c r="I16" s="2488"/>
      <c r="J16" s="2489"/>
      <c r="K16" s="2489"/>
    </row>
    <row r="17" spans="1:11" ht="16.5">
      <c r="A17" s="2486" t="s">
        <v>701</v>
      </c>
      <c r="B17" s="2488"/>
      <c r="C17" s="2488"/>
      <c r="D17" s="2488"/>
      <c r="E17" s="2487" t="e">
        <f t="shared" si="0"/>
        <v>#DIV/0!</v>
      </c>
      <c r="F17" s="2487" t="e">
        <f t="shared" si="1"/>
        <v>#DIV/0!</v>
      </c>
      <c r="G17" s="2491"/>
      <c r="H17" s="2491"/>
      <c r="I17" s="2488"/>
      <c r="J17" s="2489"/>
      <c r="K17" s="2489"/>
    </row>
    <row r="18" spans="1:11" ht="16.5">
      <c r="A18" s="2486" t="s">
        <v>702</v>
      </c>
      <c r="B18" s="2488"/>
      <c r="C18" s="2488"/>
      <c r="D18" s="2488"/>
      <c r="E18" s="2487" t="e">
        <f t="shared" si="0"/>
        <v>#DIV/0!</v>
      </c>
      <c r="F18" s="2487" t="e">
        <f t="shared" si="1"/>
        <v>#DIV/0!</v>
      </c>
      <c r="G18" s="2488"/>
      <c r="H18" s="2488"/>
      <c r="I18" s="2488"/>
      <c r="J18" s="2489"/>
      <c r="K18" s="2489"/>
    </row>
    <row r="19" spans="1:11" ht="16.5">
      <c r="A19" s="2486" t="s">
        <v>703</v>
      </c>
      <c r="B19" s="2488"/>
      <c r="C19" s="2488"/>
      <c r="D19" s="2488"/>
      <c r="E19" s="2487" t="e">
        <f t="shared" si="0"/>
        <v>#DIV/0!</v>
      </c>
      <c r="F19" s="2487" t="e">
        <f t="shared" si="1"/>
        <v>#DIV/0!</v>
      </c>
      <c r="G19" s="2488"/>
      <c r="H19" s="2488"/>
      <c r="I19" s="2488"/>
      <c r="J19" s="2489"/>
      <c r="K19" s="2489"/>
    </row>
    <row r="20" spans="1:11" ht="16.5">
      <c r="A20" s="2486" t="s">
        <v>704</v>
      </c>
      <c r="B20" s="2488"/>
      <c r="C20" s="2488"/>
      <c r="D20" s="2488"/>
      <c r="E20" s="2487" t="e">
        <f t="shared" si="0"/>
        <v>#DIV/0!</v>
      </c>
      <c r="F20" s="2487" t="e">
        <f t="shared" si="1"/>
        <v>#DIV/0!</v>
      </c>
      <c r="G20" s="2488"/>
      <c r="H20" s="2488"/>
      <c r="I20" s="2488"/>
      <c r="J20" s="2489"/>
      <c r="K20" s="2489"/>
    </row>
    <row r="21" spans="1:11" ht="16.5">
      <c r="A21" s="2486" t="s">
        <v>705</v>
      </c>
      <c r="B21" s="2488"/>
      <c r="C21" s="2488"/>
      <c r="D21" s="2488"/>
      <c r="E21" s="2487" t="e">
        <f t="shared" si="0"/>
        <v>#DIV/0!</v>
      </c>
      <c r="F21" s="2487" t="e">
        <f t="shared" si="1"/>
        <v>#DIV/0!</v>
      </c>
      <c r="G21" s="2488"/>
      <c r="H21" s="2488"/>
      <c r="I21" s="2488"/>
      <c r="J21" s="2489"/>
      <c r="K21" s="2489"/>
    </row>
    <row r="22" spans="1:11" ht="16.5">
      <c r="A22" s="2486" t="s">
        <v>706</v>
      </c>
      <c r="B22" s="2488"/>
      <c r="C22" s="2488"/>
      <c r="D22" s="2488"/>
      <c r="E22" s="2487" t="e">
        <f t="shared" si="0"/>
        <v>#DIV/0!</v>
      </c>
      <c r="F22" s="2487" t="e">
        <f t="shared" si="1"/>
        <v>#DIV/0!</v>
      </c>
      <c r="G22" s="2488"/>
      <c r="H22" s="2488"/>
      <c r="I22" s="2488"/>
      <c r="J22" s="2489"/>
      <c r="K22" s="2489"/>
    </row>
    <row r="23" spans="1:11" ht="16.5">
      <c r="A23" s="2486" t="s">
        <v>707</v>
      </c>
      <c r="B23" s="2488"/>
      <c r="C23" s="2488"/>
      <c r="D23" s="2488"/>
      <c r="E23" s="2483" t="e">
        <f t="shared" si="0"/>
        <v>#DIV/0!</v>
      </c>
      <c r="F23" s="2483" t="e">
        <f t="shared" si="1"/>
        <v>#DIV/0!</v>
      </c>
      <c r="G23" s="2488"/>
      <c r="H23" s="2488"/>
      <c r="I23" s="2488"/>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4" zoomScaleNormal="100" zoomScalePageLayoutView="80" workbookViewId="0">
      <selection activeCell="H119" sqref="H119:I119"/>
    </sheetView>
  </sheetViews>
  <sheetFormatPr defaultColWidth="12.625" defaultRowHeight="21.75" customHeight="1"/>
  <cols>
    <col min="1" max="2" width="12.625" style="2195"/>
    <col min="3" max="4" width="12.625" style="2195" customWidth="1"/>
    <col min="5" max="9" width="12.625" style="2195"/>
    <col min="10" max="11" width="12.625" style="245" customWidth="1"/>
    <col min="12" max="12" width="12.625" style="245"/>
    <col min="13" max="13" width="14.125" style="245" customWidth="1"/>
    <col min="14" max="26" width="12.625" style="245"/>
    <col min="27" max="35" width="12.625" style="2194"/>
    <col min="36" max="16384" width="12.625" style="2195"/>
  </cols>
  <sheetData>
    <row r="1" spans="1:12" ht="21.75" customHeight="1">
      <c r="A1" s="2196" t="s">
        <v>708</v>
      </c>
      <c r="B1" s="2197"/>
      <c r="C1" s="2198"/>
      <c r="D1" s="2197"/>
      <c r="E1" s="2197"/>
      <c r="F1" s="2282" t="s">
        <v>709</v>
      </c>
      <c r="G1" s="2283"/>
      <c r="H1" s="2284" t="str">
        <f>IF(G1="现房","——","估价对象范围")</f>
        <v>估价对象范围</v>
      </c>
      <c r="I1" s="2334"/>
    </row>
    <row r="2" spans="1:12" ht="21.75" customHeight="1">
      <c r="A2" s="3315" t="str">
        <f>项目基本情况!S2</f>
        <v>北京市房地产</v>
      </c>
      <c r="B2" s="3316"/>
      <c r="C2" s="3316"/>
      <c r="D2" s="3316"/>
      <c r="E2" s="3316"/>
      <c r="F2" s="3316"/>
      <c r="G2" s="3316"/>
      <c r="H2" s="3316"/>
      <c r="I2" s="3317"/>
    </row>
    <row r="3" spans="1:12" ht="12.75">
      <c r="A3" s="3318" t="s">
        <v>710</v>
      </c>
      <c r="B3" s="3319"/>
      <c r="C3" s="3319"/>
      <c r="D3" s="3319"/>
      <c r="E3" s="3319"/>
      <c r="F3" s="3319"/>
      <c r="G3" s="3319"/>
      <c r="H3" s="3319"/>
      <c r="I3" s="3319"/>
    </row>
    <row r="4" spans="1:12" ht="14.25">
      <c r="A4" s="2199" t="s">
        <v>711</v>
      </c>
      <c r="B4" s="2200" t="s">
        <v>712</v>
      </c>
      <c r="C4" s="2201" t="s">
        <v>713</v>
      </c>
      <c r="D4" s="2201" t="s">
        <v>305</v>
      </c>
      <c r="E4" s="3320" t="s">
        <v>714</v>
      </c>
      <c r="F4" s="3321"/>
      <c r="G4" s="3321"/>
      <c r="H4" s="3321"/>
      <c r="I4" s="3322"/>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2.75">
      <c r="A5" s="3368" t="s">
        <v>715</v>
      </c>
      <c r="B5" s="3411">
        <v>25</v>
      </c>
      <c r="C5" s="3375"/>
      <c r="D5" s="3334"/>
      <c r="E5" s="1834" t="s">
        <v>716</v>
      </c>
      <c r="F5" s="2287"/>
      <c r="G5" s="2287"/>
      <c r="H5" s="2287"/>
      <c r="I5" s="2075"/>
    </row>
    <row r="6" spans="1:12" ht="12.75">
      <c r="A6" s="3368"/>
      <c r="B6" s="3411"/>
      <c r="C6" s="3376"/>
      <c r="D6" s="3334"/>
      <c r="E6" s="1834" t="s">
        <v>717</v>
      </c>
      <c r="F6" s="2287"/>
      <c r="G6" s="2287"/>
      <c r="H6" s="2287"/>
      <c r="I6" s="2075"/>
    </row>
    <row r="7" spans="1:12" ht="12.75">
      <c r="A7" s="3368"/>
      <c r="B7" s="3411"/>
      <c r="C7" s="3377"/>
      <c r="D7" s="3334"/>
      <c r="E7" s="1834" t="s">
        <v>718</v>
      </c>
      <c r="F7" s="2287"/>
      <c r="G7" s="2287"/>
      <c r="H7" s="2287"/>
      <c r="I7" s="2075"/>
    </row>
    <row r="8" spans="1:12" ht="12.75">
      <c r="A8" s="3368" t="s">
        <v>719</v>
      </c>
      <c r="B8" s="3411">
        <v>15</v>
      </c>
      <c r="C8" s="3375"/>
      <c r="D8" s="3334"/>
      <c r="E8" s="1834" t="s">
        <v>720</v>
      </c>
      <c r="F8" s="2287"/>
      <c r="G8" s="2287"/>
      <c r="H8" s="2287"/>
      <c r="I8" s="2075"/>
    </row>
    <row r="9" spans="1:12" ht="12.75">
      <c r="A9" s="3368"/>
      <c r="B9" s="3411"/>
      <c r="C9" s="3377"/>
      <c r="D9" s="3334"/>
      <c r="E9" s="1834" t="s">
        <v>721</v>
      </c>
      <c r="F9" s="2287"/>
      <c r="G9" s="2287"/>
      <c r="H9" s="2287"/>
      <c r="I9" s="2075"/>
    </row>
    <row r="10" spans="1:12" ht="12.75">
      <c r="A10" s="3368" t="s">
        <v>722</v>
      </c>
      <c r="B10" s="3411">
        <v>15</v>
      </c>
      <c r="C10" s="3375"/>
      <c r="D10" s="3334"/>
      <c r="E10" s="1834" t="s">
        <v>723</v>
      </c>
      <c r="F10" s="2287"/>
      <c r="G10" s="2287"/>
      <c r="H10" s="2287"/>
      <c r="I10" s="2075"/>
    </row>
    <row r="11" spans="1:12" ht="12.75">
      <c r="A11" s="3368"/>
      <c r="B11" s="3411"/>
      <c r="C11" s="3377"/>
      <c r="D11" s="3334"/>
      <c r="E11" s="1834" t="s">
        <v>724</v>
      </c>
      <c r="F11" s="2287"/>
      <c r="G11" s="2287"/>
      <c r="H11" s="2287"/>
      <c r="I11" s="2075"/>
    </row>
    <row r="12" spans="1:12" ht="12.75">
      <c r="A12" s="3368" t="s">
        <v>725</v>
      </c>
      <c r="B12" s="3411">
        <v>15</v>
      </c>
      <c r="C12" s="3375"/>
      <c r="D12" s="3334"/>
      <c r="E12" s="1834" t="s">
        <v>726</v>
      </c>
      <c r="F12" s="2287"/>
      <c r="G12" s="2287"/>
      <c r="H12" s="2287"/>
      <c r="I12" s="2075"/>
    </row>
    <row r="13" spans="1:12" ht="12.75">
      <c r="A13" s="3368"/>
      <c r="B13" s="3411"/>
      <c r="C13" s="3377"/>
      <c r="D13" s="3334"/>
      <c r="E13" s="1834" t="s">
        <v>727</v>
      </c>
      <c r="F13" s="2287"/>
      <c r="G13" s="2287"/>
      <c r="H13" s="2287"/>
      <c r="I13" s="2075"/>
    </row>
    <row r="14" spans="1:12" ht="12.75">
      <c r="A14" s="3368" t="s">
        <v>728</v>
      </c>
      <c r="B14" s="3411">
        <v>30</v>
      </c>
      <c r="C14" s="3375">
        <v>5</v>
      </c>
      <c r="D14" s="3334">
        <v>5</v>
      </c>
      <c r="E14" s="1834" t="s">
        <v>729</v>
      </c>
      <c r="F14" s="2287"/>
      <c r="G14" s="2287"/>
      <c r="H14" s="2287"/>
      <c r="I14" s="2075"/>
    </row>
    <row r="15" spans="1:12" ht="12.75">
      <c r="A15" s="3368"/>
      <c r="B15" s="3411"/>
      <c r="C15" s="3376"/>
      <c r="D15" s="3334"/>
      <c r="E15" s="1834" t="s">
        <v>730</v>
      </c>
      <c r="F15" s="2287"/>
      <c r="G15" s="2287"/>
      <c r="H15" s="2287"/>
      <c r="I15" s="2075"/>
    </row>
    <row r="16" spans="1:12" ht="12.75">
      <c r="A16" s="3368"/>
      <c r="B16" s="3411"/>
      <c r="C16" s="3377"/>
      <c r="D16" s="3334"/>
      <c r="E16" s="1834" t="s">
        <v>731</v>
      </c>
      <c r="F16" s="2287"/>
      <c r="G16" s="2287"/>
      <c r="H16" s="2287"/>
      <c r="I16" s="2075"/>
    </row>
    <row r="17" spans="1:36" ht="15">
      <c r="A17" s="2204" t="s">
        <v>732</v>
      </c>
      <c r="B17" s="2205"/>
      <c r="C17" s="2206">
        <f>SUM(C5:C16)</f>
        <v>5</v>
      </c>
      <c r="D17" s="2206">
        <f>SUM(D5:D16)</f>
        <v>5</v>
      </c>
      <c r="E17" s="282"/>
      <c r="F17" s="282"/>
      <c r="G17" s="282"/>
      <c r="H17" s="282"/>
      <c r="I17" s="282"/>
      <c r="K17" s="1830"/>
      <c r="L17" s="1830" t="s">
        <v>733</v>
      </c>
      <c r="M17" s="1830" t="s">
        <v>734</v>
      </c>
    </row>
    <row r="18" spans="1:36" ht="31.9" customHeight="1">
      <c r="A18" s="2207" t="s">
        <v>735</v>
      </c>
      <c r="B18" s="2208"/>
      <c r="C18" s="2209">
        <f>ROUND(C17/SUM(C17:D17),2)</f>
        <v>0.5</v>
      </c>
      <c r="D18" s="2209">
        <f>1-C18</f>
        <v>0.5</v>
      </c>
      <c r="E18" s="3323" t="s">
        <v>736</v>
      </c>
      <c r="F18" s="3324"/>
      <c r="G18" s="3324"/>
      <c r="H18" s="3324"/>
      <c r="I18" s="3324"/>
      <c r="K18" s="1830" t="s">
        <v>361</v>
      </c>
      <c r="L18" s="1830">
        <f>IF(C1="",'数据-汇总表'!E3,SUMIF(项目类型,C1,'数据-汇总表'!E17:E26)+SUMIF(项目类型,C1,'数据-汇总表'!I17:I26))</f>
        <v>29009.8</v>
      </c>
      <c r="M18" s="1830">
        <f>IF(C1="",'数据-汇总表'!E3,SUMIF(项目类型,C1,'数据-汇总表'!E17:E26))</f>
        <v>29009.8</v>
      </c>
    </row>
    <row r="19" spans="1:36" ht="15">
      <c r="A19" s="2210" t="s">
        <v>737</v>
      </c>
      <c r="B19" s="2211" t="s">
        <v>738</v>
      </c>
      <c r="C19" s="2212">
        <f ca="1">SUMIF(INDIRECT("'"&amp;C4&amp;"'"&amp;"!A:A"),结果表!B19,INDIRECT("'"&amp;C4&amp;"'"&amp;"!B:B"))</f>
        <v>98595</v>
      </c>
      <c r="D19" s="1274">
        <f ca="1">SUMIF(INDIRECT("'"&amp;D4&amp;"'"&amp;"!A:A"),结果表!B19,INDIRECT("'"&amp;D4&amp;"'"&amp;"!B:B"))</f>
        <v>81945</v>
      </c>
      <c r="E19" s="2210" t="s">
        <v>739</v>
      </c>
      <c r="F19" s="2211" t="s">
        <v>738</v>
      </c>
      <c r="G19" s="2222">
        <f ca="1">ROUND(C19*$C$18+D19*$D$18,0)</f>
        <v>90270</v>
      </c>
      <c r="H19" s="2288" t="s">
        <v>740</v>
      </c>
      <c r="I19" s="282"/>
      <c r="K19" s="1830" t="s">
        <v>365</v>
      </c>
      <c r="L19" s="1830">
        <f>IF(C1="",'数据-汇总表'!D3,SUMIF(项目类型,C1,'数据-汇总表'!D17:D26)+SUMIF(项目类型,C1,'数据-汇总表'!H17:H27))</f>
        <v>8299.16</v>
      </c>
      <c r="M19" s="1830">
        <f>IF(C1="",'数据-汇总表'!D3,SUMIF(项目类型,C1,'数据-汇总表'!D17:D26))</f>
        <v>8299.16</v>
      </c>
    </row>
    <row r="20" spans="1:36" ht="15">
      <c r="A20" s="2213"/>
      <c r="B20" s="2214" t="s">
        <v>741</v>
      </c>
      <c r="C20" s="1557">
        <f ca="1">SUMIF(INDIRECT("'"&amp;C4&amp;"'"&amp;"!A:A"),结果表!B20,INDIRECT("'"&amp;C4&amp;"'"&amp;"!B:B"))</f>
        <v>33987</v>
      </c>
      <c r="D20" s="1571">
        <f ca="1">SUMIF(INDIRECT("'"&amp;D4&amp;"'"&amp;"!A:A"),结果表!B20,INDIRECT("'"&amp;D4&amp;"'"&amp;"!B:B"))</f>
        <v>28247</v>
      </c>
      <c r="E20" s="2213"/>
      <c r="F20" s="2214" t="s">
        <v>741</v>
      </c>
      <c r="G20" s="2289">
        <f ca="1">ROUND(C20*$C$18+D20*$D$18,0)</f>
        <v>31117</v>
      </c>
      <c r="H20" s="2030" t="s">
        <v>742</v>
      </c>
      <c r="I20" s="282"/>
    </row>
    <row r="21" spans="1:36" ht="15" customHeight="1">
      <c r="A21" s="2132"/>
      <c r="B21" s="2215" t="s">
        <v>743</v>
      </c>
      <c r="C21" s="2216">
        <f ca="1">ROUND(C19*10000/L19,0)</f>
        <v>118801</v>
      </c>
      <c r="D21" s="2217">
        <f ca="1">ROUND(D19*10000/L19,0)</f>
        <v>98739</v>
      </c>
      <c r="E21" s="2132"/>
      <c r="F21" s="2215" t="s">
        <v>743</v>
      </c>
      <c r="G21" s="2290">
        <f ca="1">ROUND(G19*10000/L19,0)</f>
        <v>108770</v>
      </c>
      <c r="H21" s="2291" t="s">
        <v>742</v>
      </c>
      <c r="I21" s="282"/>
    </row>
    <row r="22" spans="1:36" ht="14.25">
      <c r="A22" s="2218" t="s">
        <v>744</v>
      </c>
      <c r="B22" s="2219"/>
      <c r="C22" s="2220"/>
      <c r="D22" s="2221">
        <f ca="1">IF(C19&lt;D19,D19/C19-1,C19/D19-1)</f>
        <v>0.20318506315211415</v>
      </c>
      <c r="E22" s="282"/>
      <c r="F22" s="282"/>
      <c r="G22" s="282"/>
      <c r="H22" s="282"/>
      <c r="I22" s="282"/>
    </row>
    <row r="23" spans="1:36" ht="12.75">
      <c r="A23" s="2197"/>
      <c r="B23" s="2197"/>
      <c r="C23" s="2197"/>
      <c r="D23" s="2197"/>
      <c r="E23" s="282"/>
      <c r="F23" s="282"/>
      <c r="G23" s="282"/>
      <c r="H23" s="282"/>
      <c r="I23" s="282"/>
    </row>
    <row r="24" spans="1:36" ht="14.25">
      <c r="A24" s="3404" t="s">
        <v>745</v>
      </c>
      <c r="B24" s="2211" t="s">
        <v>738</v>
      </c>
      <c r="C24" s="2222">
        <f>IF(B30=0,0,D30)</f>
        <v>0</v>
      </c>
      <c r="D24" s="2223"/>
      <c r="E24" s="282"/>
      <c r="F24" s="282"/>
      <c r="G24" s="282"/>
      <c r="H24" s="282"/>
      <c r="I24" s="282"/>
    </row>
    <row r="25" spans="1:36" ht="14.25">
      <c r="A25" s="3405"/>
      <c r="B25" s="2214" t="s">
        <v>741</v>
      </c>
      <c r="C25" s="2224">
        <f>IF(B30=0,0,C30)</f>
        <v>0</v>
      </c>
      <c r="D25" s="2225"/>
      <c r="E25" s="282"/>
      <c r="F25" s="282"/>
      <c r="G25" s="282"/>
      <c r="H25" s="282"/>
      <c r="I25" s="282"/>
    </row>
    <row r="26" spans="1:36" ht="13.5" customHeight="1">
      <c r="A26" s="2226" t="s">
        <v>746</v>
      </c>
      <c r="B26" s="2227" t="s">
        <v>747</v>
      </c>
      <c r="C26" s="2227" t="s">
        <v>748</v>
      </c>
      <c r="D26" s="2228" t="s">
        <v>749</v>
      </c>
      <c r="E26" s="282"/>
      <c r="F26" s="282"/>
      <c r="G26" s="282"/>
      <c r="H26" s="282"/>
      <c r="I26" s="282"/>
    </row>
    <row r="27" spans="1:36" ht="14.25">
      <c r="A27" s="2226"/>
      <c r="B27" s="2227">
        <v>0</v>
      </c>
      <c r="C27" s="2227">
        <v>0</v>
      </c>
      <c r="D27" s="2228">
        <f ca="1">G19/'数据-汇总表'!F19</f>
        <v>3.5451578571176103</v>
      </c>
      <c r="E27" s="282"/>
      <c r="F27" s="282"/>
      <c r="G27" s="282"/>
      <c r="H27" s="282"/>
      <c r="I27" s="282"/>
    </row>
    <row r="28" spans="1:36" ht="14.25">
      <c r="A28" s="2226"/>
      <c r="B28" s="2227"/>
      <c r="C28" s="2227"/>
      <c r="D28" s="2228"/>
      <c r="E28" s="282"/>
      <c r="F28" s="282"/>
      <c r="G28" s="282"/>
      <c r="H28" s="282"/>
      <c r="I28" s="282"/>
    </row>
    <row r="29" spans="1:36" ht="14.25">
      <c r="A29" s="2226"/>
      <c r="B29" s="2227"/>
      <c r="C29" s="2227"/>
      <c r="D29" s="2228"/>
      <c r="E29" s="282"/>
      <c r="F29" s="282"/>
      <c r="G29" s="282"/>
      <c r="H29" s="282"/>
      <c r="I29" s="282"/>
    </row>
    <row r="30" spans="1:36" ht="14.25">
      <c r="A30" s="2227" t="s">
        <v>750</v>
      </c>
      <c r="B30" s="2227"/>
      <c r="C30" s="2227"/>
      <c r="D30" s="2227"/>
      <c r="E30" s="2292" t="s">
        <v>751</v>
      </c>
      <c r="F30" s="282"/>
      <c r="G30" s="282"/>
      <c r="H30" s="282"/>
      <c r="I30" s="282"/>
    </row>
    <row r="31" spans="1:36" s="2191" customFormat="1" ht="26.45" customHeight="1">
      <c r="A31" s="2229"/>
      <c r="B31" s="2230"/>
      <c r="C31" s="2230"/>
      <c r="D31" s="2230"/>
      <c r="E31" s="2230"/>
      <c r="F31" s="2230"/>
      <c r="G31" s="2230"/>
      <c r="H31" s="2230"/>
      <c r="I31" s="2336" t="s">
        <v>752</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31" t="s">
        <v>753</v>
      </c>
      <c r="B32" s="2232"/>
      <c r="C32" s="2233">
        <f ca="1">IF(D32="总价",G19-C24,G20-C25)</f>
        <v>90270</v>
      </c>
      <c r="D32" s="2234" t="s">
        <v>754</v>
      </c>
      <c r="E32" s="282"/>
      <c r="F32" s="282"/>
      <c r="G32" s="282"/>
      <c r="H32" s="282"/>
      <c r="I32" s="282"/>
    </row>
    <row r="33" spans="1:15" ht="15">
      <c r="A33" s="2095" t="s">
        <v>755</v>
      </c>
      <c r="B33" s="2235"/>
      <c r="C33" s="2236" t="s">
        <v>756</v>
      </c>
      <c r="D33" s="2237" t="s">
        <v>713</v>
      </c>
      <c r="E33" s="2293" t="s">
        <v>757</v>
      </c>
      <c r="F33" s="2294" t="str">
        <f>IF(D32="楼面单价","取值（单价）","取值（总价）")</f>
        <v>取值（总价）</v>
      </c>
      <c r="G33" s="282"/>
      <c r="H33" s="282"/>
      <c r="I33" s="282"/>
    </row>
    <row r="34" spans="1:15" ht="15">
      <c r="A34" s="2238"/>
      <c r="B34" s="2239" t="s">
        <v>758</v>
      </c>
      <c r="C34" s="2240">
        <f ca="1">IF(C33="自定义",F34,C32-C35)</f>
        <v>71855</v>
      </c>
      <c r="D34" s="2241">
        <f ca="1">IF(C33="自定义",ROUND(C34/C32,3),IF(C33="收益比率",SUMIF(INDIRECT("'"&amp;D33&amp;"'"&amp;"!b:b"),"土地收益比率",INDIRECT("'"&amp;D33&amp;"'"&amp;"!c:c")),SUMIF(INDIRECT("'"&amp;D33&amp;"'"&amp;"!b:b"),"土地成本比率",INDIRECT("'"&amp;D33&amp;"'"&amp;"!c:c"))))</f>
        <v>0.79600000000000004</v>
      </c>
      <c r="E34" s="2295" t="s">
        <v>759</v>
      </c>
      <c r="F34" s="2296"/>
      <c r="G34" s="282"/>
      <c r="H34" s="282"/>
      <c r="I34" s="282"/>
    </row>
    <row r="35" spans="1:15" ht="15">
      <c r="A35" s="2242"/>
      <c r="B35" s="2243" t="s">
        <v>760</v>
      </c>
      <c r="C35" s="2244">
        <f ca="1">IF(C33="自定义",F35,ROUND(C32*D35,0))</f>
        <v>18415</v>
      </c>
      <c r="D35" s="2245">
        <f ca="1">IF(C33="自定义",ROUND(C35/C32,3),IF(C33="收益比率",SUMIF(INDIRECT("'"&amp;D33&amp;"'"&amp;"!b:b"),"建筑物收益比率",INDIRECT("'"&amp;D33&amp;"'"&amp;"!c:c")),SUMIF(INDIRECT("'"&amp;D33&amp;"'"&amp;"!b:b"),"建筑物成本比率",INDIRECT("'"&amp;D33&amp;"'"&amp;"!c:c"))))</f>
        <v>0.20399999999999999</v>
      </c>
      <c r="E35" s="2297" t="s">
        <v>761</v>
      </c>
      <c r="F35" s="2298"/>
      <c r="G35" s="282"/>
      <c r="H35" s="282"/>
      <c r="I35" s="282"/>
    </row>
    <row r="36" spans="1:15" ht="15">
      <c r="A36" s="3406" t="s">
        <v>762</v>
      </c>
      <c r="B36" s="2246" t="s">
        <v>763</v>
      </c>
      <c r="C36" s="2247"/>
      <c r="D36" s="2248"/>
      <c r="E36" s="2299"/>
      <c r="F36" s="2300"/>
      <c r="G36" s="282"/>
      <c r="H36" s="282"/>
      <c r="I36" s="282"/>
    </row>
    <row r="37" spans="1:15" ht="15">
      <c r="A37" s="3407"/>
      <c r="B37" s="2249" t="s">
        <v>764</v>
      </c>
      <c r="C37" s="2250"/>
      <c r="D37" s="2251"/>
      <c r="E37" s="2251"/>
      <c r="F37" s="2300"/>
      <c r="G37" s="282"/>
      <c r="H37" s="282"/>
      <c r="I37" s="282"/>
    </row>
    <row r="38" spans="1:15" ht="15">
      <c r="A38" s="3408"/>
      <c r="B38" s="2252" t="s">
        <v>765</v>
      </c>
      <c r="C38" s="2253"/>
      <c r="D38" s="2254" t="s">
        <v>766</v>
      </c>
      <c r="E38" s="2251"/>
      <c r="F38" s="2300"/>
      <c r="G38" s="282"/>
      <c r="H38" s="282"/>
      <c r="I38" s="282"/>
    </row>
    <row r="39" spans="1:15" ht="15">
      <c r="A39" s="2213" t="s">
        <v>767</v>
      </c>
      <c r="B39" s="2255" t="s">
        <v>747</v>
      </c>
      <c r="C39" s="2256" t="s">
        <v>748</v>
      </c>
      <c r="D39" s="2256" t="s">
        <v>768</v>
      </c>
      <c r="E39" s="2301" t="s">
        <v>749</v>
      </c>
      <c r="F39" s="2300"/>
      <c r="G39" s="282"/>
      <c r="H39" s="282"/>
      <c r="I39" s="282"/>
    </row>
    <row r="40" spans="1:15" ht="14.25">
      <c r="A40" s="2257" t="s">
        <v>769</v>
      </c>
      <c r="B40" s="2258"/>
      <c r="C40" s="296"/>
      <c r="D40" s="296"/>
      <c r="E40" s="2302"/>
      <c r="F40" s="2300"/>
      <c r="G40" s="282"/>
      <c r="H40" s="282"/>
      <c r="I40" s="282"/>
    </row>
    <row r="41" spans="1:15" ht="14.25">
      <c r="A41" s="2257" t="s">
        <v>770</v>
      </c>
      <c r="B41" s="2258"/>
      <c r="C41" s="296"/>
      <c r="D41" s="296"/>
      <c r="E41" s="2302"/>
      <c r="F41" s="2300"/>
      <c r="G41" s="282"/>
      <c r="H41" s="282"/>
      <c r="I41" s="282"/>
    </row>
    <row r="42" spans="1:15" ht="14.25">
      <c r="A42" s="2259"/>
      <c r="B42" s="2260"/>
      <c r="C42" s="2261"/>
      <c r="D42" s="2261"/>
      <c r="E42" s="2298"/>
      <c r="F42" s="2300"/>
      <c r="G42" s="282"/>
      <c r="H42" s="282"/>
      <c r="I42" s="282"/>
    </row>
    <row r="43" spans="1:15" ht="12.75">
      <c r="A43" s="2262"/>
      <c r="B43" s="2262"/>
      <c r="C43" s="2262"/>
      <c r="D43" s="2262"/>
      <c r="E43" s="2262"/>
      <c r="F43" s="2303"/>
      <c r="G43" s="2303"/>
      <c r="H43" s="2303"/>
      <c r="I43" s="2339"/>
    </row>
    <row r="44" spans="1:15" ht="18.75">
      <c r="A44" s="2263" t="s">
        <v>771</v>
      </c>
      <c r="B44" s="2264"/>
      <c r="C44" s="2264"/>
      <c r="D44" s="2265"/>
      <c r="E44" s="2265"/>
      <c r="F44" s="2304"/>
      <c r="G44" s="2304"/>
      <c r="H44" s="2304"/>
      <c r="I44" s="2304"/>
      <c r="J44" s="2340" t="s">
        <v>772</v>
      </c>
      <c r="K44" s="2341"/>
      <c r="L44" s="2341"/>
      <c r="M44" s="2341"/>
      <c r="N44" s="2341"/>
      <c r="O44" s="2341"/>
    </row>
    <row r="45" spans="1:15" ht="14.25" customHeight="1">
      <c r="A45" s="3325" t="s">
        <v>773</v>
      </c>
      <c r="B45" s="3326"/>
      <c r="C45" s="3327"/>
      <c r="D45" s="1810">
        <f ca="1">ROUND(H101*F45,0)</f>
        <v>90270</v>
      </c>
      <c r="E45" s="2305" t="s">
        <v>774</v>
      </c>
      <c r="F45" s="2306">
        <v>1</v>
      </c>
      <c r="G45" s="2307" t="s">
        <v>775</v>
      </c>
      <c r="H45" s="282"/>
      <c r="I45" s="282"/>
      <c r="J45" s="3328" t="s">
        <v>776</v>
      </c>
      <c r="K45" s="3328"/>
      <c r="L45" s="3328"/>
      <c r="M45" s="3328"/>
      <c r="N45" s="3328"/>
      <c r="O45" s="3328"/>
    </row>
    <row r="46" spans="1:15" ht="14.25" customHeight="1">
      <c r="A46" s="3329" t="s">
        <v>777</v>
      </c>
      <c r="B46" s="3330"/>
      <c r="C46" s="3330"/>
      <c r="D46" s="3330"/>
      <c r="E46" s="3330"/>
      <c r="F46" s="3330"/>
      <c r="G46" s="3331"/>
      <c r="H46" s="2308"/>
      <c r="I46" s="283"/>
      <c r="J46" s="2342">
        <v>1</v>
      </c>
      <c r="K46" s="3332" t="s">
        <v>778</v>
      </c>
      <c r="L46" s="3332"/>
      <c r="M46" s="3333"/>
      <c r="N46" s="3333"/>
      <c r="O46" s="3333"/>
    </row>
    <row r="47" spans="1:15" ht="12" customHeight="1">
      <c r="A47" s="2266" t="s">
        <v>779</v>
      </c>
      <c r="B47" s="2267"/>
      <c r="C47" s="2268"/>
      <c r="D47" s="1841" t="s">
        <v>780</v>
      </c>
      <c r="E47" s="1830" t="s">
        <v>781</v>
      </c>
      <c r="F47" s="2309" t="s">
        <v>782</v>
      </c>
      <c r="G47" s="2310" t="s">
        <v>783</v>
      </c>
      <c r="H47" s="2311"/>
      <c r="I47" s="283"/>
      <c r="J47" s="2342">
        <v>2</v>
      </c>
      <c r="K47" s="3332" t="s">
        <v>784</v>
      </c>
      <c r="L47" s="3332"/>
      <c r="M47" s="3335">
        <f>'数据-取费表'!B2</f>
        <v>44827</v>
      </c>
      <c r="N47" s="3335"/>
      <c r="O47" s="3335"/>
    </row>
    <row r="48" spans="1:15" ht="25.5">
      <c r="A48" s="3336" t="s">
        <v>785</v>
      </c>
      <c r="B48" s="3337"/>
      <c r="C48" s="3337"/>
      <c r="D48" s="1973" t="b">
        <f>IF(H48="情况1",0,IF(H48="情况2",D52,IF(H48="情况3",D53,IF(H48="情况4",D54))))</f>
        <v>0</v>
      </c>
      <c r="E48" s="1843" t="str">
        <f>IF(H48="情况4","(销售额-原购置价)×税（费）率","销售额×税（费）率")</f>
        <v>销售额×税（费）率</v>
      </c>
      <c r="F48" s="2312">
        <f>IF(H48="情况1","免征",'数据-取费表'!B41)</f>
        <v>5.6000000000000001E-2</v>
      </c>
      <c r="G48" s="2313" t="s">
        <v>786</v>
      </c>
      <c r="H48" s="2314"/>
      <c r="I48" s="2308"/>
      <c r="J48" s="2342">
        <v>3</v>
      </c>
      <c r="K48" s="3332" t="s">
        <v>787</v>
      </c>
      <c r="L48" s="3332"/>
      <c r="M48" s="3338">
        <f ca="1">H101</f>
        <v>90270</v>
      </c>
      <c r="N48" s="3338"/>
      <c r="O48" s="3338"/>
    </row>
    <row r="49" spans="1:35" ht="25.5" customHeight="1">
      <c r="A49" s="2269" t="s">
        <v>788</v>
      </c>
      <c r="B49" s="3339" t="s">
        <v>789</v>
      </c>
      <c r="C49" s="3339"/>
      <c r="D49" s="2270">
        <v>0</v>
      </c>
      <c r="E49" s="1846" t="s">
        <v>790</v>
      </c>
      <c r="F49" s="2315" t="s">
        <v>124</v>
      </c>
      <c r="G49" s="3344"/>
      <c r="H49" s="2316" t="s">
        <v>791</v>
      </c>
      <c r="I49" s="2344"/>
      <c r="J49" s="2342">
        <v>4</v>
      </c>
      <c r="K49" s="3332" t="str">
        <f>IF(项目基本情况!E8="房地产抵押价值","房地产抵押价值","抵押担保权已注销时的房地产抵押价值")</f>
        <v>房地产抵押价值</v>
      </c>
      <c r="L49" s="3332"/>
      <c r="M49" s="3338">
        <f ca="1">IF(项目基本情况!E8="房地产抵押价值",H107,H109)</f>
        <v>90270</v>
      </c>
      <c r="N49" s="3338"/>
      <c r="O49" s="3338"/>
    </row>
    <row r="50" spans="1:35" ht="25.5" customHeight="1">
      <c r="A50" s="2271"/>
      <c r="B50" s="3339" t="s">
        <v>792</v>
      </c>
      <c r="C50" s="3339"/>
      <c r="D50" s="2272"/>
      <c r="E50" s="1856"/>
      <c r="F50" s="2315"/>
      <c r="G50" s="3345"/>
      <c r="H50" s="2317" t="s">
        <v>793</v>
      </c>
      <c r="I50" s="2344"/>
      <c r="J50" s="3328" t="s">
        <v>794</v>
      </c>
      <c r="K50" s="3328"/>
      <c r="L50" s="3328"/>
      <c r="M50" s="3328"/>
      <c r="N50" s="3328"/>
      <c r="O50" s="3328"/>
    </row>
    <row r="51" spans="1:35" ht="20.45" customHeight="1">
      <c r="A51" s="2273"/>
      <c r="B51" s="3339" t="s">
        <v>795</v>
      </c>
      <c r="C51" s="3339"/>
      <c r="D51" s="1841"/>
      <c r="E51" s="1850"/>
      <c r="F51" s="2315"/>
      <c r="G51" s="3346"/>
      <c r="H51" s="2317" t="s">
        <v>796</v>
      </c>
      <c r="I51" s="2344"/>
      <c r="J51" s="2343" t="s">
        <v>797</v>
      </c>
      <c r="K51" s="3332" t="s">
        <v>798</v>
      </c>
      <c r="L51" s="3332"/>
      <c r="M51" s="2343" t="s">
        <v>799</v>
      </c>
      <c r="N51" s="2343" t="s">
        <v>800</v>
      </c>
      <c r="O51" s="2343" t="s">
        <v>801</v>
      </c>
    </row>
    <row r="52" spans="1:35" ht="24" customHeight="1">
      <c r="A52" s="2274" t="s">
        <v>802</v>
      </c>
      <c r="B52" s="3339" t="s">
        <v>803</v>
      </c>
      <c r="C52" s="3339"/>
      <c r="D52" s="1841">
        <f ca="1">ROUND(D45*'数据-取费表'!B41/(1+'数据-取费表'!C42),0)</f>
        <v>4814</v>
      </c>
      <c r="E52" s="1843" t="s">
        <v>804</v>
      </c>
      <c r="F52" s="2318">
        <f>'数据-取费表'!B41</f>
        <v>5.6000000000000001E-2</v>
      </c>
      <c r="G52" s="2319"/>
      <c r="H52" s="1986"/>
      <c r="I52" s="2345"/>
      <c r="J52" s="2342">
        <v>1</v>
      </c>
      <c r="K52" s="3340" t="s">
        <v>805</v>
      </c>
      <c r="L52" s="3340"/>
      <c r="M52" s="2350" t="b">
        <f>D48</f>
        <v>0</v>
      </c>
      <c r="N52" s="2342" t="str">
        <f>E48</f>
        <v>销售额×税（费）率</v>
      </c>
      <c r="O52" s="2351">
        <f>F48</f>
        <v>5.6000000000000001E-2</v>
      </c>
    </row>
    <row r="53" spans="1:35" ht="12" customHeight="1">
      <c r="A53" s="2274" t="s">
        <v>806</v>
      </c>
      <c r="B53" s="3341" t="s">
        <v>807</v>
      </c>
      <c r="C53" s="3342"/>
      <c r="D53" s="1841">
        <f ca="1">ROUND(D45*'数据-取费表'!B41/(1+'数据-取费表'!C42),0)</f>
        <v>4814</v>
      </c>
      <c r="E53" s="1843" t="s">
        <v>804</v>
      </c>
      <c r="F53" s="2318">
        <f>'数据-取费表'!B41</f>
        <v>5.6000000000000001E-2</v>
      </c>
      <c r="G53" s="2319"/>
      <c r="H53" s="1986"/>
      <c r="I53" s="2345"/>
      <c r="J53" s="2342">
        <v>2</v>
      </c>
      <c r="K53" s="3340" t="s">
        <v>808</v>
      </c>
      <c r="L53" s="3340"/>
      <c r="M53" s="2350">
        <f t="shared" ref="M53:O54" ca="1" si="0">D55</f>
        <v>45</v>
      </c>
      <c r="N53" s="2342" t="str">
        <f t="shared" si="0"/>
        <v>销售额×税（费）率</v>
      </c>
      <c r="O53" s="2351" t="str">
        <f t="shared" si="0"/>
        <v>免征</v>
      </c>
    </row>
    <row r="54" spans="1:35" ht="12" customHeight="1">
      <c r="A54" s="2274" t="s">
        <v>809</v>
      </c>
      <c r="B54" s="3341" t="s">
        <v>810</v>
      </c>
      <c r="C54" s="3342"/>
      <c r="D54" s="1841">
        <f ca="1">C68</f>
        <v>4814</v>
      </c>
      <c r="E54" s="1850" t="s">
        <v>811</v>
      </c>
      <c r="F54" s="2318">
        <f>'数据-取费表'!B41</f>
        <v>5.6000000000000001E-2</v>
      </c>
      <c r="G54" s="2319"/>
      <c r="H54" s="2320"/>
      <c r="I54" s="2345"/>
      <c r="J54" s="2342">
        <v>3</v>
      </c>
      <c r="K54" s="3340" t="s">
        <v>812</v>
      </c>
      <c r="L54" s="3340"/>
      <c r="M54" s="2350">
        <f t="shared" ca="1" si="0"/>
        <v>51092</v>
      </c>
      <c r="N54" s="2342" t="str">
        <f t="shared" si="0"/>
        <v>增值额×税（费）率</v>
      </c>
      <c r="O54" s="2352" t="str">
        <f t="shared" si="0"/>
        <v>免征</v>
      </c>
    </row>
    <row r="55" spans="1:35" ht="24" customHeight="1">
      <c r="A55" s="3343" t="s">
        <v>813</v>
      </c>
      <c r="B55" s="3337"/>
      <c r="C55" s="3337"/>
      <c r="D55" s="1973">
        <f ca="1">IF(H55="个人住宅",0,ROUND(D45*I55,0))</f>
        <v>45</v>
      </c>
      <c r="E55" s="1843" t="s">
        <v>814</v>
      </c>
      <c r="F55" s="2318" t="str">
        <f>IF(H55="正常",I55,"免征")</f>
        <v>免征</v>
      </c>
      <c r="G55" s="2319"/>
      <c r="H55" s="2314"/>
      <c r="I55" s="2346">
        <f>'数据-取费表'!B49</f>
        <v>5.0000000000000001E-4</v>
      </c>
      <c r="J55" s="2342">
        <f>IF(H59="非个人房产","",4)</f>
        <v>4</v>
      </c>
      <c r="K55" s="3340" t="str">
        <f>IF(H59="非个人房产","——","个人所得税")</f>
        <v>个人所得税</v>
      </c>
      <c r="L55" s="3340"/>
      <c r="M55" s="2353">
        <f ca="1">D59</f>
        <v>860</v>
      </c>
      <c r="N55" s="621" t="str">
        <f>E59</f>
        <v>差额计税</v>
      </c>
      <c r="O55" s="2354">
        <f>F59</f>
        <v>0.01</v>
      </c>
    </row>
    <row r="56" spans="1:35" ht="24.75">
      <c r="A56" s="3343" t="s">
        <v>815</v>
      </c>
      <c r="B56" s="3337"/>
      <c r="C56" s="3337"/>
      <c r="D56" s="1973">
        <f ca="1">IF(H56="个人住宅",D57,D58)</f>
        <v>51092</v>
      </c>
      <c r="E56" s="1843" t="s">
        <v>816</v>
      </c>
      <c r="F56" s="2318" t="str">
        <f>IF(H56="正常",F58,"免征")</f>
        <v>免征</v>
      </c>
      <c r="G56" s="2321" t="s">
        <v>817</v>
      </c>
      <c r="H56" s="2322"/>
      <c r="I56" s="2329"/>
      <c r="J56" s="2342" t="str">
        <f>IF(项目基本情况!K6="上海银行",IF(J55="",4,J55+1),"")</f>
        <v/>
      </c>
      <c r="K56" s="3356" t="str">
        <f>IF(项目基本情况!K6="上海银行","其他处置费用","")</f>
        <v/>
      </c>
      <c r="L56" s="3357"/>
      <c r="M56" s="2350" t="str">
        <f>IF(项目基本情况!K6="上海银行",M69,"")</f>
        <v/>
      </c>
      <c r="N56" s="3356" t="str">
        <f>IF(项目基本情况!K6="上海银行","包含处置中涉及的律师、诉讼、拍卖、评估等费用","")</f>
        <v/>
      </c>
      <c r="O56" s="3358"/>
    </row>
    <row r="57" spans="1:35" ht="12.75">
      <c r="A57" s="2274" t="s">
        <v>788</v>
      </c>
      <c r="B57" s="3341" t="s">
        <v>818</v>
      </c>
      <c r="C57" s="3342"/>
      <c r="D57" s="2270">
        <v>0</v>
      </c>
      <c r="E57" s="1846" t="s">
        <v>790</v>
      </c>
      <c r="F57" s="1830"/>
      <c r="G57" s="2319"/>
      <c r="H57" s="2323"/>
      <c r="I57" s="2329"/>
      <c r="J57" s="3340">
        <f>IF(AND(J55="",J56=""),4,IF(项目基本情况!K6="上海银行",结果表!J56+1,结果表!J55+1))</f>
        <v>5</v>
      </c>
      <c r="K57" s="3340" t="s">
        <v>819</v>
      </c>
      <c r="L57" s="2347" t="s">
        <v>820</v>
      </c>
      <c r="M57" s="2355"/>
      <c r="N57" s="2356">
        <f ca="1">SUMIF(M52:M56,"&lt;9e307")</f>
        <v>51997</v>
      </c>
      <c r="O57" s="2357"/>
      <c r="P57" s="2358">
        <f ca="1">N57/M49</f>
        <v>0.57601639525866843</v>
      </c>
    </row>
    <row r="58" spans="1:35" ht="24.75">
      <c r="A58" s="2274" t="s">
        <v>802</v>
      </c>
      <c r="B58" s="3341" t="s">
        <v>821</v>
      </c>
      <c r="C58" s="3339"/>
      <c r="D58" s="1973">
        <f ca="1">IF(H58="转让取得",C81,C97)</f>
        <v>51092</v>
      </c>
      <c r="E58" s="1843" t="s">
        <v>816</v>
      </c>
      <c r="F58" s="1830" t="s">
        <v>124</v>
      </c>
      <c r="G58" s="2319"/>
      <c r="H58" s="2322"/>
      <c r="I58" s="2329"/>
      <c r="J58" s="3340"/>
      <c r="K58" s="3340"/>
      <c r="L58" s="2347" t="s">
        <v>822</v>
      </c>
      <c r="M58" s="2359"/>
      <c r="N58" s="2360" t="str">
        <f ca="1">NUMBERSTRING(INT(N57*10000),2)&amp;"元整"</f>
        <v>伍亿壹仟玖佰玖拾柒万元整</v>
      </c>
      <c r="O58" s="2361"/>
    </row>
    <row r="59" spans="1:35" ht="24">
      <c r="A59" s="3359" t="s">
        <v>823</v>
      </c>
      <c r="B59" s="3360"/>
      <c r="C59" s="3360"/>
      <c r="D59" s="2275">
        <f ca="1">IF(H59="非个人房产","——",IF(H59="个人住宅（满五唯一有凭证）",0,IF(H59="个人其他（无凭证）",ROUND(D45*F59,0),ROUND(C67*F59,0))))</f>
        <v>860</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817</v>
      </c>
      <c r="H59" s="2327"/>
      <c r="I59" s="2348" t="s">
        <v>824</v>
      </c>
      <c r="J59" s="3362">
        <f>J57+1</f>
        <v>6</v>
      </c>
      <c r="K59" s="3340" t="s">
        <v>825</v>
      </c>
      <c r="L59" s="2342" t="s">
        <v>820</v>
      </c>
      <c r="M59" s="2362"/>
      <c r="N59" s="2363">
        <f ca="1">M49-N57</f>
        <v>38273</v>
      </c>
      <c r="O59" s="2364"/>
    </row>
    <row r="60" spans="1:35" ht="12" customHeight="1">
      <c r="A60" s="2276"/>
      <c r="B60" s="2197"/>
      <c r="C60" s="2197"/>
      <c r="D60" s="2197"/>
      <c r="E60" s="2328"/>
      <c r="F60" s="2329"/>
      <c r="G60" s="2329"/>
      <c r="H60" s="2330"/>
      <c r="I60" s="282"/>
      <c r="J60" s="3363"/>
      <c r="K60" s="3340"/>
      <c r="L60" s="2347" t="s">
        <v>822</v>
      </c>
      <c r="M60" s="2359"/>
      <c r="N60" s="2360" t="str">
        <f ca="1">NUMBERSTRING(INT(N59*10000),2)&amp;"元整"</f>
        <v>叁亿捌仟贰佰柒拾叁万元整</v>
      </c>
      <c r="O60" s="2361"/>
    </row>
    <row r="61" spans="1:35" ht="12.75">
      <c r="A61" s="3361" t="s">
        <v>826</v>
      </c>
      <c r="B61" s="3361"/>
      <c r="C61" s="3361"/>
      <c r="D61" s="3361"/>
      <c r="E61" s="3361"/>
      <c r="F61" s="2329"/>
      <c r="G61" s="2329"/>
      <c r="H61" s="2330"/>
      <c r="I61" s="282"/>
      <c r="J61" s="2342">
        <f>J59+1</f>
        <v>7</v>
      </c>
      <c r="K61" s="3340" t="s">
        <v>827</v>
      </c>
      <c r="L61" s="3340"/>
      <c r="M61" s="2365"/>
      <c r="N61" s="2366">
        <f ca="1">ROUND(N59*10000/'数据-汇总表'!E3,0)</f>
        <v>13193</v>
      </c>
      <c r="O61" s="2367"/>
    </row>
    <row r="62" spans="1:35" ht="12.75">
      <c r="A62" s="3349" t="s">
        <v>828</v>
      </c>
      <c r="B62" s="3350"/>
      <c r="C62" s="609"/>
      <c r="D62" s="609" t="s">
        <v>829</v>
      </c>
      <c r="E62" s="2331" t="s">
        <v>783</v>
      </c>
      <c r="F62" s="2329"/>
      <c r="G62" s="2329"/>
      <c r="H62" s="2330"/>
      <c r="I62" s="282"/>
    </row>
    <row r="63" spans="1:35" ht="12.75">
      <c r="A63" s="2277" t="s">
        <v>830</v>
      </c>
      <c r="B63" s="2278" t="s">
        <v>831</v>
      </c>
      <c r="C63" s="2279">
        <f ca="1">ROUND((C64+C65)/(1+'数据-取费表'!C42),0)</f>
        <v>85971</v>
      </c>
      <c r="D63" s="2278"/>
      <c r="E63" s="2332"/>
      <c r="F63" s="2329"/>
      <c r="G63" s="2329"/>
      <c r="H63" s="2330"/>
      <c r="I63" s="282"/>
      <c r="J63" s="3396" t="s">
        <v>832</v>
      </c>
      <c r="K63" s="2349" t="s">
        <v>833</v>
      </c>
      <c r="L63" s="2349">
        <f ca="1">IF(M49&gt;10000,M49*0.5%,IF(AND(M49&gt;1000,M49&lt;=10000),M49*1%,IF(AND(M49&gt;100,M49&lt;=1000),M49*3%,IF(AND(M49&gt;10,M49&lt;=100),M49*5%,M49*8%))))</f>
        <v>451.35</v>
      </c>
      <c r="M63" s="1830">
        <f ca="1">ROUND(L63,1)</f>
        <v>451.4</v>
      </c>
      <c r="N63" s="2368"/>
      <c r="Z63" s="2194"/>
      <c r="AI63" s="2195"/>
    </row>
    <row r="64" spans="1:35" ht="14.25" customHeight="1">
      <c r="A64" s="2280" t="s">
        <v>834</v>
      </c>
      <c r="B64" s="612" t="s">
        <v>835</v>
      </c>
      <c r="C64" s="2281">
        <f ca="1">D45</f>
        <v>90270</v>
      </c>
      <c r="D64" s="612" t="s">
        <v>124</v>
      </c>
      <c r="E64" s="2333"/>
      <c r="F64" s="2329"/>
      <c r="G64" s="2329"/>
      <c r="H64" s="2330"/>
      <c r="I64" s="282"/>
      <c r="J64" s="3396"/>
      <c r="K64" s="2349" t="s">
        <v>836</v>
      </c>
      <c r="L64" s="2349">
        <f ca="1">IF(M49&gt;2000,M49*0.5%,IF(AND(M49&gt;1000,M49&lt;=2000),M49*0.6%,IF(AND(M49&gt;500,M49&lt;=1000),M49*0.7%,IF(AND(M49&gt;200,M49&lt;=500),M49*0.8%,IF(AND(M49&gt;100,M49&lt;=200),M49*0.9%,IF(AND(M49&gt;50,M49&lt;=100),M49*1%,IF(AND(M49&gt;20,M49&lt;=50),M49*1.5%,IF(AND(M49&gt;10,M49&lt;=20),M49*2%,IF(AND(M49&gt;1,M49&lt;=10),M49*2.5%)))))))))</f>
        <v>451.35</v>
      </c>
      <c r="M64" s="1830">
        <f t="shared" ref="M64:M65" ca="1" si="1">ROUND(L64,1)</f>
        <v>451.4</v>
      </c>
      <c r="N64" s="1986" t="s">
        <v>837</v>
      </c>
      <c r="Z64" s="2194"/>
      <c r="AI64" s="2195"/>
    </row>
    <row r="65" spans="1:35" ht="14.25" customHeight="1">
      <c r="A65" s="2280" t="s">
        <v>838</v>
      </c>
      <c r="B65" s="612" t="s">
        <v>839</v>
      </c>
      <c r="C65" s="2370"/>
      <c r="D65" s="612"/>
      <c r="E65" s="2333"/>
      <c r="F65" s="2329"/>
      <c r="G65" s="2329"/>
      <c r="H65" s="2330"/>
      <c r="I65" s="282"/>
      <c r="J65" s="3396"/>
      <c r="K65" s="2349" t="s">
        <v>840</v>
      </c>
      <c r="L65" s="2349">
        <f ca="1">IF(M49&gt;1000,M49*0.1%,IF(AND(M49&gt;500,M49&lt;=1000),M49*0.5%,IF(AND(M49&gt;50,M49&lt;=500),M49*1%,IF(AND(M49&gt;1,M49&lt;=50),M49*1.5%))))</f>
        <v>90.27</v>
      </c>
      <c r="M65" s="1830">
        <f t="shared" ca="1" si="1"/>
        <v>90.3</v>
      </c>
      <c r="N65" s="1986" t="s">
        <v>837</v>
      </c>
      <c r="Z65" s="2194"/>
      <c r="AI65" s="2195"/>
    </row>
    <row r="66" spans="1:35" ht="14.25" customHeight="1">
      <c r="A66" s="2277" t="s">
        <v>841</v>
      </c>
      <c r="B66" s="2371" t="s">
        <v>842</v>
      </c>
      <c r="C66" s="2372"/>
      <c r="D66" s="2371" t="s">
        <v>124</v>
      </c>
      <c r="E66" s="2408" t="s">
        <v>843</v>
      </c>
      <c r="F66" s="2329"/>
      <c r="G66" s="2329"/>
      <c r="H66" s="2330"/>
      <c r="I66" s="282"/>
      <c r="J66" s="3396"/>
      <c r="K66" s="2349" t="s">
        <v>844</v>
      </c>
      <c r="L66" s="2349">
        <f ca="1">M49*0.5%</f>
        <v>451.35</v>
      </c>
      <c r="M66" s="1830">
        <f ca="1">IF(L66&gt;0.5,0.5,ROUND(L66,0))</f>
        <v>0.5</v>
      </c>
      <c r="N66" s="1986" t="s">
        <v>845</v>
      </c>
      <c r="Z66" s="2194"/>
      <c r="AI66" s="2195"/>
    </row>
    <row r="67" spans="1:35" ht="14.25" customHeight="1">
      <c r="A67" s="2277" t="s">
        <v>846</v>
      </c>
      <c r="B67" s="2371" t="s">
        <v>847</v>
      </c>
      <c r="C67" s="2373">
        <f ca="1">C63-C66</f>
        <v>85971</v>
      </c>
      <c r="D67" s="612" t="s">
        <v>124</v>
      </c>
      <c r="E67" s="2333"/>
      <c r="F67" s="2329"/>
      <c r="G67" s="2329"/>
      <c r="H67" s="2330"/>
      <c r="I67" s="282"/>
      <c r="J67" s="3396"/>
      <c r="K67" s="2349" t="s">
        <v>848</v>
      </c>
      <c r="L67" s="2349">
        <f ca="1">IF(M49&gt;=10000,(8.25+(M49-10000)*0.01%),IF(AND(M49&gt;=8000,M49&lt;10000),(7.85+(M49-8000)*0.02%),IF(AND(M49&gt;=5000,M49&lt;8000),(6.65+(M49-5000)*0.04%),IF(AND(M49&gt;=2000,M49&lt;5000),(4.25+(PM49-2000)*0.08%),IF(AND(M49&gt;=1000,M49&lt;2000),(2.75+(M49-1000)*0.15%),IF(AND(M49&gt;=100,M49&lt;1000),(0.5+(M49-100)*0.25%),IF(AND(M49&gt;0,M49&lt;100),M49*0.5%)))))))</f>
        <v>16.277000000000001</v>
      </c>
      <c r="M67" s="1830">
        <f ca="1">ROUND(L67*0.9,1)</f>
        <v>14.6</v>
      </c>
      <c r="N67" s="2368"/>
      <c r="Z67" s="2194"/>
      <c r="AI67" s="2195"/>
    </row>
    <row r="68" spans="1:35" ht="14.25" customHeight="1">
      <c r="A68" s="2374" t="s">
        <v>849</v>
      </c>
      <c r="B68" s="2375" t="s">
        <v>850</v>
      </c>
      <c r="C68" s="2376">
        <f ca="1">IF(C67&lt;=0,0,ROUND(C67*D68,0))</f>
        <v>4814</v>
      </c>
      <c r="D68" s="2377">
        <f>'数据-取费表'!B41</f>
        <v>5.6000000000000001E-2</v>
      </c>
      <c r="E68" s="2409"/>
      <c r="F68" s="2329"/>
      <c r="G68" s="2329"/>
      <c r="H68" s="2330"/>
      <c r="I68" s="282"/>
      <c r="J68" s="3396"/>
      <c r="K68" s="2349" t="s">
        <v>851</v>
      </c>
      <c r="L68" s="2349">
        <f ca="1">IF(M49&gt;10000,M49*0.5%,IF(AND(M49&gt;5000,M49&lt;=10000),M49*1%,IF(AND(M49&gt;1000,M49&lt;=5000),M49*2%,IF(AND(M49&gt;200,M49&lt;=1000),M49*3%,M49*5%))))</f>
        <v>451.35</v>
      </c>
      <c r="M68" s="1830">
        <f ca="1">ROUND(L68,1)</f>
        <v>451.4</v>
      </c>
      <c r="N68" s="2368"/>
      <c r="Z68" s="2194"/>
      <c r="AI68" s="2195"/>
    </row>
    <row r="69" spans="1:35" s="2192" customFormat="1" ht="16.5" customHeight="1">
      <c r="A69" s="2378"/>
      <c r="B69" s="2379"/>
      <c r="C69" s="2380"/>
      <c r="D69" s="764"/>
      <c r="E69" s="2410"/>
      <c r="F69" s="2328"/>
      <c r="G69" s="2328"/>
      <c r="H69" s="2262"/>
      <c r="I69" s="2197"/>
      <c r="J69" s="3396"/>
      <c r="K69" s="2349" t="s">
        <v>852</v>
      </c>
      <c r="L69" s="2349"/>
      <c r="M69" s="1830">
        <f ca="1">ROUND(SUM(M63:M68),0)</f>
        <v>1460</v>
      </c>
      <c r="N69" s="2454">
        <f ca="1">M69/M49</f>
        <v>1.6173701118865624E-2</v>
      </c>
      <c r="O69" s="245"/>
      <c r="P69" s="245"/>
      <c r="Q69" s="245"/>
      <c r="R69" s="245"/>
      <c r="S69" s="245"/>
      <c r="T69" s="245"/>
      <c r="U69" s="245"/>
      <c r="V69" s="245"/>
      <c r="W69" s="245"/>
      <c r="X69" s="245"/>
      <c r="Y69" s="245"/>
      <c r="Z69" s="2194"/>
      <c r="AA69" s="2194"/>
      <c r="AB69" s="2194"/>
      <c r="AC69" s="2194"/>
      <c r="AD69" s="2194"/>
      <c r="AE69" s="2194"/>
      <c r="AF69" s="2194"/>
      <c r="AG69" s="2194"/>
      <c r="AH69" s="2194"/>
    </row>
    <row r="70" spans="1:35" s="2193" customFormat="1" ht="14.25">
      <c r="A70" s="3347" t="s">
        <v>853</v>
      </c>
      <c r="B70" s="3348"/>
      <c r="C70" s="3348"/>
      <c r="D70" s="3348"/>
      <c r="E70" s="3348"/>
      <c r="F70" s="3348"/>
      <c r="G70" s="3348"/>
      <c r="H70" s="3348"/>
      <c r="I70" s="2446"/>
      <c r="J70" s="2447"/>
      <c r="K70" s="2447"/>
      <c r="L70" s="2447"/>
      <c r="M70" s="2447"/>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49" t="s">
        <v>828</v>
      </c>
      <c r="B71" s="3350"/>
      <c r="C71" s="609"/>
      <c r="D71" s="609" t="s">
        <v>829</v>
      </c>
      <c r="E71" s="2411" t="s">
        <v>783</v>
      </c>
      <c r="F71" s="2412"/>
      <c r="G71" s="2412"/>
      <c r="H71" s="2413"/>
      <c r="I71" s="2448"/>
      <c r="J71" s="2447"/>
      <c r="K71" s="2447"/>
      <c r="L71" s="2447"/>
      <c r="M71" s="2447"/>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277" t="s">
        <v>830</v>
      </c>
      <c r="B72" s="2371" t="s">
        <v>854</v>
      </c>
      <c r="C72" s="2373">
        <f ca="1">ROUND(D45/(1+'数据-取费表'!C42),0)</f>
        <v>85971</v>
      </c>
      <c r="D72" s="612" t="s">
        <v>124</v>
      </c>
      <c r="E72" s="1832"/>
      <c r="F72" s="1921"/>
      <c r="G72" s="1921"/>
      <c r="H72" s="2414"/>
      <c r="I72" s="2448"/>
      <c r="J72" s="2447"/>
      <c r="K72" s="2447"/>
      <c r="L72" s="2447"/>
      <c r="M72" s="2447"/>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277" t="s">
        <v>841</v>
      </c>
      <c r="B73" s="2309" t="s">
        <v>855</v>
      </c>
      <c r="C73" s="2373">
        <f ca="1">C74+C78</f>
        <v>516</v>
      </c>
      <c r="D73" s="612" t="s">
        <v>124</v>
      </c>
      <c r="E73" s="1832"/>
      <c r="F73" s="1921"/>
      <c r="G73" s="1921"/>
      <c r="H73" s="2414"/>
      <c r="I73" s="2448"/>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280" t="s">
        <v>834</v>
      </c>
      <c r="B74" s="612" t="s">
        <v>856</v>
      </c>
      <c r="C74" s="612">
        <f>ROUND(IF(G77="2016年5月1日后购买",C75/(1+'数据-取费表'!C42)+C76+C77,C75+C76+C77),0)</f>
        <v>0</v>
      </c>
      <c r="D74" s="612" t="s">
        <v>124</v>
      </c>
      <c r="E74" s="1832"/>
      <c r="F74" s="1921"/>
      <c r="G74" s="1921"/>
      <c r="H74" s="2414"/>
      <c r="I74" s="2448"/>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280" t="s">
        <v>857</v>
      </c>
      <c r="B75" s="612" t="s">
        <v>858</v>
      </c>
      <c r="C75" s="2381"/>
      <c r="D75" s="612" t="s">
        <v>124</v>
      </c>
      <c r="E75" s="2415" t="s">
        <v>859</v>
      </c>
      <c r="F75" s="2416"/>
      <c r="G75" s="2415" t="s">
        <v>860</v>
      </c>
      <c r="H75" s="2417"/>
      <c r="I75" s="814"/>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280" t="s">
        <v>861</v>
      </c>
      <c r="B76" s="2382" t="s">
        <v>862</v>
      </c>
      <c r="C76" s="612">
        <f>IF(F75="购房发票",ROUND(C75*H75*D76,0),0)</f>
        <v>0</v>
      </c>
      <c r="D76" s="2383">
        <v>0.05</v>
      </c>
      <c r="E76" s="3341" t="s">
        <v>863</v>
      </c>
      <c r="F76" s="3339"/>
      <c r="G76" s="3339"/>
      <c r="H76" s="3395"/>
      <c r="I76" s="2448"/>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280" t="s">
        <v>864</v>
      </c>
      <c r="B77" s="612" t="s">
        <v>865</v>
      </c>
      <c r="C77" s="612">
        <f>ROUND(IF(G77="个人住宅",0,IF(G77="2016年5月1日前购买",C75*D77,C75*D77/(1+'数据-取费表'!C42))),0)</f>
        <v>0</v>
      </c>
      <c r="D77" s="2384">
        <f>'数据-取费表'!B48+'数据-取费表'!B49</f>
        <v>3.0499999999999999E-2</v>
      </c>
      <c r="E77" s="1973" t="s">
        <v>866</v>
      </c>
      <c r="F77" s="2419"/>
      <c r="G77" s="2420"/>
      <c r="H77" s="2418" t="str">
        <f>IF(G77="个人买卖住房","免征印花税"," ")</f>
        <v/>
      </c>
      <c r="I77" s="2448"/>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280" t="s">
        <v>838</v>
      </c>
      <c r="B78" s="612" t="s">
        <v>867</v>
      </c>
      <c r="C78" s="2385">
        <f ca="1">ROUND(D45*D78/(1+'数据-取费表'!C42),0)</f>
        <v>516</v>
      </c>
      <c r="D78" s="2386">
        <f>'数据-取费表'!B43</f>
        <v>6.0000000000000001E-3</v>
      </c>
      <c r="E78" s="3353" t="s">
        <v>868</v>
      </c>
      <c r="F78" s="3354"/>
      <c r="G78" s="3354"/>
      <c r="H78" s="3355"/>
      <c r="I78" s="2450"/>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277" t="s">
        <v>846</v>
      </c>
      <c r="B79" s="2371" t="s">
        <v>869</v>
      </c>
      <c r="C79" s="2373">
        <f ca="1">C72-C73</f>
        <v>85455</v>
      </c>
      <c r="D79" s="612" t="s">
        <v>124</v>
      </c>
      <c r="E79" s="1832"/>
      <c r="F79" s="1921"/>
      <c r="G79" s="1921"/>
      <c r="H79" s="2414"/>
      <c r="I79" s="2448"/>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277" t="s">
        <v>849</v>
      </c>
      <c r="B80" s="2371" t="s">
        <v>870</v>
      </c>
      <c r="C80" s="2387">
        <f ca="1">IF(C79&lt;=0,0,C79/C73)</f>
        <v>165.61046511627907</v>
      </c>
      <c r="D80" s="612"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4"/>
      <c r="I80" s="2448"/>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4" t="s">
        <v>871</v>
      </c>
      <c r="B81" s="2375" t="s">
        <v>872</v>
      </c>
      <c r="C81" s="2388">
        <f ca="1">ROUND(IF(C79&lt;=0,0,IF(C80&gt;=200%,C79*60%-C73*35%,IF(C80&gt;=100%,C79*50%-C73*15%,IF(C80&gt;=50%,C79*40%-C73*5%,IF(C80&lt;50%,C79*30%,0))))),0)</f>
        <v>51092</v>
      </c>
      <c r="D81" s="238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48"/>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390"/>
      <c r="B82" s="2391"/>
      <c r="C82" s="690"/>
      <c r="D82" s="690"/>
      <c r="E82" s="2391"/>
      <c r="F82" s="2391"/>
      <c r="G82" s="2391"/>
      <c r="H82" s="2427"/>
      <c r="I82" s="2450"/>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47" t="s">
        <v>873</v>
      </c>
      <c r="B83" s="3348"/>
      <c r="C83" s="3348"/>
      <c r="D83" s="3348"/>
      <c r="E83" s="3348"/>
      <c r="F83" s="3348"/>
      <c r="G83" s="3348"/>
      <c r="H83" s="3348"/>
      <c r="I83" s="814"/>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49" t="s">
        <v>828</v>
      </c>
      <c r="B84" s="3350"/>
      <c r="C84" s="609"/>
      <c r="D84" s="609" t="s">
        <v>829</v>
      </c>
      <c r="E84" s="2411" t="s">
        <v>783</v>
      </c>
      <c r="F84" s="2412"/>
      <c r="G84" s="2412"/>
      <c r="H84" s="2428"/>
      <c r="I84" s="814"/>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277" t="s">
        <v>830</v>
      </c>
      <c r="B85" s="2371" t="s">
        <v>854</v>
      </c>
      <c r="C85" s="2373">
        <f ca="1">ROUND(D45/(1+'数据-取费表'!C42),0)</f>
        <v>85971</v>
      </c>
      <c r="D85" s="612" t="s">
        <v>124</v>
      </c>
      <c r="E85" s="1832"/>
      <c r="F85" s="1921"/>
      <c r="G85" s="1921"/>
      <c r="H85" s="2429"/>
      <c r="I85" s="814"/>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277" t="s">
        <v>841</v>
      </c>
      <c r="B86" s="2309" t="s">
        <v>855</v>
      </c>
      <c r="C86" s="2373">
        <f ca="1">IF(H88="仅含出让金",C87+C90+C91+C92+C93+C94,C87+C91+C92+C93+C94)</f>
        <v>516</v>
      </c>
      <c r="D86" s="2392"/>
      <c r="E86" s="1832"/>
      <c r="F86" s="1921"/>
      <c r="G86" s="1921"/>
      <c r="H86" s="2429"/>
      <c r="I86" s="814"/>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280" t="s">
        <v>834</v>
      </c>
      <c r="B87" s="612" t="s">
        <v>874</v>
      </c>
      <c r="C87" s="2385">
        <f>C88+C89</f>
        <v>0</v>
      </c>
      <c r="D87" s="2386"/>
      <c r="E87" s="2421"/>
      <c r="F87" s="2422"/>
      <c r="G87" s="2422"/>
      <c r="H87" s="2423"/>
      <c r="I87" s="814"/>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280" t="s">
        <v>857</v>
      </c>
      <c r="B88" s="612" t="s">
        <v>875</v>
      </c>
      <c r="C88" s="2393"/>
      <c r="D88" s="2386"/>
      <c r="E88" s="2430" t="s">
        <v>876</v>
      </c>
      <c r="F88" s="2422"/>
      <c r="G88" s="2431" t="s">
        <v>877</v>
      </c>
      <c r="H88" s="2432"/>
      <c r="I88" s="814"/>
      <c r="J88" s="2451" t="s">
        <v>878</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280" t="s">
        <v>861</v>
      </c>
      <c r="B89" s="612" t="s">
        <v>865</v>
      </c>
      <c r="C89" s="2385">
        <f>ROUND(C88*D89,0)</f>
        <v>0</v>
      </c>
      <c r="D89" s="2386">
        <f>'数据-取费表'!B48+'数据-取费表'!B49</f>
        <v>3.0499999999999999E-2</v>
      </c>
      <c r="E89" s="2430" t="s">
        <v>879</v>
      </c>
      <c r="F89" s="2422"/>
      <c r="G89" s="2422"/>
      <c r="H89" s="2423"/>
      <c r="I89" s="814"/>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280" t="s">
        <v>838</v>
      </c>
      <c r="B90" s="612" t="s">
        <v>880</v>
      </c>
      <c r="C90" s="2393"/>
      <c r="D90" s="2386"/>
      <c r="E90" s="2430" t="str">
        <f>IF(H88="-","土地取得成本中已包含该笔费用"," ")</f>
        <v/>
      </c>
      <c r="F90" s="2422"/>
      <c r="G90" s="3351" t="s">
        <v>881</v>
      </c>
      <c r="H90" s="3352"/>
      <c r="I90" s="814"/>
      <c r="J90" s="2451" t="s">
        <v>882</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280" t="s">
        <v>883</v>
      </c>
      <c r="B91" s="612" t="s">
        <v>884</v>
      </c>
      <c r="C91" s="2385">
        <f>IF(H91="——",成本法!C33,I91)</f>
        <v>0</v>
      </c>
      <c r="D91" s="2386"/>
      <c r="E91" s="3353" t="s">
        <v>885</v>
      </c>
      <c r="F91" s="3354"/>
      <c r="G91" s="3354"/>
      <c r="H91" s="2433"/>
      <c r="I91" s="2452"/>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280" t="s">
        <v>886</v>
      </c>
      <c r="B92" s="612" t="s">
        <v>887</v>
      </c>
      <c r="C92" s="2385">
        <f>ROUND((C87+C90+C91)*D92,0)</f>
        <v>0</v>
      </c>
      <c r="D92" s="2394"/>
      <c r="E92" s="3353" t="s">
        <v>888</v>
      </c>
      <c r="F92" s="3354"/>
      <c r="G92" s="3354"/>
      <c r="H92" s="3355"/>
      <c r="I92" s="814"/>
      <c r="J92" s="2453" t="s">
        <v>889</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280" t="s">
        <v>890</v>
      </c>
      <c r="B93" s="612" t="s">
        <v>867</v>
      </c>
      <c r="C93" s="2385">
        <f ca="1">ROUND(D45*D93/(1+'数据-取费表'!C42),0)</f>
        <v>516</v>
      </c>
      <c r="D93" s="2386">
        <f>'数据-取费表'!B43</f>
        <v>6.0000000000000001E-3</v>
      </c>
      <c r="E93" s="3353" t="s">
        <v>868</v>
      </c>
      <c r="F93" s="3354"/>
      <c r="G93" s="3354"/>
      <c r="H93" s="3355"/>
      <c r="I93" s="814"/>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280" t="s">
        <v>891</v>
      </c>
      <c r="B94" s="612" t="s">
        <v>892</v>
      </c>
      <c r="C94" s="2393">
        <f>ROUND((C87+C90+C91)*D94,0)</f>
        <v>0</v>
      </c>
      <c r="D94" s="2386">
        <v>0.2</v>
      </c>
      <c r="E94" s="3380" t="s">
        <v>893</v>
      </c>
      <c r="F94" s="3381"/>
      <c r="G94" s="3381"/>
      <c r="H94" s="3382"/>
      <c r="I94" s="814"/>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277" t="s">
        <v>846</v>
      </c>
      <c r="B95" s="2371" t="s">
        <v>869</v>
      </c>
      <c r="C95" s="2373">
        <f ca="1">ROUND(C85-C86,0)</f>
        <v>85455</v>
      </c>
      <c r="D95" s="612" t="s">
        <v>124</v>
      </c>
      <c r="E95" s="1832"/>
      <c r="F95" s="1921"/>
      <c r="G95" s="1921"/>
      <c r="H95" s="2429"/>
      <c r="I95" s="814"/>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277" t="s">
        <v>849</v>
      </c>
      <c r="B96" s="2371" t="s">
        <v>870</v>
      </c>
      <c r="C96" s="2387">
        <f ca="1">IF(C95&lt;=0,0,C95/C86)</f>
        <v>165.61046511627907</v>
      </c>
      <c r="D96" s="612"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2429"/>
      <c r="I96" s="814"/>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4" t="s">
        <v>871</v>
      </c>
      <c r="B97" s="2375" t="s">
        <v>872</v>
      </c>
      <c r="C97" s="2388">
        <f ca="1">ROUND(IF(C95&lt;=0,0,IF(C96&gt;=200%,C95*60%-C86*35%,IF(C96&gt;=100%,C95*50%-C86*15%,IF(C96&gt;=50%,C95*40%-C86*5%,IF(C96&lt;50%,C95*30%,0))))),0)</f>
        <v>51092</v>
      </c>
      <c r="D97" s="238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34"/>
      <c r="I97" s="814"/>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276"/>
      <c r="B98" s="2197"/>
      <c r="C98" s="2197"/>
      <c r="D98" s="2197"/>
      <c r="E98" s="2328"/>
      <c r="F98" s="2328"/>
      <c r="G98" s="2328"/>
      <c r="H98" s="2262"/>
      <c r="I98" s="282"/>
    </row>
    <row r="99" spans="1:35" ht="21.75" customHeight="1">
      <c r="A99" s="2263" t="s">
        <v>894</v>
      </c>
      <c r="B99" s="2197"/>
      <c r="C99" s="2197"/>
      <c r="D99" s="2197"/>
      <c r="E99" s="2328"/>
      <c r="F99" s="2328"/>
      <c r="G99" s="2328"/>
      <c r="H99" s="2262"/>
      <c r="I99" s="282"/>
    </row>
    <row r="100" spans="1:35" ht="18.75" customHeight="1">
      <c r="A100" s="3309" t="s">
        <v>895</v>
      </c>
      <c r="B100" s="3310"/>
      <c r="C100" s="3310"/>
      <c r="D100" s="3383"/>
      <c r="E100" s="3310" t="s">
        <v>896</v>
      </c>
      <c r="F100" s="3310"/>
      <c r="G100" s="3310"/>
      <c r="H100" s="3383"/>
      <c r="I100" s="282"/>
    </row>
    <row r="101" spans="1:35" ht="18.75" customHeight="1">
      <c r="A101" s="3384" t="s">
        <v>897</v>
      </c>
      <c r="B101" s="3385"/>
      <c r="C101" s="2396" t="str">
        <f>C4</f>
        <v>成本法</v>
      </c>
      <c r="D101" s="2397" t="str">
        <f>D4</f>
        <v>收益法-酒店模型</v>
      </c>
      <c r="E101" s="3397" t="s">
        <v>898</v>
      </c>
      <c r="F101" s="3398"/>
      <c r="G101" s="2436" t="s">
        <v>899</v>
      </c>
      <c r="H101" s="2437">
        <f ca="1">H118</f>
        <v>90270</v>
      </c>
      <c r="I101" s="282"/>
    </row>
    <row r="102" spans="1:35" ht="18.75" customHeight="1">
      <c r="A102" s="3409" t="s">
        <v>900</v>
      </c>
      <c r="B102" s="2398" t="s">
        <v>899</v>
      </c>
      <c r="C102" s="2396">
        <f ca="1">C19</f>
        <v>98595</v>
      </c>
      <c r="D102" s="2397">
        <f ca="1">D19</f>
        <v>81945</v>
      </c>
      <c r="E102" s="3397"/>
      <c r="F102" s="3398"/>
      <c r="G102" s="2436" t="s">
        <v>99</v>
      </c>
      <c r="H102" s="2319">
        <f ca="1">I118</f>
        <v>31117</v>
      </c>
      <c r="I102" s="282"/>
    </row>
    <row r="103" spans="1:35" ht="42.75" customHeight="1">
      <c r="A103" s="3409"/>
      <c r="B103" s="2398" t="s">
        <v>99</v>
      </c>
      <c r="C103" s="2399">
        <f ca="1">C20</f>
        <v>33987</v>
      </c>
      <c r="D103" s="2400">
        <f ca="1">D20</f>
        <v>28247</v>
      </c>
      <c r="E103" s="3386" t="s">
        <v>901</v>
      </c>
      <c r="F103" s="3387"/>
      <c r="G103" s="2438" t="s">
        <v>102</v>
      </c>
      <c r="H103" s="2437">
        <f>IF(D36="正常操作",H104+H105+H106,H105+H106)</f>
        <v>0</v>
      </c>
      <c r="I103" s="282"/>
    </row>
    <row r="104" spans="1:35" ht="18.75" customHeight="1">
      <c r="A104" s="3409" t="s">
        <v>902</v>
      </c>
      <c r="B104" s="2401" t="s">
        <v>899</v>
      </c>
      <c r="C104" s="2402">
        <f ca="1">H118</f>
        <v>90270</v>
      </c>
      <c r="D104" s="2403"/>
      <c r="E104" s="2249" t="s">
        <v>903</v>
      </c>
      <c r="F104" s="2439"/>
      <c r="G104" s="2438" t="s">
        <v>102</v>
      </c>
      <c r="H104" s="2440">
        <f>IF(D36="同一抵押权人同一抵押物续贷",C36&amp;"（续贷，未扣减，详见特别提示）",C36)</f>
        <v>0</v>
      </c>
      <c r="I104" s="282"/>
    </row>
    <row r="105" spans="1:35" ht="18.75" customHeight="1">
      <c r="A105" s="3410"/>
      <c r="B105" s="2404" t="s">
        <v>99</v>
      </c>
      <c r="C105" s="2405">
        <f ca="1">I118</f>
        <v>31117</v>
      </c>
      <c r="D105" s="2406"/>
      <c r="E105" s="2249" t="s">
        <v>904</v>
      </c>
      <c r="F105" s="2439"/>
      <c r="G105" s="2438" t="s">
        <v>102</v>
      </c>
      <c r="H105" s="2441">
        <f>C37</f>
        <v>0</v>
      </c>
      <c r="I105" s="282"/>
    </row>
    <row r="106" spans="1:35" ht="18.75" customHeight="1">
      <c r="A106" s="2197" t="s">
        <v>905</v>
      </c>
      <c r="B106" s="2197"/>
      <c r="C106" s="2197"/>
      <c r="D106" s="2197"/>
      <c r="E106" s="2442" t="s">
        <v>906</v>
      </c>
      <c r="F106" s="2439"/>
      <c r="G106" s="2438" t="s">
        <v>102</v>
      </c>
      <c r="H106" s="2441">
        <f>C38</f>
        <v>0</v>
      </c>
      <c r="I106" s="282"/>
    </row>
    <row r="107" spans="1:35" ht="18.75" customHeight="1">
      <c r="A107" s="282"/>
      <c r="B107" s="282"/>
      <c r="C107" s="282"/>
      <c r="D107" s="282"/>
      <c r="E107" s="3399" t="str">
        <f>IF(项目基本情况!E8="已注销","——","3.房地产抵押价值")</f>
        <v>3.房地产抵押价值</v>
      </c>
      <c r="F107" s="3398"/>
      <c r="G107" s="2436" t="s">
        <v>899</v>
      </c>
      <c r="H107" s="2437">
        <f ca="1">IF(E107="——","——",H101-H103)</f>
        <v>90270</v>
      </c>
      <c r="I107" s="282"/>
    </row>
    <row r="108" spans="1:35" ht="18.75" customHeight="1">
      <c r="A108" s="282"/>
      <c r="B108" s="282"/>
      <c r="C108" s="282"/>
      <c r="D108" s="282"/>
      <c r="E108" s="3399"/>
      <c r="F108" s="3398"/>
      <c r="G108" s="2436" t="s">
        <v>99</v>
      </c>
      <c r="H108" s="2319">
        <f ca="1">ROUND(H107*10000/'数据-汇总表'!E3,0)</f>
        <v>31117</v>
      </c>
      <c r="I108" s="282"/>
    </row>
    <row r="109" spans="1:35" ht="18.75" customHeight="1">
      <c r="A109" s="282"/>
      <c r="B109" s="282"/>
      <c r="C109" s="282"/>
      <c r="D109" s="282"/>
      <c r="E109" s="3399" t="str">
        <f>IF(项目基本情况!E8="已注销及未注销","4.抵押担保权已注销时的房地产抵押价值",IF(项目基本情况!E8="已注销","3.抵押担保权已注销时的房地产抵押价值","——"))</f>
        <v>——</v>
      </c>
      <c r="F109" s="3398"/>
      <c r="G109" s="2436" t="s">
        <v>899</v>
      </c>
      <c r="H109" s="2443" t="str">
        <f>IF(E109="——","——",H101-H105-H106)</f>
        <v>——</v>
      </c>
      <c r="I109" s="282"/>
    </row>
    <row r="110" spans="1:35" ht="18.75" customHeight="1">
      <c r="A110" s="282"/>
      <c r="B110" s="282"/>
      <c r="C110" s="282"/>
      <c r="D110" s="282"/>
      <c r="E110" s="3399"/>
      <c r="F110" s="3398"/>
      <c r="G110" s="2436" t="s">
        <v>99</v>
      </c>
      <c r="H110" s="2319" t="str">
        <f>IF(H109="——","——",ROUND(H109*10000/'数据-汇总表'!E3,0))</f>
        <v>——</v>
      </c>
      <c r="I110" s="282"/>
    </row>
    <row r="111" spans="1:35" ht="18.75" customHeight="1">
      <c r="A111" s="282"/>
      <c r="B111" s="282"/>
      <c r="C111" s="282"/>
      <c r="D111" s="282"/>
      <c r="E111" s="3400" t="str">
        <f>IF(项目基本情况!E9="抵押净值",IF(OR(项目基本情况!E8="已注销",项目基本情况!E8="房地产抵押价值"),"4.抵押净值","5.抵押净值"),"——")</f>
        <v>——</v>
      </c>
      <c r="F111" s="3364"/>
      <c r="G111" s="2436" t="s">
        <v>899</v>
      </c>
      <c r="H111" s="2437" t="str">
        <f>IF(E111="——","——",N59)</f>
        <v>——</v>
      </c>
      <c r="I111" s="282"/>
    </row>
    <row r="112" spans="1:35" ht="18.75" customHeight="1">
      <c r="A112" s="282"/>
      <c r="B112" s="282"/>
      <c r="C112" s="282"/>
      <c r="D112" s="282"/>
      <c r="E112" s="3401"/>
      <c r="F112" s="3402"/>
      <c r="G112" s="2444" t="s">
        <v>99</v>
      </c>
      <c r="H112" s="2445" t="str">
        <f>IF(E111="——","——",N61)</f>
        <v>——</v>
      </c>
      <c r="I112" s="282"/>
    </row>
    <row r="113" spans="1:27" ht="18.75" customHeight="1">
      <c r="A113" s="282"/>
      <c r="B113" s="282"/>
      <c r="C113" s="282"/>
      <c r="D113" s="282"/>
      <c r="E113" s="3388" t="s">
        <v>905</v>
      </c>
      <c r="F113" s="3388"/>
      <c r="G113" s="3388"/>
      <c r="H113" s="3388"/>
      <c r="I113" s="282"/>
    </row>
    <row r="114" spans="1:27" ht="3.75" customHeight="1">
      <c r="A114" s="2197"/>
      <c r="B114" s="2197"/>
      <c r="C114" s="2197"/>
      <c r="D114" s="2197"/>
      <c r="E114" s="2276"/>
      <c r="F114" s="2276"/>
      <c r="G114" s="2276"/>
      <c r="H114" s="2276"/>
      <c r="I114" s="2197"/>
    </row>
    <row r="115" spans="1:27" ht="18.75" customHeight="1">
      <c r="A115" s="3389" t="s">
        <v>907</v>
      </c>
      <c r="B115" s="3390"/>
      <c r="C115" s="3390"/>
      <c r="D115" s="3390"/>
      <c r="E115" s="3390"/>
      <c r="F115" s="3390"/>
      <c r="G115" s="3390"/>
      <c r="H115" s="3390"/>
      <c r="I115" s="3391"/>
    </row>
    <row r="116" spans="1:27" ht="27" customHeight="1">
      <c r="A116" s="3368" t="s">
        <v>908</v>
      </c>
      <c r="B116" s="3378" t="s">
        <v>909</v>
      </c>
      <c r="C116" s="3378" t="s">
        <v>910</v>
      </c>
      <c r="D116" s="3392" t="s">
        <v>911</v>
      </c>
      <c r="E116" s="3393"/>
      <c r="F116" s="3394" t="s">
        <v>912</v>
      </c>
      <c r="G116" s="3394"/>
      <c r="H116" s="3368" t="s">
        <v>913</v>
      </c>
      <c r="I116" s="3368"/>
    </row>
    <row r="117" spans="1:27" ht="18.75" customHeight="1">
      <c r="A117" s="3368"/>
      <c r="B117" s="3379"/>
      <c r="C117" s="3379"/>
      <c r="D117" s="2202" t="s">
        <v>914</v>
      </c>
      <c r="E117" s="2202" t="s">
        <v>741</v>
      </c>
      <c r="F117" s="2202" t="s">
        <v>914</v>
      </c>
      <c r="G117" s="2202" t="s">
        <v>741</v>
      </c>
      <c r="H117" s="2202" t="s">
        <v>914</v>
      </c>
      <c r="I117" s="2202" t="s">
        <v>741</v>
      </c>
    </row>
    <row r="118" spans="1:27" ht="24.75" customHeight="1">
      <c r="A118" s="2407" t="str">
        <f>项目基本情况!S2</f>
        <v>北京市房地产</v>
      </c>
      <c r="B118" s="2202">
        <f>M18</f>
        <v>29009.8</v>
      </c>
      <c r="C118" s="2202">
        <f>M19</f>
        <v>8299.16</v>
      </c>
      <c r="D118" s="2202">
        <f ca="1">ROUND(IF(D32="总价",C34,E118*B118/10000),0)</f>
        <v>71855</v>
      </c>
      <c r="E118" s="2202">
        <f ca="1">ROUND(IF(C33="自定义",IF(D32="楼面单价",C34,D118*10000/B118),I118-G118),0)</f>
        <v>24769</v>
      </c>
      <c r="F118" s="2202">
        <f ca="1">ROUND(IF(D32="总价",C35,G118*B118/10000),0)</f>
        <v>18415</v>
      </c>
      <c r="G118" s="2202">
        <f ca="1">ROUND(IF(D32="楼面单价",C35,F118*10000/B118),0)</f>
        <v>6348</v>
      </c>
      <c r="H118" s="2202">
        <f ca="1">ROUND(IF(D32="总价",C32,I118*B118/10000),0)</f>
        <v>90270</v>
      </c>
      <c r="I118" s="2202">
        <f ca="1">ROUND(IF(D32="楼面单价",C32,H118*10000/B118),0)</f>
        <v>31117</v>
      </c>
    </row>
    <row r="119" spans="1:27" ht="18.75" customHeight="1">
      <c r="A119" s="3368" t="s">
        <v>915</v>
      </c>
      <c r="B119" s="3368"/>
      <c r="C119" s="3368"/>
      <c r="D119" s="3369" t="str">
        <f ca="1">NUMBERSTRING(INT(D118*10000),2)&amp;"元整"</f>
        <v>柒亿壹仟捌佰伍拾伍万元整</v>
      </c>
      <c r="E119" s="3371"/>
      <c r="F119" s="3369" t="str">
        <f ca="1">NUMBERSTRING(INT(F118*10000),2)&amp;"元整"</f>
        <v>壹亿捌仟肆佰壹拾伍万元整</v>
      </c>
      <c r="G119" s="3371"/>
      <c r="H119" s="3369" t="str">
        <f ca="1">NUMBERSTRING(INT(H118*10000),2)&amp;"元整"</f>
        <v>玖亿零贰佰柒拾万元整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2" t="s">
        <v>915</v>
      </c>
      <c r="B121" s="3373"/>
      <c r="C121" s="3374"/>
      <c r="D121" s="3369" t="str">
        <f>IF(D120=0,"零元整",NUMBERSTRING(INT(D120*10000),2)&amp;"元整")</f>
        <v>零元整</v>
      </c>
      <c r="E121" s="3370"/>
      <c r="F121" s="3370"/>
      <c r="G121" s="3370"/>
      <c r="H121" s="3370"/>
      <c r="I121" s="3371"/>
      <c r="AA121" s="245"/>
    </row>
    <row r="122" spans="1:27" ht="18.75" customHeight="1">
      <c r="A122" s="3364" t="str">
        <f>IF(项目基本情况!B9="房地产市场价值","",MID(E107,3,LEN(E107)-2))</f>
        <v>房地产抵押价值</v>
      </c>
      <c r="B122" s="3364"/>
      <c r="C122" s="3364"/>
      <c r="D122" s="3365">
        <f ca="1">H107</f>
        <v>90270</v>
      </c>
      <c r="E122" s="3366"/>
      <c r="F122" s="3366"/>
      <c r="G122" s="3366"/>
      <c r="H122" s="3366"/>
      <c r="I122" s="3367"/>
      <c r="AA122" s="245"/>
    </row>
    <row r="123" spans="1:27" ht="18.75" customHeight="1">
      <c r="A123" s="3368" t="s">
        <v>915</v>
      </c>
      <c r="B123" s="3368"/>
      <c r="C123" s="3368"/>
      <c r="D123" s="3369" t="str">
        <f ca="1">NUMBERSTRING(INT(D122*10000),2)&amp;"元整"</f>
        <v>玖亿零贰佰柒拾万元整</v>
      </c>
      <c r="E123" s="3370"/>
      <c r="F123" s="3370"/>
      <c r="G123" s="3370"/>
      <c r="H123" s="3370"/>
      <c r="I123" s="3371"/>
      <c r="AA123" s="245"/>
    </row>
    <row r="124" spans="1:27" ht="18.75" customHeight="1">
      <c r="A124" s="3364" t="str">
        <f>IF(项目基本情况!B9="房地产市场价值","",MID(E109,3,LEN(E109)-2))</f>
        <v/>
      </c>
      <c r="B124" s="3364"/>
      <c r="C124" s="3364"/>
      <c r="D124" s="3365" t="str">
        <f>H109</f>
        <v>——</v>
      </c>
      <c r="E124" s="3366"/>
      <c r="F124" s="3366"/>
      <c r="G124" s="3366"/>
      <c r="H124" s="3366"/>
      <c r="I124" s="3367"/>
      <c r="AA124" s="245"/>
    </row>
    <row r="125" spans="1:27" ht="18.75" customHeight="1">
      <c r="A125" s="3368" t="s">
        <v>915</v>
      </c>
      <c r="B125" s="3368"/>
      <c r="C125" s="3368"/>
      <c r="D125" s="3369" t="e">
        <f>NUMBERSTRING(INT(D124*10000),2)&amp;"元整"</f>
        <v>#VALUE!</v>
      </c>
      <c r="E125" s="3370"/>
      <c r="F125" s="3370"/>
      <c r="G125" s="3370"/>
      <c r="H125" s="3370"/>
      <c r="I125" s="3371"/>
      <c r="AA125" s="245"/>
    </row>
    <row r="126" spans="1:27" ht="18.75" customHeight="1">
      <c r="A126" s="3364" t="str">
        <f>IF(项目基本情况!B9="房地产市场价值","",MID(E111,3,LEN(E111)-2))</f>
        <v/>
      </c>
      <c r="B126" s="3364"/>
      <c r="C126" s="3364"/>
      <c r="D126" s="3365" t="str">
        <f>H111</f>
        <v>——</v>
      </c>
      <c r="E126" s="3366"/>
      <c r="F126" s="3366"/>
      <c r="G126" s="3366"/>
      <c r="H126" s="3366"/>
      <c r="I126" s="3367"/>
      <c r="AA126" s="245"/>
    </row>
    <row r="127" spans="1:27" ht="18.75" customHeight="1">
      <c r="A127" s="3368" t="s">
        <v>915</v>
      </c>
      <c r="B127" s="3368"/>
      <c r="C127" s="3368"/>
      <c r="D127" s="3369" t="e">
        <f>NUMBERSTRING(INT(D126*10000),2)&amp;"元整"</f>
        <v>#VALUE!</v>
      </c>
      <c r="E127" s="3370"/>
      <c r="F127" s="3370"/>
      <c r="G127" s="3370"/>
      <c r="H127" s="3370"/>
      <c r="I127" s="3371"/>
      <c r="AA127" s="245"/>
    </row>
    <row r="128" spans="1:27" ht="21.75" customHeight="1">
      <c r="A128" s="3403" t="s">
        <v>113</v>
      </c>
      <c r="B128" s="3403"/>
      <c r="C128" s="3403"/>
      <c r="D128" s="3403"/>
      <c r="E128" s="3403"/>
      <c r="F128" s="3403"/>
      <c r="G128" s="3403"/>
      <c r="H128" s="3403"/>
      <c r="I128" s="3403"/>
      <c r="AA128" s="245"/>
    </row>
    <row r="129" spans="1:35" ht="21.75" customHeight="1">
      <c r="A129" s="2456" t="s">
        <v>916</v>
      </c>
      <c r="B129" s="2457"/>
      <c r="C129" s="2458" t="s">
        <v>917</v>
      </c>
      <c r="D129" s="2459"/>
      <c r="E129" s="2459"/>
      <c r="F129" s="2459"/>
      <c r="G129" s="2459"/>
      <c r="H129" s="2470"/>
      <c r="I129" s="2475"/>
      <c r="AA129" s="245"/>
    </row>
    <row r="130" spans="1:35" ht="21.75" customHeight="1">
      <c r="A130" s="2460">
        <v>1</v>
      </c>
      <c r="B130" s="2461"/>
      <c r="C130" s="2461"/>
      <c r="D130" s="2462"/>
      <c r="E130" s="2462"/>
      <c r="F130" s="2462"/>
      <c r="G130" s="2462"/>
      <c r="H130" s="2471"/>
      <c r="I130" s="2476"/>
      <c r="AA130" s="245"/>
    </row>
    <row r="131" spans="1:35" ht="21.75" customHeight="1">
      <c r="A131" s="2460">
        <v>2</v>
      </c>
      <c r="B131" s="2461"/>
      <c r="C131" s="2461"/>
      <c r="D131" s="2462"/>
      <c r="E131" s="2462"/>
      <c r="F131" s="2462"/>
      <c r="G131" s="2462"/>
      <c r="H131" s="2471"/>
      <c r="I131" s="2476"/>
      <c r="AA131" s="245"/>
    </row>
    <row r="132" spans="1:35" ht="21.75" customHeight="1">
      <c r="A132" s="2460">
        <v>3</v>
      </c>
      <c r="B132" s="2461"/>
      <c r="C132" s="2461"/>
      <c r="D132" s="2462"/>
      <c r="E132" s="2462"/>
      <c r="F132" s="2462"/>
      <c r="G132" s="2462"/>
      <c r="H132" s="2471"/>
      <c r="I132" s="2476"/>
      <c r="AA132" s="245"/>
    </row>
    <row r="133" spans="1:35" ht="21.75" customHeight="1">
      <c r="A133" s="2463"/>
      <c r="B133" s="2464"/>
      <c r="C133" s="2464"/>
      <c r="D133" s="2465"/>
      <c r="E133" s="2465"/>
      <c r="F133" s="2465"/>
      <c r="G133" s="2465"/>
      <c r="H133" s="2472"/>
      <c r="I133" s="2477"/>
    </row>
    <row r="134" spans="1:35" ht="21.75" customHeight="1">
      <c r="A134" s="2461"/>
      <c r="B134" s="2461"/>
      <c r="C134" s="2461"/>
      <c r="D134" s="2462"/>
      <c r="E134" s="2462"/>
      <c r="F134" s="2462"/>
      <c r="G134" s="2462"/>
      <c r="H134" s="2471"/>
      <c r="I134" s="245"/>
    </row>
    <row r="135" spans="1:35" ht="21.75" customHeight="1">
      <c r="A135" s="245"/>
      <c r="B135" s="245"/>
      <c r="C135" s="245"/>
      <c r="D135" s="245"/>
      <c r="E135" s="245"/>
      <c r="F135" s="2473" t="s">
        <v>918</v>
      </c>
      <c r="G135" s="2467"/>
      <c r="H135" s="2467"/>
      <c r="I135" s="2478" t="s">
        <v>919</v>
      </c>
    </row>
    <row r="136" spans="1:35" ht="21.75" customHeight="1">
      <c r="A136" s="245"/>
      <c r="B136" s="2466" t="s">
        <v>920</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7"/>
      <c r="C138" s="2467"/>
      <c r="D138" s="2467"/>
      <c r="E138" s="2467"/>
      <c r="F138" s="2467"/>
      <c r="G138" s="2467"/>
      <c r="H138" s="2467"/>
      <c r="I138" s="2478" t="s">
        <v>921</v>
      </c>
    </row>
    <row r="139" spans="1:35" ht="21.75" customHeight="1">
      <c r="A139" s="245"/>
      <c r="B139" s="2466" t="s">
        <v>922</v>
      </c>
      <c r="C139" s="245"/>
      <c r="D139" s="245"/>
      <c r="E139" s="245"/>
      <c r="F139" s="245"/>
      <c r="G139" s="245"/>
      <c r="H139" s="245"/>
      <c r="I139" s="245"/>
    </row>
    <row r="140" spans="1:35" ht="21.75" customHeight="1">
      <c r="A140" s="245"/>
      <c r="B140" s="2466"/>
      <c r="C140" s="245"/>
      <c r="D140" s="245"/>
      <c r="E140" s="245"/>
      <c r="F140" s="245"/>
      <c r="G140" s="245"/>
      <c r="H140" s="245"/>
      <c r="I140" s="245"/>
    </row>
    <row r="141" spans="1:35" ht="21.75" customHeight="1">
      <c r="A141" s="245"/>
      <c r="B141" s="2467"/>
      <c r="C141" s="2467"/>
      <c r="D141" s="2467"/>
      <c r="E141" s="2467"/>
      <c r="F141" s="2467"/>
      <c r="G141" s="2467"/>
      <c r="H141" s="2467"/>
      <c r="I141" s="2478" t="s">
        <v>921</v>
      </c>
    </row>
    <row r="142" spans="1:35" ht="21.75" customHeight="1">
      <c r="A142" s="245"/>
      <c r="B142" s="2466"/>
      <c r="C142" s="2468"/>
      <c r="D142" s="2469"/>
      <c r="E142" s="2469"/>
      <c r="F142" s="2474"/>
      <c r="G142" s="245"/>
      <c r="H142" s="245"/>
      <c r="I142" s="245"/>
    </row>
    <row r="143" spans="1:35" s="242" customFormat="1" ht="21.75" customHeight="1">
      <c r="A143" s="245"/>
      <c r="B143" s="2466"/>
      <c r="C143" s="2468"/>
      <c r="D143" s="2469"/>
      <c r="E143" s="2469"/>
      <c r="F143" s="247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E27" sqref="E27"/>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923</v>
      </c>
      <c r="B1" s="2174"/>
      <c r="C1" s="154"/>
      <c r="D1" s="154"/>
      <c r="E1" s="154"/>
      <c r="F1" s="154"/>
      <c r="G1" s="2180">
        <f>MATCH(B1,'数据-取费表'!A6:A16,0)+5</f>
        <v>7</v>
      </c>
    </row>
    <row r="2" spans="1:9" s="144" customFormat="1" ht="18" customHeight="1">
      <c r="A2" s="155" t="s">
        <v>924</v>
      </c>
      <c r="B2" s="156">
        <f ca="1">IF(D2="——",C52,C52-E2)</f>
        <v>98595</v>
      </c>
      <c r="C2" s="158" t="s">
        <v>925</v>
      </c>
      <c r="D2" s="2176" t="s">
        <v>124</v>
      </c>
      <c r="E2" s="2181" t="e">
        <f ca="1">SUMIF(INDIRECT("'"&amp;G2&amp;"'"&amp;"!A:A"),"承租人权益价值",INDIRECT("'"&amp;G2&amp;"'"&amp;"!c:c"))</f>
        <v>#REF!</v>
      </c>
      <c r="F2" s="2182" t="s">
        <v>925</v>
      </c>
      <c r="G2" s="2183"/>
    </row>
    <row r="3" spans="1:9" s="144" customFormat="1" ht="18" customHeight="1">
      <c r="A3" s="159" t="s">
        <v>926</v>
      </c>
      <c r="B3" s="160">
        <f ca="1">ROUND(B2*10000/(IF(B1="",'数据-汇总表'!E3,INDIRECT("'数据-取费表'!k"&amp;$G$1))),0)</f>
        <v>33987</v>
      </c>
      <c r="C3" s="158" t="s">
        <v>927</v>
      </c>
      <c r="D3" s="158"/>
      <c r="E3" s="158"/>
      <c r="F3" s="158"/>
      <c r="G3" s="158"/>
    </row>
    <row r="4" spans="1:9" s="145" customFormat="1" ht="15.75">
      <c r="A4" s="161" t="s">
        <v>928</v>
      </c>
      <c r="B4" s="162"/>
      <c r="C4" s="162"/>
      <c r="D4" s="162"/>
      <c r="E4" s="162"/>
      <c r="F4" s="162"/>
      <c r="G4" s="208"/>
    </row>
    <row r="5" spans="1:9" s="146" customFormat="1" ht="13.5" customHeight="1">
      <c r="A5" s="163" t="s">
        <v>929</v>
      </c>
      <c r="B5" s="164" t="s">
        <v>930</v>
      </c>
      <c r="C5" s="165">
        <f>C6+C7+C8</f>
        <v>57563</v>
      </c>
      <c r="D5" s="165" t="s">
        <v>931</v>
      </c>
      <c r="E5" s="209" t="s">
        <v>932</v>
      </c>
      <c r="F5" s="209" t="s">
        <v>829</v>
      </c>
      <c r="G5" s="210"/>
    </row>
    <row r="6" spans="1:9" s="146" customFormat="1" ht="13.5" customHeight="1">
      <c r="A6" s="166" t="s">
        <v>933</v>
      </c>
      <c r="B6" s="167" t="s">
        <v>934</v>
      </c>
      <c r="C6" s="168">
        <f>[2]基准地价修正!$B$2</f>
        <v>55296</v>
      </c>
      <c r="D6" s="169"/>
      <c r="E6" s="211"/>
      <c r="F6" s="211"/>
      <c r="G6" s="212"/>
    </row>
    <row r="7" spans="1:9" s="146" customFormat="1" ht="13.5" customHeight="1">
      <c r="A7" s="166" t="s">
        <v>935</v>
      </c>
      <c r="B7" s="167" t="s">
        <v>936</v>
      </c>
      <c r="C7" s="170">
        <f>ROUND(C6*F7,0)</f>
        <v>1687</v>
      </c>
      <c r="D7" s="170"/>
      <c r="E7" s="211"/>
      <c r="F7" s="213">
        <f>IF(项目基本情况!B8="出让",0,'数据-取费表'!B48+'数据-取费表'!B49)</f>
        <v>3.0499999999999999E-2</v>
      </c>
      <c r="G7" s="212"/>
    </row>
    <row r="8" spans="1:9" s="147" customFormat="1">
      <c r="A8" s="166" t="s">
        <v>937</v>
      </c>
      <c r="B8" s="167" t="s">
        <v>938</v>
      </c>
      <c r="C8" s="170">
        <f>IF(G8="已包含在土地购买价格中","0",IF(B1="",'数据-取费表'!B29,IF(G9="全部缴纳",C9+C10,H9)))</f>
        <v>580</v>
      </c>
      <c r="D8" s="171"/>
      <c r="E8" s="170"/>
      <c r="F8" s="213"/>
      <c r="G8" s="2184" t="s">
        <v>939</v>
      </c>
    </row>
    <row r="9" spans="1:9" s="146" customFormat="1" ht="13.5" customHeight="1">
      <c r="A9" s="172" t="s">
        <v>940</v>
      </c>
      <c r="B9" s="173" t="s">
        <v>941</v>
      </c>
      <c r="C9" s="174">
        <f ca="1">ROUND(D9*E9/10000,0)</f>
        <v>0</v>
      </c>
      <c r="D9" s="175">
        <f ca="1">IF(B1="",'数据-汇总表'!E5,IF(INDIRECT("'数据-取费表'!c"&amp;$G$1)="住宅",INDIRECT("'数据-取费表'!k"&amp;$G$1),0))</f>
        <v>0</v>
      </c>
      <c r="E9" s="174">
        <f>'数据-取费表'!B27</f>
        <v>0</v>
      </c>
      <c r="F9" s="213"/>
      <c r="G9" s="2188" t="s">
        <v>942</v>
      </c>
      <c r="H9" s="2189"/>
      <c r="I9" s="2190" t="s">
        <v>943</v>
      </c>
    </row>
    <row r="10" spans="1:9" s="146" customFormat="1" ht="13.5" customHeight="1">
      <c r="A10" s="172" t="s">
        <v>944</v>
      </c>
      <c r="B10" s="173" t="s">
        <v>945</v>
      </c>
      <c r="C10" s="174">
        <f ca="1">ROUND(D10*E10/10000,0)</f>
        <v>580</v>
      </c>
      <c r="D10" s="175">
        <f ca="1">IF(B1="",'数据-汇总表'!E6,IF(INDIRECT("'数据-取费表'!c"&amp;$G$1)="住宅",INDIRECT("'数据-取费表'!s"&amp;$G$1),INDIRECT("'数据-取费表'!k"&amp;$G$1)+INDIRECT("'数据-取费表'!s"&amp;$G$1)))</f>
        <v>29009.8</v>
      </c>
      <c r="E10" s="174">
        <f>'数据-取费表'!B28</f>
        <v>200</v>
      </c>
      <c r="F10" s="213"/>
      <c r="G10" s="215"/>
    </row>
    <row r="11" spans="1:9" s="146" customFormat="1" ht="13.5" hidden="1" customHeight="1">
      <c r="A11" s="176" t="s">
        <v>946</v>
      </c>
      <c r="B11" s="167" t="s">
        <v>947</v>
      </c>
      <c r="C11" s="165"/>
      <c r="D11" s="177"/>
      <c r="E11" s="211"/>
      <c r="F11" s="211"/>
      <c r="G11" s="212"/>
    </row>
    <row r="12" spans="1:9" s="146" customFormat="1" ht="13.5" hidden="1" customHeight="1">
      <c r="A12" s="176" t="s">
        <v>948</v>
      </c>
      <c r="B12" s="167" t="s">
        <v>865</v>
      </c>
      <c r="C12" s="165">
        <v>0</v>
      </c>
      <c r="D12" s="177"/>
      <c r="E12" s="216"/>
      <c r="F12" s="213">
        <v>3.0499999999999999E-2</v>
      </c>
      <c r="G12" s="212"/>
    </row>
    <row r="13" spans="1:9" s="146" customFormat="1" ht="13.5" hidden="1" customHeight="1">
      <c r="A13" s="176" t="s">
        <v>949</v>
      </c>
      <c r="B13" s="167" t="s">
        <v>950</v>
      </c>
      <c r="C13" s="165"/>
      <c r="D13" s="177"/>
      <c r="E13" s="211"/>
      <c r="F13" s="211"/>
      <c r="G13" s="212"/>
    </row>
    <row r="14" spans="1:9" s="146" customFormat="1" ht="13.5" hidden="1" customHeight="1">
      <c r="A14" s="176" t="s">
        <v>951</v>
      </c>
      <c r="B14" s="167" t="s">
        <v>938</v>
      </c>
      <c r="C14" s="165"/>
      <c r="D14" s="177"/>
      <c r="E14" s="211"/>
      <c r="F14" s="211"/>
      <c r="G14" s="212" t="s">
        <v>952</v>
      </c>
    </row>
    <row r="15" spans="1:9" s="146" customFormat="1" ht="13.5" hidden="1" customHeight="1">
      <c r="A15" s="176" t="s">
        <v>953</v>
      </c>
      <c r="B15" s="167" t="s">
        <v>954</v>
      </c>
      <c r="C15" s="170"/>
      <c r="D15" s="177"/>
      <c r="E15" s="211"/>
      <c r="F15" s="211"/>
      <c r="G15" s="212" t="s">
        <v>955</v>
      </c>
    </row>
    <row r="16" spans="1:9"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t="str">
        <f>IF(G19="已包含在土地取得成本中","0",ROUND(D19*E19/10000,0))</f>
        <v>0</v>
      </c>
      <c r="D19" s="181">
        <f ca="1">D9+D10</f>
        <v>29009.8</v>
      </c>
      <c r="E19" s="165">
        <f>'数据-取费表'!B31</f>
        <v>200</v>
      </c>
      <c r="F19" s="217"/>
      <c r="G19" s="2184" t="s">
        <v>964</v>
      </c>
    </row>
    <row r="20" spans="1:7" s="146" customFormat="1" ht="13.5" customHeight="1">
      <c r="A20" s="163" t="s">
        <v>965</v>
      </c>
      <c r="B20" s="164" t="s">
        <v>966</v>
      </c>
      <c r="C20" s="182">
        <f>ROUND((C5+C19)*F20,0)</f>
        <v>1151</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185">
        <f ca="1">ROUND(SUM(C23:C25),0)</f>
        <v>4925</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187">
        <f ca="1">ROUND(IF('数据-取费表'!B22&lt;=1,C5*F22*'数据-取费表'!B23,C5*(POWER((1+F22),'数据-取费表'!B23)-1)),0)</f>
        <v>4877</v>
      </c>
      <c r="D23" s="188"/>
      <c r="E23" s="188"/>
      <c r="F23" s="222"/>
      <c r="G23" s="223" t="s">
        <v>975</v>
      </c>
    </row>
    <row r="24" spans="1:7" s="146" customFormat="1" ht="13.5" customHeight="1">
      <c r="A24" s="186" t="s">
        <v>935</v>
      </c>
      <c r="B24" s="167" t="s">
        <v>976</v>
      </c>
      <c r="C24" s="187">
        <f ca="1">ROUND(IF('数据-取费表'!B22&lt;=1,C19*F22*('数据-取费表'!B19/2+'数据-取费表'!B21),C19*(POWER((1+F22),('数据-取费表'!B19/2+'数据-取费表'!B21))-1)),0)</f>
        <v>0</v>
      </c>
      <c r="D24" s="188"/>
      <c r="E24" s="188"/>
      <c r="F24" s="222"/>
      <c r="G24" s="223" t="s">
        <v>977</v>
      </c>
    </row>
    <row r="25" spans="1:7" s="146" customFormat="1" ht="24">
      <c r="A25" s="186" t="s">
        <v>937</v>
      </c>
      <c r="B25" s="167" t="s">
        <v>978</v>
      </c>
      <c r="C25" s="187">
        <f ca="1">ROUND(IF('数据-取费表'!B22&lt;=1,C20*F22*'数据-取费表'!B23/2,C20*(POWER((1+F22),'数据-取费表'!B23/2)-1)),0)</f>
        <v>48</v>
      </c>
      <c r="D25" s="188"/>
      <c r="E25" s="224"/>
      <c r="F25" s="222"/>
      <c r="G25" s="225" t="s">
        <v>979</v>
      </c>
    </row>
    <row r="26" spans="1:7" s="146" customFormat="1">
      <c r="A26" s="186" t="s">
        <v>980</v>
      </c>
      <c r="B26" s="167" t="s">
        <v>981</v>
      </c>
      <c r="C26" s="188">
        <f ca="1">ROUND(IF('数据-取费表'!B22&lt;=1,F21*F22*'数据-取费表'!B23/2,F21*(POWER((1+F22),'数据-取费表'!B23/2)-1)),4)</f>
        <v>8.0000000000000004E-4</v>
      </c>
      <c r="D26" s="188"/>
      <c r="E26" s="224"/>
      <c r="F26" s="222"/>
      <c r="G26" s="226"/>
    </row>
    <row r="27" spans="1:7" s="146" customFormat="1" ht="24.75">
      <c r="A27" s="163" t="s">
        <v>982</v>
      </c>
      <c r="B27" s="189" t="s">
        <v>983</v>
      </c>
      <c r="C27" s="190">
        <f ca="1">C28</f>
        <v>8807</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ROUND((C5+C19+C20)*F27*'数据-取费表'!B21/'数据-取费表'!B20,0)</f>
        <v>8807</v>
      </c>
      <c r="D28" s="183"/>
      <c r="E28" s="184"/>
      <c r="F28" s="227"/>
      <c r="G28" s="228"/>
    </row>
    <row r="29" spans="1:7" s="146" customFormat="1" ht="13.5" customHeight="1">
      <c r="A29" s="186" t="s">
        <v>935</v>
      </c>
      <c r="B29" s="191" t="s">
        <v>986</v>
      </c>
      <c r="C29" s="188">
        <f ca="1">ROUND(C21*F27*'数据-取费表'!B21/'数据-取费表'!B20,4)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78498</v>
      </c>
      <c r="D31" s="194"/>
      <c r="E31" s="165"/>
      <c r="F31" s="229"/>
      <c r="G31" s="220" t="s">
        <v>991</v>
      </c>
    </row>
    <row r="32" spans="1:7" s="145" customFormat="1" ht="15.75">
      <c r="A32" s="195" t="s">
        <v>992</v>
      </c>
      <c r="B32" s="196"/>
      <c r="C32" s="196"/>
      <c r="D32" s="196"/>
      <c r="E32" s="196"/>
      <c r="F32" s="196"/>
      <c r="G32" s="230"/>
    </row>
    <row r="33" spans="1:7" s="146" customFormat="1" ht="13.5" customHeight="1">
      <c r="A33" s="163" t="s">
        <v>929</v>
      </c>
      <c r="B33" s="164" t="s">
        <v>993</v>
      </c>
      <c r="C33" s="197">
        <f ca="1">SUM(C34:C38)</f>
        <v>21801</v>
      </c>
      <c r="D33" s="182"/>
      <c r="E33" s="209"/>
      <c r="F33" s="224"/>
      <c r="G33" s="220"/>
    </row>
    <row r="34" spans="1:7" s="148" customFormat="1" ht="13.5" customHeight="1">
      <c r="A34" s="186" t="s">
        <v>933</v>
      </c>
      <c r="B34" s="167" t="s">
        <v>994</v>
      </c>
      <c r="C34" s="170">
        <f ca="1">IF(B1="",IF(F34=100%,'数据-取费表'!M16,'数据-取费表'!O16),IF(F34=100%,INDIRECT("'数据-取费表'!m"&amp;$G$1)+INDIRECT("'数据-取费表'!t"&amp;$G$1),INDIRECT("'数据-取费表'!o"&amp;$G$1)+INDIRECT("'数据-取费表'!aq"&amp;$G$1)))</f>
        <v>20307</v>
      </c>
      <c r="D34" s="169"/>
      <c r="E34" s="170"/>
      <c r="F34" s="231">
        <f ca="1">IF('数据-取费表'!B24=0,1,IF(B1="",'数据-取费表'!N16,INDIRECT("'数据-取费表'!n"&amp;$G$1)))</f>
        <v>1</v>
      </c>
      <c r="G34" s="212" t="s">
        <v>995</v>
      </c>
    </row>
    <row r="35" spans="1:7" ht="13.5" customHeight="1">
      <c r="A35" s="186" t="s">
        <v>935</v>
      </c>
      <c r="B35" s="167" t="s">
        <v>996</v>
      </c>
      <c r="C35" s="170">
        <f ca="1">ROUND(C34*F35,0)</f>
        <v>609</v>
      </c>
      <c r="D35" s="170"/>
      <c r="E35" s="170"/>
      <c r="F35" s="232">
        <f>'数据-取费表'!B33</f>
        <v>0.03</v>
      </c>
      <c r="G35" s="212" t="s">
        <v>997</v>
      </c>
    </row>
    <row r="36" spans="1:7" ht="24">
      <c r="A36" s="186" t="s">
        <v>937</v>
      </c>
      <c r="B36" s="167" t="s">
        <v>998</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999</v>
      </c>
    </row>
    <row r="37" spans="1:7" s="148" customFormat="1" ht="13.5" customHeight="1">
      <c r="A37" s="186" t="s">
        <v>980</v>
      </c>
      <c r="B37" s="167" t="s">
        <v>1000</v>
      </c>
      <c r="C37" s="192">
        <f ca="1">ROUND(E37*D37*F34/10000,0)</f>
        <v>580</v>
      </c>
      <c r="D37" s="169">
        <f ca="1">D19</f>
        <v>29009.8</v>
      </c>
      <c r="E37" s="192">
        <f>'数据-取费表'!B35</f>
        <v>200</v>
      </c>
      <c r="F37" s="232"/>
      <c r="G37" s="234" t="s">
        <v>1001</v>
      </c>
    </row>
    <row r="38" spans="1:7" ht="13.5" customHeight="1">
      <c r="A38" s="186" t="s">
        <v>1002</v>
      </c>
      <c r="B38" s="167" t="s">
        <v>865</v>
      </c>
      <c r="C38" s="170">
        <f ca="1">ROUND(C34*F38,0)</f>
        <v>305</v>
      </c>
      <c r="D38" s="170"/>
      <c r="E38" s="170"/>
      <c r="F38" s="232">
        <f>'数据-取费表'!B36</f>
        <v>1.4999999999999999E-2</v>
      </c>
      <c r="G38" s="212" t="s">
        <v>997</v>
      </c>
    </row>
    <row r="39" spans="1:7" s="146" customFormat="1" ht="13.5" customHeight="1">
      <c r="A39" s="163" t="s">
        <v>962</v>
      </c>
      <c r="B39" s="164" t="s">
        <v>966</v>
      </c>
      <c r="C39" s="182">
        <f ca="1">ROUND(C33*F20,0)</f>
        <v>436</v>
      </c>
      <c r="D39" s="182"/>
      <c r="E39" s="182"/>
      <c r="F39" s="2185">
        <f>F20</f>
        <v>0.02</v>
      </c>
      <c r="G39" s="220" t="s">
        <v>1003</v>
      </c>
    </row>
    <row r="40" spans="1:7" s="146" customFormat="1" ht="13.5" customHeight="1">
      <c r="A40" s="163" t="s">
        <v>965</v>
      </c>
      <c r="B40" s="164" t="s">
        <v>969</v>
      </c>
      <c r="C40" s="2179">
        <f>F21</f>
        <v>0.02</v>
      </c>
      <c r="D40" s="184" t="s">
        <v>1004</v>
      </c>
      <c r="E40" s="182"/>
      <c r="F40" s="2185">
        <f>F21</f>
        <v>0.02</v>
      </c>
      <c r="G40" s="220" t="s">
        <v>1005</v>
      </c>
    </row>
    <row r="41" spans="1:7" s="146" customFormat="1" ht="13.5" customHeight="1">
      <c r="A41" s="163" t="s">
        <v>968</v>
      </c>
      <c r="B41" s="164" t="s">
        <v>973</v>
      </c>
      <c r="C41" s="182">
        <f ca="1">ROUND(SUM(C42:C43),0)</f>
        <v>923</v>
      </c>
      <c r="D41" s="183">
        <f ca="1">C44</f>
        <v>8.0000000000000004E-4</v>
      </c>
      <c r="E41" s="184" t="s">
        <v>1004</v>
      </c>
      <c r="F41" s="2186">
        <f ca="1">F22</f>
        <v>4.1499999999999995E-2</v>
      </c>
      <c r="G41" s="220" t="str">
        <f>IF('数据-取费表'!B22&lt;=1,"单利计息","复利计息")</f>
        <v>复利计息</v>
      </c>
    </row>
    <row r="42" spans="1:7" ht="13.5" customHeight="1">
      <c r="A42" s="186" t="s">
        <v>933</v>
      </c>
      <c r="B42" s="167" t="s">
        <v>974</v>
      </c>
      <c r="C42" s="188">
        <f ca="1">ROUND(IF('数据-取费表'!B22&lt;=1,C33*F22*'数据-取费表'!B21/2,C33*(POWER((1+F22),'数据-取费表'!B21/2)-1)),0)</f>
        <v>905</v>
      </c>
      <c r="D42" s="188"/>
      <c r="E42" s="188"/>
      <c r="F42" s="222"/>
      <c r="G42" s="3412" t="s">
        <v>1006</v>
      </c>
    </row>
    <row r="43" spans="1:7" ht="13.5" customHeight="1">
      <c r="A43" s="186" t="s">
        <v>935</v>
      </c>
      <c r="B43" s="167" t="s">
        <v>976</v>
      </c>
      <c r="C43" s="188">
        <f ca="1">ROUND(IF('数据-取费表'!B22&lt;=1,C39*F22*'数据-取费表'!B21/2,C39*(POWER((1+F22),'数据-取费表'!B21/2)-1)),0)</f>
        <v>18</v>
      </c>
      <c r="D43" s="188"/>
      <c r="E43" s="188"/>
      <c r="F43" s="222"/>
      <c r="G43" s="3413"/>
    </row>
    <row r="44" spans="1:7" ht="13.5" customHeight="1">
      <c r="A44" s="186" t="s">
        <v>937</v>
      </c>
      <c r="B44" s="167" t="s">
        <v>978</v>
      </c>
      <c r="C44" s="188">
        <f ca="1">ROUND(IF('数据-取费表'!B22&lt;=1,C40*F22*'数据-取费表'!B21/2,C40*(POWER((1+F22),'数据-取费表'!B21/2)-1)),4)</f>
        <v>8.0000000000000004E-4</v>
      </c>
      <c r="D44" s="188"/>
      <c r="E44" s="188"/>
      <c r="F44" s="222"/>
      <c r="G44" s="3414"/>
    </row>
    <row r="45" spans="1:7" s="146" customFormat="1" ht="13.5" customHeight="1">
      <c r="A45" s="163" t="s">
        <v>972</v>
      </c>
      <c r="B45" s="189" t="s">
        <v>983</v>
      </c>
      <c r="C45" s="190">
        <f ca="1">C46</f>
        <v>3336</v>
      </c>
      <c r="D45" s="183">
        <f ca="1">C47</f>
        <v>3.0000000000000001E-3</v>
      </c>
      <c r="E45" s="184" t="s">
        <v>1004</v>
      </c>
      <c r="F45" s="2187">
        <f ca="1">F27</f>
        <v>0.15</v>
      </c>
      <c r="G45" s="228" t="s">
        <v>1007</v>
      </c>
    </row>
    <row r="46" spans="1:7" s="146" customFormat="1" ht="13.5" customHeight="1">
      <c r="A46" s="186" t="s">
        <v>933</v>
      </c>
      <c r="B46" s="191" t="s">
        <v>1008</v>
      </c>
      <c r="C46" s="192">
        <f ca="1">ROUND((C33+C39)*F27,0)</f>
        <v>3336</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2179">
        <f>ROUND(F30/(1+'数据-取费表'!C42),4)</f>
        <v>5.33E-2</v>
      </c>
      <c r="D48" s="184" t="s">
        <v>1004</v>
      </c>
      <c r="E48" s="182"/>
      <c r="F48" s="2186">
        <f>F30</f>
        <v>5.6000000000000001E-2</v>
      </c>
      <c r="G48" s="220" t="s">
        <v>1010</v>
      </c>
    </row>
    <row r="49" spans="1:7" ht="16.5" customHeight="1">
      <c r="A49" s="163" t="s">
        <v>987</v>
      </c>
      <c r="B49" s="164" t="s">
        <v>1011</v>
      </c>
      <c r="C49" s="182">
        <f ca="1">ROUND((C33+C39+C41+C45)/(1-C40-D41-D45-C48),0)</f>
        <v>28710</v>
      </c>
      <c r="D49" s="182"/>
      <c r="E49" s="182"/>
      <c r="F49" s="235"/>
      <c r="G49" s="220" t="s">
        <v>1012</v>
      </c>
    </row>
    <row r="50" spans="1:7" s="148" customFormat="1" ht="24">
      <c r="A50" s="163" t="s">
        <v>1013</v>
      </c>
      <c r="B50" s="164" t="s">
        <v>1014</v>
      </c>
      <c r="C50" s="182"/>
      <c r="D50" s="182"/>
      <c r="E50" s="182"/>
      <c r="F50" s="235">
        <f>IF('数据-取费表'!B24=0,'数据-取费表'!N16,1)</f>
        <v>0.7</v>
      </c>
      <c r="G50" s="228" t="s">
        <v>1015</v>
      </c>
    </row>
    <row r="51" spans="1:7" ht="16.5" customHeight="1">
      <c r="A51" s="163" t="s">
        <v>1016</v>
      </c>
      <c r="B51" s="164" t="s">
        <v>1017</v>
      </c>
      <c r="C51" s="182">
        <f ca="1">ROUND(C49*F50,0)</f>
        <v>20097</v>
      </c>
      <c r="D51" s="182"/>
      <c r="E51" s="182"/>
      <c r="F51" s="235"/>
      <c r="G51" s="220" t="s">
        <v>1018</v>
      </c>
    </row>
    <row r="52" spans="1:7" s="145" customFormat="1" ht="15.75">
      <c r="A52" s="200" t="s">
        <v>1019</v>
      </c>
      <c r="B52" s="201"/>
      <c r="C52" s="202">
        <f ca="1">C31+C51</f>
        <v>98595</v>
      </c>
      <c r="D52" s="201"/>
      <c r="E52" s="201"/>
      <c r="F52" s="201"/>
      <c r="G52" s="236"/>
    </row>
    <row r="55" spans="1:7" ht="15">
      <c r="B55" s="203" t="s">
        <v>1020</v>
      </c>
      <c r="C55" s="204"/>
    </row>
    <row r="56" spans="1:7">
      <c r="B56" s="205" t="s">
        <v>1021</v>
      </c>
      <c r="C56" s="207">
        <f ca="1">1-C57</f>
        <v>0.79600000000000004</v>
      </c>
    </row>
    <row r="57" spans="1:7">
      <c r="B57" s="205" t="s">
        <v>1022</v>
      </c>
      <c r="C57" s="206">
        <f ca="1">ROUND(C51/C52,3)</f>
        <v>0.20399999999999999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99" customWidth="1"/>
    <col min="2" max="9" width="10" style="3199" customWidth="1"/>
    <col min="10" max="16384" width="9" style="3199"/>
  </cols>
  <sheetData>
    <row r="36" spans="1:9">
      <c r="A36" s="3198" t="s">
        <v>75</v>
      </c>
      <c r="B36" s="3198" t="s">
        <v>76</v>
      </c>
    </row>
    <row r="37" spans="1:9" ht="27.75" customHeight="1">
      <c r="A37" s="3198"/>
      <c r="B37" s="3223" t="str">
        <f>项目基本情况!B1</f>
        <v>北京市房地产抵押价值预评估</v>
      </c>
      <c r="C37" s="3223"/>
      <c r="D37" s="3223"/>
      <c r="E37" s="3223"/>
      <c r="F37" s="3223"/>
      <c r="G37" s="3223"/>
      <c r="H37" s="3223"/>
      <c r="I37" s="3223"/>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ht="12.75">
      <c r="B46" s="3201" t="str">
        <f ca="1">项目基本情况!K4</f>
        <v>郑燚（注册号：1120070131)、崔锴（注册号：0)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923</v>
      </c>
      <c r="B1" s="2174"/>
      <c r="C1" s="2175" t="s">
        <v>1023</v>
      </c>
      <c r="D1" s="154"/>
      <c r="E1" s="154"/>
      <c r="F1" s="154"/>
      <c r="G1" s="2180">
        <f>MATCH(B1,'数据-取费表'!A6:A16,0)+5</f>
        <v>7</v>
      </c>
      <c r="H1" s="1545" t="str">
        <f>IF(ISERROR(FIND("住宅",B1)),"非住宅","住宅")</f>
        <v>非住宅</v>
      </c>
    </row>
    <row r="2" spans="1:8" s="144" customFormat="1" ht="18" customHeight="1">
      <c r="A2" s="155" t="s">
        <v>924</v>
      </c>
      <c r="B2" s="156">
        <f ca="1">ROUND(IF(D2="——",C52/10000,C52/10000-E2),0)</f>
        <v>21678</v>
      </c>
      <c r="C2" s="158" t="s">
        <v>925</v>
      </c>
      <c r="D2" s="2176" t="s">
        <v>124</v>
      </c>
      <c r="E2" s="2181" t="e">
        <f ca="1">SUMIF(INDIRECT("'"&amp;G2&amp;"'"&amp;"!A:A"),"承租人权益价值",INDIRECT("'"&amp;G2&amp;"'"&amp;"!c:c"))</f>
        <v>#REF!</v>
      </c>
      <c r="F2" s="2182" t="s">
        <v>925</v>
      </c>
      <c r="G2" s="2183"/>
    </row>
    <row r="3" spans="1:8" s="144" customFormat="1" ht="18" customHeight="1">
      <c r="A3" s="159" t="s">
        <v>926</v>
      </c>
      <c r="B3" s="160">
        <f ca="1">ROUND(B2*10000/(IF(B1="",'数据-汇总表'!E3,INDIRECT("'数据-取费表'!k"&amp;$G$1))),0)</f>
        <v>7473</v>
      </c>
      <c r="C3" s="158" t="s">
        <v>927</v>
      </c>
      <c r="D3" s="158"/>
      <c r="E3" s="158"/>
      <c r="F3" s="158"/>
      <c r="G3" s="158"/>
    </row>
    <row r="4" spans="1:8" s="145" customFormat="1" ht="15.75">
      <c r="A4" s="161" t="s">
        <v>928</v>
      </c>
      <c r="B4" s="162"/>
      <c r="C4" s="162"/>
      <c r="D4" s="162"/>
      <c r="E4" s="162"/>
      <c r="F4" s="162"/>
      <c r="G4" s="208"/>
    </row>
    <row r="5" spans="1:8" s="146" customFormat="1" ht="13.5" customHeight="1">
      <c r="A5" s="163" t="s">
        <v>929</v>
      </c>
      <c r="B5" s="164" t="s">
        <v>930</v>
      </c>
      <c r="C5" s="165">
        <f ca="1">C6+C7+C8</f>
        <v>5801960</v>
      </c>
      <c r="D5" s="165" t="s">
        <v>931</v>
      </c>
      <c r="E5" s="209" t="s">
        <v>932</v>
      </c>
      <c r="F5" s="209" t="s">
        <v>829</v>
      </c>
      <c r="G5" s="210"/>
    </row>
    <row r="6" spans="1:8" s="146" customFormat="1" ht="13.5" customHeight="1">
      <c r="A6" s="166" t="s">
        <v>933</v>
      </c>
      <c r="B6" s="167" t="s">
        <v>934</v>
      </c>
      <c r="C6" s="168"/>
      <c r="D6" s="169"/>
      <c r="E6" s="211"/>
      <c r="F6" s="211"/>
      <c r="G6" s="212"/>
    </row>
    <row r="7" spans="1:8" s="146" customFormat="1" ht="13.5" customHeight="1">
      <c r="A7" s="166" t="s">
        <v>935</v>
      </c>
      <c r="B7" s="167" t="s">
        <v>936</v>
      </c>
      <c r="C7" s="170">
        <f>ROUND(C6*F7,0)</f>
        <v>0</v>
      </c>
      <c r="D7" s="170"/>
      <c r="E7" s="211"/>
      <c r="F7" s="213">
        <f>IF(项目基本情况!B8="出让",0,'数据-取费表'!B48+'数据-取费表'!B49)</f>
        <v>3.0499999999999999E-2</v>
      </c>
      <c r="G7" s="212"/>
    </row>
    <row r="8" spans="1:8" s="147" customFormat="1">
      <c r="A8" s="166" t="s">
        <v>937</v>
      </c>
      <c r="B8" s="167" t="s">
        <v>938</v>
      </c>
      <c r="C8" s="170">
        <f ca="1">IF(G8="已包含在土地购买价格中",0,C9+C10)</f>
        <v>5801960</v>
      </c>
      <c r="D8" s="171"/>
      <c r="E8" s="170"/>
      <c r="F8" s="213"/>
      <c r="G8" s="2184"/>
    </row>
    <row r="9" spans="1:8" s="146" customFormat="1" ht="13.5" customHeight="1">
      <c r="A9" s="172" t="s">
        <v>940</v>
      </c>
      <c r="B9" s="173" t="s">
        <v>941</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944</v>
      </c>
      <c r="B10" s="173" t="s">
        <v>945</v>
      </c>
      <c r="C10" s="174">
        <f ca="1">ROUND(D10*E10,0)</f>
        <v>5801960</v>
      </c>
      <c r="D10" s="175">
        <f ca="1">IF(B1="",'数据-汇总表'!E6,IF(INDIRECT("'数据-取费表'!c"&amp;$G$1)="住宅",INDIRECT("'数据-取费表'!s"&amp;$G$1),INDIRECT("'数据-取费表'!k"&amp;$G$1)+INDIRECT("'数据-取费表'!s"&amp;$G$1)))</f>
        <v>29009.8</v>
      </c>
      <c r="E10" s="174">
        <f>'数据-取费表'!B28</f>
        <v>200</v>
      </c>
      <c r="F10" s="213"/>
      <c r="G10" s="215"/>
    </row>
    <row r="11" spans="1:8" s="146" customFormat="1" ht="13.5" hidden="1" customHeight="1">
      <c r="A11" s="176" t="s">
        <v>946</v>
      </c>
      <c r="B11" s="167" t="s">
        <v>947</v>
      </c>
      <c r="C11" s="165"/>
      <c r="D11" s="177"/>
      <c r="E11" s="211"/>
      <c r="F11" s="211"/>
      <c r="G11" s="212"/>
    </row>
    <row r="12" spans="1:8" s="146" customFormat="1" ht="13.5" hidden="1" customHeight="1">
      <c r="A12" s="176" t="s">
        <v>948</v>
      </c>
      <c r="B12" s="167" t="s">
        <v>865</v>
      </c>
      <c r="C12" s="165">
        <v>0</v>
      </c>
      <c r="D12" s="177"/>
      <c r="E12" s="216"/>
      <c r="F12" s="213">
        <v>3.0499999999999999E-2</v>
      </c>
      <c r="G12" s="212"/>
    </row>
    <row r="13" spans="1:8" s="146" customFormat="1" ht="13.5" hidden="1" customHeight="1">
      <c r="A13" s="176" t="s">
        <v>949</v>
      </c>
      <c r="B13" s="167" t="s">
        <v>950</v>
      </c>
      <c r="C13" s="165"/>
      <c r="D13" s="177"/>
      <c r="E13" s="211"/>
      <c r="F13" s="211"/>
      <c r="G13" s="212"/>
    </row>
    <row r="14" spans="1:8" s="146" customFormat="1" ht="13.5" hidden="1" customHeight="1">
      <c r="A14" s="176" t="s">
        <v>951</v>
      </c>
      <c r="B14" s="167" t="s">
        <v>938</v>
      </c>
      <c r="C14" s="165"/>
      <c r="D14" s="177"/>
      <c r="E14" s="211"/>
      <c r="F14" s="211"/>
      <c r="G14" s="212" t="s">
        <v>952</v>
      </c>
    </row>
    <row r="15" spans="1:8" s="146" customFormat="1" ht="13.5" hidden="1" customHeight="1">
      <c r="A15" s="176" t="s">
        <v>953</v>
      </c>
      <c r="B15" s="167" t="s">
        <v>954</v>
      </c>
      <c r="C15" s="170"/>
      <c r="D15" s="177"/>
      <c r="E15" s="211"/>
      <c r="F15" s="211"/>
      <c r="G15" s="212" t="s">
        <v>955</v>
      </c>
    </row>
    <row r="16" spans="1:8"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f ca="1">IF(G19="已包含在土地取得成本中","0",ROUND(D19*E19,0))</f>
        <v>5801960</v>
      </c>
      <c r="D19" s="181">
        <f ca="1">D9+D10</f>
        <v>29009.8</v>
      </c>
      <c r="E19" s="165">
        <f>'数据-取费表'!B31</f>
        <v>200</v>
      </c>
      <c r="F19" s="217"/>
      <c r="G19" s="2184"/>
    </row>
    <row r="20" spans="1:7" s="146" customFormat="1" ht="13.5" customHeight="1">
      <c r="A20" s="163" t="s">
        <v>965</v>
      </c>
      <c r="B20" s="164" t="s">
        <v>966</v>
      </c>
      <c r="C20" s="182">
        <f ca="1">ROUND((C5+C19)*F20,0)</f>
        <v>232078</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2177">
        <f ca="1">ROUND(SUM(C23:C25),0)</f>
        <v>992741</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2178">
        <f ca="1">ROUND(IF('数据-取费表'!B22&lt;=1,C5*F22*'数据-取费表'!B22,C5*(POWER((1+F22),'数据-取费表'!B22)-1)),0)</f>
        <v>491555</v>
      </c>
      <c r="D23" s="188"/>
      <c r="E23" s="188"/>
      <c r="F23" s="222"/>
      <c r="G23" s="223" t="s">
        <v>975</v>
      </c>
    </row>
    <row r="24" spans="1:7" s="146" customFormat="1" ht="13.5" customHeight="1">
      <c r="A24" s="186" t="s">
        <v>935</v>
      </c>
      <c r="B24" s="167" t="s">
        <v>976</v>
      </c>
      <c r="C24" s="2178">
        <f ca="1">ROUND(IF('数据-取费表'!B22&lt;=1,C19*F22*('数据-取费表'!B19/2+'数据-取费表'!B20),C19*(POWER((1+F22),('数据-取费表'!B19/2+'数据-取费表'!B20))-1)),0)</f>
        <v>491555</v>
      </c>
      <c r="D24" s="188"/>
      <c r="E24" s="188"/>
      <c r="F24" s="222"/>
      <c r="G24" s="223" t="s">
        <v>977</v>
      </c>
    </row>
    <row r="25" spans="1:7" s="146" customFormat="1" ht="24">
      <c r="A25" s="186" t="s">
        <v>937</v>
      </c>
      <c r="B25" s="167" t="s">
        <v>978</v>
      </c>
      <c r="C25" s="2178">
        <f ca="1">ROUND(IF('数据-取费表'!B22&lt;=1,C20*F22*'数据-取费表'!B22/2,C20*(POWER((1+F22),'数据-取费表'!B22/2)-1)),0)</f>
        <v>9631</v>
      </c>
      <c r="D25" s="188"/>
      <c r="E25" s="224"/>
      <c r="F25" s="222"/>
      <c r="G25" s="225" t="s">
        <v>979</v>
      </c>
    </row>
    <row r="26" spans="1:7" s="146" customFormat="1">
      <c r="A26" s="186" t="s">
        <v>980</v>
      </c>
      <c r="B26" s="167" t="s">
        <v>981</v>
      </c>
      <c r="C26" s="188">
        <f ca="1">ROUND(IF('数据-取费表'!B22&lt;=1,F21*F22*'数据-取费表'!B22/2,F21*(POWER((1+F22),'数据-取费表'!B22/2)-1)),4)</f>
        <v>8.0000000000000004E-4</v>
      </c>
      <c r="D26" s="188"/>
      <c r="E26" s="224"/>
      <c r="F26" s="222"/>
      <c r="G26" s="226"/>
    </row>
    <row r="27" spans="1:7" s="146" customFormat="1" ht="24.75">
      <c r="A27" s="163" t="s">
        <v>982</v>
      </c>
      <c r="B27" s="189" t="s">
        <v>983</v>
      </c>
      <c r="C27" s="190">
        <f ca="1">C28</f>
        <v>1775400</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ROUND((C5+C19+C20)*F27,0)</f>
        <v>1775400</v>
      </c>
      <c r="D28" s="183"/>
      <c r="E28" s="184"/>
      <c r="F28" s="227"/>
      <c r="G28" s="228"/>
    </row>
    <row r="29" spans="1:7" s="146" customFormat="1" ht="13.5" customHeight="1">
      <c r="A29" s="186" t="s">
        <v>935</v>
      </c>
      <c r="B29" s="191" t="s">
        <v>986</v>
      </c>
      <c r="C29" s="188">
        <f ca="1">ROUND(C21*F27,4)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15824184</v>
      </c>
      <c r="D31" s="194"/>
      <c r="E31" s="165"/>
      <c r="F31" s="229"/>
      <c r="G31" s="220" t="s">
        <v>991</v>
      </c>
    </row>
    <row r="32" spans="1:7" s="145" customFormat="1" ht="15.75">
      <c r="A32" s="195" t="s">
        <v>1024</v>
      </c>
      <c r="B32" s="196"/>
      <c r="C32" s="196"/>
      <c r="D32" s="196"/>
      <c r="E32" s="196"/>
      <c r="F32" s="196"/>
      <c r="G32" s="230"/>
    </row>
    <row r="33" spans="1:7" s="146" customFormat="1" ht="13.5" customHeight="1">
      <c r="A33" s="163" t="s">
        <v>929</v>
      </c>
      <c r="B33" s="164" t="s">
        <v>1025</v>
      </c>
      <c r="C33" s="197">
        <f ca="1">SUM(C34:C38)</f>
        <v>218008647</v>
      </c>
      <c r="D33" s="182"/>
      <c r="E33" s="209"/>
      <c r="F33" s="224"/>
      <c r="G33" s="220"/>
    </row>
    <row r="34" spans="1:7" s="148" customFormat="1" ht="13.5" customHeight="1">
      <c r="A34" s="186" t="s">
        <v>933</v>
      </c>
      <c r="B34" s="167" t="s">
        <v>994</v>
      </c>
      <c r="C34" s="170">
        <f ca="1">ROUND(IF(B1="",SUMPRODUCT('数据-取费表'!K6:K14,'数据-取费表'!L6:L14),INDIRECT("'数据-取费表'!l"&amp;$G$1)*INDIRECT("'数据-取费表'!k"&amp;$G$1)+'数据-取费表'!L14*INDIRECT("'数据-取费表'!S"&amp;$G$1)),0)</f>
        <v>203068600</v>
      </c>
      <c r="D34" s="169"/>
      <c r="E34" s="170"/>
      <c r="F34" s="231"/>
      <c r="G34" s="212"/>
    </row>
    <row r="35" spans="1:7" ht="13.5" customHeight="1">
      <c r="A35" s="186" t="s">
        <v>935</v>
      </c>
      <c r="B35" s="167" t="s">
        <v>996</v>
      </c>
      <c r="C35" s="170">
        <f ca="1">ROUND(C34*F35,0)</f>
        <v>6092058</v>
      </c>
      <c r="D35" s="170"/>
      <c r="E35" s="170"/>
      <c r="F35" s="232">
        <f>'数据-取费表'!B33</f>
        <v>0.03</v>
      </c>
      <c r="G35" s="212" t="s">
        <v>997</v>
      </c>
    </row>
    <row r="36" spans="1:7" ht="24">
      <c r="A36" s="186" t="s">
        <v>937</v>
      </c>
      <c r="B36" s="167" t="s">
        <v>998</v>
      </c>
      <c r="C36" s="170">
        <f ca="1">ROUND(IF(B1="",SUM('数据-取费表'!AP6:AP13)*F36,IF(INDIRECT("'数据-取费表'!c"&amp;$G$1)="住宅",INDIRECT("'数据-取费表'!k"&amp;$G$1)*INDIRECT("'数据-取费表'!l"&amp;$G$1)*F36,0)),0)</f>
        <v>0</v>
      </c>
      <c r="D36" s="170"/>
      <c r="E36" s="170"/>
      <c r="F36" s="232">
        <f>'数据-取费表'!B34</f>
        <v>0</v>
      </c>
      <c r="G36" s="233" t="s">
        <v>999</v>
      </c>
    </row>
    <row r="37" spans="1:7" s="148" customFormat="1" ht="13.5" customHeight="1">
      <c r="A37" s="186" t="s">
        <v>980</v>
      </c>
      <c r="B37" s="167" t="s">
        <v>1000</v>
      </c>
      <c r="C37" s="192">
        <f ca="1">ROUND(E37*D37,0)</f>
        <v>5801960</v>
      </c>
      <c r="D37" s="169">
        <f ca="1">D19</f>
        <v>29009.8</v>
      </c>
      <c r="E37" s="192">
        <f>'数据-取费表'!B35</f>
        <v>200</v>
      </c>
      <c r="F37" s="232"/>
      <c r="G37" s="234"/>
    </row>
    <row r="38" spans="1:7" ht="13.5" customHeight="1">
      <c r="A38" s="186" t="s">
        <v>1002</v>
      </c>
      <c r="B38" s="167" t="s">
        <v>865</v>
      </c>
      <c r="C38" s="170">
        <f ca="1">ROUND(C34*F38,0)</f>
        <v>3046029</v>
      </c>
      <c r="D38" s="170"/>
      <c r="E38" s="170"/>
      <c r="F38" s="232">
        <f>'数据-取费表'!B36</f>
        <v>1.4999999999999999E-2</v>
      </c>
      <c r="G38" s="212" t="s">
        <v>997</v>
      </c>
    </row>
    <row r="39" spans="1:7" s="146" customFormat="1" ht="13.5" customHeight="1">
      <c r="A39" s="163" t="s">
        <v>962</v>
      </c>
      <c r="B39" s="164" t="s">
        <v>966</v>
      </c>
      <c r="C39" s="182">
        <f ca="1">ROUND(C33*F20,0)</f>
        <v>4360173</v>
      </c>
      <c r="D39" s="182"/>
      <c r="E39" s="182"/>
      <c r="F39" s="2185">
        <f>F20</f>
        <v>0.02</v>
      </c>
      <c r="G39" s="220" t="s">
        <v>1003</v>
      </c>
    </row>
    <row r="40" spans="1:7" s="146" customFormat="1" ht="13.5" customHeight="1">
      <c r="A40" s="163" t="s">
        <v>965</v>
      </c>
      <c r="B40" s="164" t="s">
        <v>969</v>
      </c>
      <c r="C40" s="2179">
        <f>F21</f>
        <v>0.02</v>
      </c>
      <c r="D40" s="184" t="s">
        <v>1004</v>
      </c>
      <c r="E40" s="182"/>
      <c r="F40" s="2185">
        <f>F21</f>
        <v>0.02</v>
      </c>
      <c r="G40" s="220" t="s">
        <v>1005</v>
      </c>
    </row>
    <row r="41" spans="1:7" s="146" customFormat="1" ht="13.5" customHeight="1">
      <c r="A41" s="163" t="s">
        <v>968</v>
      </c>
      <c r="B41" s="164" t="s">
        <v>973</v>
      </c>
      <c r="C41" s="182">
        <f ca="1">ROUND(SUM(C42:C43),0)</f>
        <v>9228306</v>
      </c>
      <c r="D41" s="183">
        <f ca="1">C44</f>
        <v>8.0000000000000004E-4</v>
      </c>
      <c r="E41" s="184" t="s">
        <v>1004</v>
      </c>
      <c r="F41" s="2186">
        <f ca="1">F22</f>
        <v>4.1499999999999995E-2</v>
      </c>
      <c r="G41" s="220" t="str">
        <f>IF('数据-取费表'!B22&lt;=1,"单利计息","复利计息")</f>
        <v>复利计息</v>
      </c>
    </row>
    <row r="42" spans="1:7" ht="13.5" customHeight="1">
      <c r="A42" s="186" t="s">
        <v>933</v>
      </c>
      <c r="B42" s="167" t="s">
        <v>974</v>
      </c>
      <c r="C42" s="188">
        <f ca="1">ROUND(IF('数据-取费表'!B22&lt;=1,C33*F22*'数据-取费表'!B20/2,C33*(POWER((1+F22),'数据-取费表'!B20/2)-1)),0)</f>
        <v>9047359</v>
      </c>
      <c r="D42" s="188"/>
      <c r="E42" s="188"/>
      <c r="F42" s="222"/>
      <c r="G42" s="3412" t="s">
        <v>1026</v>
      </c>
    </row>
    <row r="43" spans="1:7" ht="13.5" customHeight="1">
      <c r="A43" s="186" t="s">
        <v>935</v>
      </c>
      <c r="B43" s="167" t="s">
        <v>976</v>
      </c>
      <c r="C43" s="188">
        <f ca="1">ROUND(IF('数据-取费表'!B22&lt;=1,C39*F22*'数据-取费表'!B20/2,C39*(POWER((1+F22),'数据-取费表'!B20/2)-1)),0)</f>
        <v>180947</v>
      </c>
      <c r="D43" s="188"/>
      <c r="E43" s="188"/>
      <c r="F43" s="222"/>
      <c r="G43" s="3413"/>
    </row>
    <row r="44" spans="1:7" ht="13.5" customHeight="1">
      <c r="A44" s="186" t="s">
        <v>937</v>
      </c>
      <c r="B44" s="167" t="s">
        <v>978</v>
      </c>
      <c r="C44" s="188">
        <f ca="1">ROUND(IF('数据-取费表'!B22&lt;=1,C40*F22*'数据-取费表'!B20/2,C40*(POWER((1+F22),'数据-取费表'!B20/2)-1)),4)</f>
        <v>8.0000000000000004E-4</v>
      </c>
      <c r="D44" s="188"/>
      <c r="E44" s="188"/>
      <c r="F44" s="222"/>
      <c r="G44" s="3414"/>
    </row>
    <row r="45" spans="1:7" s="146" customFormat="1" ht="13.5" customHeight="1">
      <c r="A45" s="163" t="s">
        <v>972</v>
      </c>
      <c r="B45" s="189" t="s">
        <v>983</v>
      </c>
      <c r="C45" s="190">
        <f ca="1">C46</f>
        <v>33355323</v>
      </c>
      <c r="D45" s="183">
        <f ca="1">C47</f>
        <v>3.0000000000000001E-3</v>
      </c>
      <c r="E45" s="184" t="s">
        <v>1004</v>
      </c>
      <c r="F45" s="2187">
        <f ca="1">F27</f>
        <v>0.15</v>
      </c>
      <c r="G45" s="228" t="s">
        <v>1007</v>
      </c>
    </row>
    <row r="46" spans="1:7" s="146" customFormat="1" ht="13.5" customHeight="1">
      <c r="A46" s="186" t="s">
        <v>933</v>
      </c>
      <c r="B46" s="191" t="s">
        <v>1008</v>
      </c>
      <c r="C46" s="192">
        <f ca="1">ROUND((C33+C39)*F27,0)</f>
        <v>33355323</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198">
        <f>ROUND(F30/(1+'数据-取费表'!C42),4)</f>
        <v>5.33E-2</v>
      </c>
      <c r="D48" s="184" t="s">
        <v>1004</v>
      </c>
      <c r="E48" s="182"/>
      <c r="F48" s="2186">
        <f>F30</f>
        <v>5.6000000000000001E-2</v>
      </c>
      <c r="G48" s="220" t="s">
        <v>1010</v>
      </c>
    </row>
    <row r="49" spans="1:7" ht="16.5" customHeight="1">
      <c r="A49" s="163" t="s">
        <v>987</v>
      </c>
      <c r="B49" s="164" t="s">
        <v>1027</v>
      </c>
      <c r="C49" s="182">
        <f ca="1">ROUND((C33+C39+C41+C45)/(1-C40-D41-D45-C48),0)</f>
        <v>287086845</v>
      </c>
      <c r="D49" s="182"/>
      <c r="E49" s="182"/>
      <c r="F49" s="235"/>
      <c r="G49" s="220" t="s">
        <v>1012</v>
      </c>
    </row>
    <row r="50" spans="1:7" s="148" customFormat="1">
      <c r="A50" s="163" t="s">
        <v>1013</v>
      </c>
      <c r="B50" s="164" t="s">
        <v>1014</v>
      </c>
      <c r="C50" s="182"/>
      <c r="D50" s="182"/>
      <c r="E50" s="182"/>
      <c r="F50" s="235">
        <f>IF('数据-取费表'!B24=0,'数据-取费表'!N16,1)</f>
        <v>0.7</v>
      </c>
      <c r="G50" s="228"/>
    </row>
    <row r="51" spans="1:7" ht="16.5" customHeight="1">
      <c r="A51" s="163" t="s">
        <v>1016</v>
      </c>
      <c r="B51" s="164" t="s">
        <v>1028</v>
      </c>
      <c r="C51" s="182">
        <f ca="1">ROUND(C49*F50,0)</f>
        <v>200960792</v>
      </c>
      <c r="D51" s="182"/>
      <c r="E51" s="182"/>
      <c r="F51" s="235"/>
      <c r="G51" s="220" t="s">
        <v>1018</v>
      </c>
    </row>
    <row r="52" spans="1:7" s="145" customFormat="1" ht="15.75">
      <c r="A52" s="200" t="s">
        <v>1019</v>
      </c>
      <c r="B52" s="201"/>
      <c r="C52" s="202">
        <f ca="1">C31+C51</f>
        <v>216784976</v>
      </c>
      <c r="D52" s="201"/>
      <c r="E52" s="201"/>
      <c r="F52" s="201"/>
      <c r="G52" s="236"/>
    </row>
    <row r="55" spans="1:7" ht="15">
      <c r="B55" s="203" t="s">
        <v>1020</v>
      </c>
      <c r="C55" s="204"/>
    </row>
    <row r="56" spans="1:7">
      <c r="B56" s="205" t="s">
        <v>1021</v>
      </c>
      <c r="C56" s="207">
        <f ca="1">1-C57</f>
        <v>7.2999999999999954E-2</v>
      </c>
    </row>
    <row r="57" spans="1:7">
      <c r="B57" s="205" t="s">
        <v>1022</v>
      </c>
      <c r="C57" s="206">
        <f ca="1">ROUND(C51/C52,3)</f>
        <v>0.92700000000000005</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4" customWidth="1"/>
    <col min="2" max="2" width="25.75" style="2087" customWidth="1"/>
    <col min="3" max="3" width="10.375" style="2088" customWidth="1"/>
    <col min="4" max="4" width="9.875" style="2087" customWidth="1"/>
    <col min="5" max="5" width="9.5" style="364"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2" t="s">
        <v>1029</v>
      </c>
      <c r="B1" s="1941"/>
      <c r="C1" s="2089"/>
      <c r="D1" s="2090"/>
      <c r="E1" s="2135"/>
      <c r="F1" s="2135"/>
      <c r="G1" s="2136"/>
      <c r="H1" s="2135"/>
      <c r="I1" s="2135"/>
      <c r="J1" s="2135"/>
      <c r="K1" s="2161">
        <f>MATCH(C1,'数据-取费表'!A6:A16,0)+5</f>
        <v>7</v>
      </c>
    </row>
    <row r="2" spans="1:33" ht="18" customHeight="1">
      <c r="A2" s="155" t="s">
        <v>924</v>
      </c>
      <c r="B2" s="160">
        <f ca="1">C32</f>
        <v>0</v>
      </c>
      <c r="C2" s="2091" t="s">
        <v>1030</v>
      </c>
      <c r="D2" s="2091"/>
      <c r="E2" s="2135"/>
      <c r="F2" s="2135"/>
      <c r="G2" s="2135"/>
      <c r="H2" s="2135"/>
      <c r="I2" s="2135"/>
      <c r="J2" s="2135"/>
      <c r="K2" s="2135"/>
    </row>
    <row r="3" spans="1:33" ht="18" customHeight="1">
      <c r="A3" s="159" t="s">
        <v>926</v>
      </c>
      <c r="B3" s="160">
        <f ca="1">ROUND(B2*10000/IF(C1="",'数据-汇总表'!E3,INDIRECT("'数据-取费表'!K"&amp;$K$1)),0)</f>
        <v>0</v>
      </c>
      <c r="C3" s="2091" t="s">
        <v>1031</v>
      </c>
      <c r="D3" s="2091"/>
      <c r="E3" s="2135"/>
      <c r="F3" s="2135"/>
      <c r="G3" s="2135"/>
      <c r="H3" s="2135"/>
      <c r="I3" s="2135"/>
      <c r="J3" s="2135"/>
      <c r="K3" s="2135"/>
    </row>
    <row r="4" spans="1:33" s="2078" customFormat="1" ht="16.5" customHeight="1">
      <c r="A4" s="2092" t="s">
        <v>1032</v>
      </c>
      <c r="B4" s="2093"/>
      <c r="C4" s="2094">
        <f>SUM(C8:K8)</f>
        <v>0</v>
      </c>
      <c r="D4" s="2093"/>
      <c r="E4" s="2093"/>
      <c r="F4" s="2093"/>
      <c r="G4" s="2093"/>
      <c r="H4" s="2093"/>
      <c r="I4" s="2093"/>
      <c r="J4" s="2093"/>
      <c r="K4" s="2162"/>
    </row>
    <row r="5" spans="1:33" s="2079" customFormat="1" ht="24.75">
      <c r="A5" s="2095" t="s">
        <v>1033</v>
      </c>
      <c r="B5" s="2096" t="s">
        <v>1034</v>
      </c>
      <c r="C5" s="2097" t="s">
        <v>1035</v>
      </c>
      <c r="D5" s="2097" t="s">
        <v>1036</v>
      </c>
      <c r="E5" s="2097" t="s">
        <v>1037</v>
      </c>
      <c r="F5" s="2097"/>
      <c r="G5" s="2097"/>
      <c r="H5" s="2097"/>
      <c r="I5" s="2097"/>
      <c r="J5" s="2097"/>
      <c r="K5" s="2097"/>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098" t="s">
        <v>834</v>
      </c>
      <c r="B6" s="1834" t="s">
        <v>1038</v>
      </c>
      <c r="C6" s="2099"/>
      <c r="D6" s="2099"/>
      <c r="E6" s="2099"/>
      <c r="F6" s="2099"/>
      <c r="G6" s="2099"/>
      <c r="H6" s="2099"/>
      <c r="I6" s="2099"/>
      <c r="J6" s="2099"/>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098" t="s">
        <v>838</v>
      </c>
      <c r="B7" s="1834" t="s">
        <v>361</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1" t="s">
        <v>883</v>
      </c>
      <c r="B8" s="2102" t="s">
        <v>1039</v>
      </c>
      <c r="C8" s="2103"/>
      <c r="D8" s="2103"/>
      <c r="E8" s="2103"/>
      <c r="F8" s="2137"/>
      <c r="G8" s="2137"/>
      <c r="H8" s="2137"/>
      <c r="I8" s="2137"/>
      <c r="J8" s="2137"/>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2" t="s">
        <v>1040</v>
      </c>
      <c r="B9" s="2093"/>
      <c r="C9" s="2093"/>
      <c r="D9" s="2093"/>
      <c r="E9" s="2093"/>
      <c r="F9" s="2093"/>
      <c r="G9" s="2093"/>
      <c r="H9" s="2093"/>
      <c r="I9" s="2093"/>
      <c r="J9" s="2093"/>
      <c r="K9" s="2162"/>
    </row>
    <row r="10" spans="1:33" s="2081" customFormat="1" ht="13.5" customHeight="1">
      <c r="A10" s="2095" t="s">
        <v>1033</v>
      </c>
      <c r="B10" s="2104" t="s">
        <v>1034</v>
      </c>
      <c r="C10" s="2105" t="s">
        <v>1041</v>
      </c>
      <c r="D10" s="2106" t="s">
        <v>1042</v>
      </c>
      <c r="E10" s="2106" t="s">
        <v>1043</v>
      </c>
      <c r="F10" s="2106" t="s">
        <v>1044</v>
      </c>
      <c r="G10" s="2104"/>
      <c r="H10" s="2138"/>
      <c r="I10" s="2138"/>
      <c r="J10" s="2138"/>
      <c r="K10" s="2168"/>
    </row>
    <row r="11" spans="1:33" s="2082" customFormat="1" ht="13.5" customHeight="1">
      <c r="A11" s="2107" t="s">
        <v>940</v>
      </c>
      <c r="B11" s="2108" t="s">
        <v>1045</v>
      </c>
      <c r="C11" s="2109">
        <f ca="1">IF(C1="",'数据-取费表'!P16,INDIRECT("'数据-取费表'!p"&amp;$K$1)+INDIRECT("'数据-取费表'!ar"&amp;$K$1))</f>
        <v>0</v>
      </c>
      <c r="D11" s="2110"/>
      <c r="E11" s="1836"/>
      <c r="F11" s="2139">
        <f ca="1">1-IF('数据-取费表'!B24=0,1,IF(C1="",'数据-取费表'!N16,INDIRECT("'数据-取费表'!n"&amp;$K$1)))</f>
        <v>0</v>
      </c>
      <c r="G11" s="2104"/>
      <c r="H11" s="2138"/>
      <c r="I11" s="2138"/>
      <c r="J11" s="2138"/>
      <c r="K11" s="2168"/>
    </row>
    <row r="12" spans="1:33" s="2082" customFormat="1" ht="13.5" customHeight="1">
      <c r="A12" s="2107" t="s">
        <v>944</v>
      </c>
      <c r="B12" s="2108" t="s">
        <v>1046</v>
      </c>
      <c r="C12" s="289">
        <f ca="1">ROUND(C11*F12,0)</f>
        <v>0</v>
      </c>
      <c r="D12" s="2110"/>
      <c r="E12" s="1836"/>
      <c r="F12" s="2140">
        <f>'数据-取费表'!B33</f>
        <v>0.03</v>
      </c>
      <c r="G12" s="2104" t="s">
        <v>1047</v>
      </c>
      <c r="H12" s="2138"/>
      <c r="I12" s="2138"/>
      <c r="J12" s="2138"/>
      <c r="K12" s="2168"/>
    </row>
    <row r="13" spans="1:33" s="2082" customFormat="1" ht="13.5" customHeight="1">
      <c r="A13" s="2107" t="s">
        <v>1048</v>
      </c>
      <c r="B13" s="2108" t="s">
        <v>1049</v>
      </c>
      <c r="C13" s="289">
        <f ca="1">ROUND(IF(C1="",SUMIF('数据-取费表'!C:C,"住宅",'数据-取费表'!P:P)*F13,IF(INDIRECT("'数据-取费表'!c"&amp;$K$1)="住宅",INDIRECT("'数据-取费表'!P"&amp;$K$1)*F13,0)),0)</f>
        <v>0</v>
      </c>
      <c r="D13" s="2111"/>
      <c r="E13" s="1836"/>
      <c r="F13" s="2140">
        <f>'数据-取费表'!B34</f>
        <v>0</v>
      </c>
      <c r="G13" s="2104" t="s">
        <v>1050</v>
      </c>
      <c r="H13" s="2138"/>
      <c r="I13" s="2138"/>
      <c r="J13" s="2138"/>
      <c r="K13" s="2168"/>
    </row>
    <row r="14" spans="1:33" s="2083" customFormat="1" ht="13.5" customHeight="1">
      <c r="A14" s="2107" t="s">
        <v>1051</v>
      </c>
      <c r="B14" s="2108" t="s">
        <v>1052</v>
      </c>
      <c r="C14" s="289">
        <f ca="1">ROUND(D14*E14*F11/10000,0)</f>
        <v>0</v>
      </c>
      <c r="D14" s="2111">
        <f ca="1">IF(C1="",'数据-汇总表'!E3,INDIRECT("'数据-取费表'!K"&amp;$K$1)+INDIRECT("'数据-取费表'!S"&amp;$K$1))</f>
        <v>29009.8</v>
      </c>
      <c r="E14" s="289">
        <f>'数据-取费表'!B35</f>
        <v>200</v>
      </c>
      <c r="F14" s="2140"/>
      <c r="G14" s="2104" t="s">
        <v>1053</v>
      </c>
      <c r="H14" s="2138"/>
      <c r="I14" s="2138"/>
      <c r="J14" s="2138"/>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07" t="s">
        <v>1054</v>
      </c>
      <c r="B15" s="2108" t="s">
        <v>1055</v>
      </c>
      <c r="C15" s="2112">
        <f ca="1">ROUND(C11*F15,0)</f>
        <v>0</v>
      </c>
      <c r="D15" s="2113"/>
      <c r="E15" s="2112"/>
      <c r="F15" s="2141">
        <f>'数据-取费表'!B36</f>
        <v>1.4999999999999999E-2</v>
      </c>
      <c r="G15" s="1834" t="s">
        <v>1056</v>
      </c>
      <c r="H15" s="1974"/>
      <c r="I15" s="1974"/>
      <c r="J15" s="1974"/>
      <c r="K15" s="2030"/>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07" t="s">
        <v>857</v>
      </c>
      <c r="B16" s="2108" t="s">
        <v>1057</v>
      </c>
      <c r="C16" s="2112">
        <f ca="1">SUM(C11:C15)</f>
        <v>0</v>
      </c>
      <c r="D16" s="2113"/>
      <c r="E16" s="2112"/>
      <c r="F16" s="2141"/>
      <c r="G16" s="1834"/>
      <c r="H16" s="2142"/>
      <c r="I16" s="1974"/>
      <c r="J16" s="1974"/>
      <c r="K16" s="203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07" t="s">
        <v>861</v>
      </c>
      <c r="B17" s="2108" t="s">
        <v>1058</v>
      </c>
      <c r="C17" s="289">
        <f ca="1">ROUND(D17*E17/10000,0)</f>
        <v>0</v>
      </c>
      <c r="D17" s="2111">
        <f ca="1">D14</f>
        <v>29009.8</v>
      </c>
      <c r="E17" s="289">
        <f>'数据-取费表'!B32</f>
        <v>0</v>
      </c>
      <c r="F17" s="2113"/>
      <c r="G17" s="1834" t="s">
        <v>1059</v>
      </c>
      <c r="H17" s="2142"/>
      <c r="I17" s="1974"/>
      <c r="J17" s="1974"/>
      <c r="K17" s="2030"/>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07" t="s">
        <v>1060</v>
      </c>
      <c r="B18" s="2108" t="s">
        <v>1061</v>
      </c>
      <c r="C18" s="289">
        <f ca="1">C19+C20-IF(C1="",'数据-取费表'!B29,IF(G18="已全部缴纳",C19+C20,H18))</f>
        <v>0</v>
      </c>
      <c r="D18" s="2111"/>
      <c r="E18" s="289"/>
      <c r="F18" s="2140"/>
      <c r="G18" s="2143"/>
      <c r="H18" s="2144"/>
      <c r="I18" s="2169" t="s">
        <v>1062</v>
      </c>
      <c r="J18" s="1974"/>
      <c r="K18" s="2030"/>
    </row>
    <row r="19" spans="1:33" s="2082" customFormat="1" ht="13.5" customHeight="1">
      <c r="A19" s="2107" t="s">
        <v>940</v>
      </c>
      <c r="B19" s="2108" t="s">
        <v>349</v>
      </c>
      <c r="C19" s="289">
        <f ca="1">ROUND(D19*E19/10000,0)</f>
        <v>0</v>
      </c>
      <c r="D19" s="2111">
        <f ca="1">IF(C1="",'数据-汇总表'!E5,IF(INDIRECT("'数据-取费表'!c"&amp;$K$1)="住宅",INDIRECT("'数据-取费表'!k"&amp;$K$1),0))</f>
        <v>0</v>
      </c>
      <c r="E19" s="289">
        <f>'数据-取费表'!B27</f>
        <v>0</v>
      </c>
      <c r="F19" s="2140"/>
      <c r="G19" s="1973"/>
      <c r="H19" s="2145"/>
      <c r="I19" s="2146"/>
      <c r="J19" s="2146"/>
      <c r="K19" s="2170"/>
    </row>
    <row r="20" spans="1:33" s="2082" customFormat="1" ht="13.5" customHeight="1">
      <c r="A20" s="2107" t="s">
        <v>944</v>
      </c>
      <c r="B20" s="2108" t="s">
        <v>1063</v>
      </c>
      <c r="C20" s="289">
        <f ca="1">ROUND(D20*E20/10000,0)</f>
        <v>580</v>
      </c>
      <c r="D20" s="2111">
        <f ca="1">IF(C1="",'数据-汇总表'!E6,IF(INDIRECT("'数据-取费表'!c"&amp;$K$1)="住宅",INDIRECT("'数据-取费表'!s"&amp;$K$1),INDIRECT("'数据-取费表'!k"&amp;$K$1)+INDIRECT("'数据-取费表'!s"&amp;$K$1)))</f>
        <v>29009.8</v>
      </c>
      <c r="E20" s="289">
        <f>'数据-取费表'!B28</f>
        <v>200</v>
      </c>
      <c r="F20" s="2140"/>
      <c r="G20" s="1973"/>
      <c r="H20" s="2146"/>
      <c r="I20" s="2146"/>
      <c r="J20" s="2146"/>
      <c r="K20" s="2170"/>
    </row>
    <row r="21" spans="1:33" s="2082" customFormat="1" ht="13.5" customHeight="1">
      <c r="A21" s="2098" t="s">
        <v>834</v>
      </c>
      <c r="B21" s="2114" t="s">
        <v>1064</v>
      </c>
      <c r="C21" s="2115">
        <f ca="1">C16+C17+C18</f>
        <v>0</v>
      </c>
      <c r="D21" s="2116"/>
      <c r="E21" s="2117"/>
      <c r="F21" s="2117"/>
      <c r="G21" s="1834" t="s">
        <v>1065</v>
      </c>
      <c r="H21" s="1974"/>
      <c r="I21" s="1974"/>
      <c r="J21" s="1974"/>
      <c r="K21" s="2030"/>
    </row>
    <row r="22" spans="1:33" s="2082" customFormat="1" ht="13.5" customHeight="1">
      <c r="A22" s="2098" t="s">
        <v>838</v>
      </c>
      <c r="B22" s="2114" t="s">
        <v>1066</v>
      </c>
      <c r="C22" s="2115">
        <f ca="1">ROUND(C21*F22,0)</f>
        <v>0</v>
      </c>
      <c r="D22" s="2117"/>
      <c r="E22" s="2117"/>
      <c r="F22" s="2147">
        <f>'数据-取费表'!B37</f>
        <v>0.02</v>
      </c>
      <c r="G22" s="2104" t="s">
        <v>1067</v>
      </c>
      <c r="H22" s="2138"/>
      <c r="I22" s="2138"/>
      <c r="J22" s="2138"/>
      <c r="K22" s="2168"/>
    </row>
    <row r="23" spans="1:33" s="2082" customFormat="1" ht="13.5" customHeight="1">
      <c r="A23" s="2098" t="s">
        <v>883</v>
      </c>
      <c r="B23" s="2114" t="s">
        <v>1068</v>
      </c>
      <c r="C23" s="2115">
        <f ca="1">ROUND(C4*F23*F11,0)</f>
        <v>0</v>
      </c>
      <c r="D23" s="2117"/>
      <c r="E23" s="2117"/>
      <c r="F23" s="2147">
        <f>'数据-取费表'!B38</f>
        <v>0.02</v>
      </c>
      <c r="G23" s="2104" t="s">
        <v>1069</v>
      </c>
      <c r="H23" s="2138"/>
      <c r="I23" s="2138"/>
      <c r="J23" s="2138"/>
      <c r="K23" s="2168"/>
    </row>
    <row r="24" spans="1:33" s="2082" customFormat="1" ht="13.5" customHeight="1">
      <c r="A24" s="2098" t="s">
        <v>886</v>
      </c>
      <c r="B24" s="2114" t="s">
        <v>1070</v>
      </c>
      <c r="C24" s="2118">
        <f>ROUND(F24/(1+'数据-取费表'!C42),4)</f>
        <v>2.9000000000000001E-2</v>
      </c>
      <c r="D24" s="2117" t="s">
        <v>1071</v>
      </c>
      <c r="E24" s="2117"/>
      <c r="F24" s="2147">
        <f>IF(项目基本情况!B8="出让",0,'数据-取费表'!B48+'数据-取费表'!B49)</f>
        <v>3.0499999999999999E-2</v>
      </c>
      <c r="G24" s="2104" t="s">
        <v>1072</v>
      </c>
      <c r="H24" s="2148"/>
      <c r="I24" s="2148"/>
      <c r="J24" s="2148"/>
      <c r="K24" s="2171"/>
    </row>
    <row r="25" spans="1:33" s="2082" customFormat="1" ht="13.5" customHeight="1">
      <c r="A25" s="2098" t="s">
        <v>890</v>
      </c>
      <c r="B25" s="2116" t="s">
        <v>1073</v>
      </c>
      <c r="C25" s="2119">
        <f ca="1">C27</f>
        <v>0</v>
      </c>
      <c r="D25" s="2118">
        <f ca="1">C26</f>
        <v>0</v>
      </c>
      <c r="E25" s="2149" t="s">
        <v>1071</v>
      </c>
      <c r="F25" s="2150">
        <f ca="1">'数据-取费表'!B40</f>
        <v>4.1499999999999995E-2</v>
      </c>
      <c r="G25" s="1834" t="str">
        <f>IF('数据-取费表'!B22&lt;=1,"单利计息。","复利计息。")&amp;"后续开发成本、管理费用及销售费用产生的利息。"</f>
        <v>复利计息。后续开发成本、管理费用及销售费用产生的利息。</v>
      </c>
      <c r="H25" s="2148"/>
      <c r="I25" s="2148"/>
      <c r="J25" s="2148"/>
      <c r="K25" s="2171"/>
    </row>
    <row r="26" spans="1:33" s="2084" customFormat="1" ht="13.5" customHeight="1">
      <c r="A26" s="2107" t="s">
        <v>857</v>
      </c>
      <c r="B26" s="2120" t="s">
        <v>1074</v>
      </c>
      <c r="C26" s="2121">
        <f ca="1">ROUND(IF('数据-取费表'!B22&lt;=1,(1+C24)*F25*'数据-取费表'!B24,(1+C24)*(POWER((1+F25),'数据-取费表'!B24)-1)),4)</f>
        <v>0</v>
      </c>
      <c r="D26" s="2122"/>
      <c r="E26" s="2151"/>
      <c r="F26" s="2152"/>
      <c r="G26" s="2153" t="str">
        <f>IF('数据-取费表'!B22&lt;=1,"（(1)+取得税费率/(1+5%)）×年利率×建设期","（(1)+取得税费率）/(1+5%)×((1+年利率)^建设期-1)")</f>
        <v>（(1)+取得税费率）/(1+5%)×((1+年利率)^建设期-1)</v>
      </c>
      <c r="H26" s="1974"/>
      <c r="I26" s="1974"/>
      <c r="J26" s="1974"/>
      <c r="K26" s="2030"/>
    </row>
    <row r="27" spans="1:33" s="2084" customFormat="1" ht="13.5" customHeight="1">
      <c r="A27" s="2107" t="s">
        <v>861</v>
      </c>
      <c r="B27" s="2120" t="s">
        <v>1075</v>
      </c>
      <c r="C27" s="2123">
        <f ca="1">ROUND(IF('数据-取费表'!B22&lt;=1,(C21+C22+C23)*F25*'数据-取费表'!B24/2,(C21+C22+C23)*(POWER((1+F25),'数据-取费表'!B24/2)-1)),0)</f>
        <v>0</v>
      </c>
      <c r="D27" s="2122"/>
      <c r="E27" s="2151"/>
      <c r="F27" s="2152"/>
      <c r="G27" s="2153" t="str">
        <f>IF('数据-取费表'!B22&lt;=1,"（1）-（3）项×年利率×建设期÷2","（1）-（3）项×((1+年利率)^(建设期÷2)-1)")</f>
        <v>（1）-（3）项×((1+年利率)^(建设期÷2)-1)</v>
      </c>
      <c r="H27" s="1974"/>
      <c r="I27" s="1974"/>
      <c r="J27" s="1974"/>
      <c r="K27" s="2030"/>
    </row>
    <row r="28" spans="1:33" s="2085" customFormat="1" ht="13.5" customHeight="1">
      <c r="A28" s="2098" t="s">
        <v>891</v>
      </c>
      <c r="B28" s="2124" t="s">
        <v>1076</v>
      </c>
      <c r="C28" s="2125">
        <f ca="1">C30</f>
        <v>0</v>
      </c>
      <c r="D28" s="2118">
        <f ca="1">C29</f>
        <v>0</v>
      </c>
      <c r="E28" s="2149" t="s">
        <v>1071</v>
      </c>
      <c r="F28" s="1145">
        <f ca="1">IF(C1="",'数据-取费表'!Q16,INDIRECT("'数据-取费表'!q"&amp;$K$1))</f>
        <v>0.15</v>
      </c>
      <c r="G28" s="2154"/>
      <c r="H28" s="2148"/>
      <c r="I28" s="2148"/>
      <c r="J28" s="2148"/>
      <c r="K28" s="2171"/>
    </row>
    <row r="29" spans="1:33" s="2086" customFormat="1" ht="13.5" customHeight="1">
      <c r="A29" s="2107" t="s">
        <v>857</v>
      </c>
      <c r="B29" s="2126" t="s">
        <v>1077</v>
      </c>
      <c r="C29" s="2122">
        <f ca="1">ROUND((1+C24)*F28*'数据-取费表'!B24/'数据-取费表'!B20,4)</f>
        <v>0</v>
      </c>
      <c r="D29" s="2122"/>
      <c r="E29" s="2151"/>
      <c r="F29" s="2155"/>
      <c r="G29" s="1834" t="s">
        <v>1078</v>
      </c>
      <c r="H29" s="1974"/>
      <c r="I29" s="1974"/>
      <c r="J29" s="1974"/>
      <c r="K29" s="2030"/>
    </row>
    <row r="30" spans="1:33" s="2086" customFormat="1" ht="13.5" customHeight="1">
      <c r="A30" s="2107" t="s">
        <v>861</v>
      </c>
      <c r="B30" s="2126" t="s">
        <v>1079</v>
      </c>
      <c r="C30" s="2127">
        <f ca="1">ROUND((C21+C22+C23)*F28,0)</f>
        <v>0</v>
      </c>
      <c r="D30" s="2122"/>
      <c r="E30" s="2151"/>
      <c r="F30" s="2155"/>
      <c r="G30" s="1834"/>
      <c r="H30" s="1974"/>
      <c r="I30" s="1974"/>
      <c r="J30" s="1974"/>
      <c r="K30" s="2030"/>
    </row>
    <row r="31" spans="1:33" s="2082" customFormat="1" ht="13.5" customHeight="1">
      <c r="A31" s="2128" t="s">
        <v>1080</v>
      </c>
      <c r="B31" s="2129" t="s">
        <v>1081</v>
      </c>
      <c r="C31" s="2130">
        <f>ROUND(C4*F31/(1+'数据-取费表'!C42),0)</f>
        <v>0</v>
      </c>
      <c r="D31" s="2131"/>
      <c r="E31" s="2156"/>
      <c r="F31" s="2157">
        <f>'数据-取费表'!B41</f>
        <v>5.6000000000000001E-2</v>
      </c>
      <c r="G31" s="2158" t="s">
        <v>1082</v>
      </c>
      <c r="H31" s="2159"/>
      <c r="I31" s="2159"/>
      <c r="J31" s="2159"/>
      <c r="K31" s="2172"/>
    </row>
    <row r="32" spans="1:33" s="2081" customFormat="1" ht="13.5" customHeight="1">
      <c r="A32" s="2132" t="s">
        <v>1083</v>
      </c>
      <c r="B32" s="2133"/>
      <c r="C32" s="2134">
        <f ca="1">ROUND((C4-C21-C22-C23-C25-C28-C31)/(1+C24+D25+D28),0)</f>
        <v>0</v>
      </c>
      <c r="D32" s="2133"/>
      <c r="E32" s="2133"/>
      <c r="F32" s="2133"/>
      <c r="G32" s="2160" t="s">
        <v>1084</v>
      </c>
      <c r="H32" s="2133"/>
      <c r="I32" s="2133"/>
      <c r="J32" s="2133"/>
      <c r="K32" s="2173"/>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3" sqref="C33"/>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1085</v>
      </c>
      <c r="B1" s="1140"/>
      <c r="C1" s="1795" t="s">
        <v>463</v>
      </c>
      <c r="D1" s="1796" t="s">
        <v>124</v>
      </c>
      <c r="E1" s="1899" t="s">
        <v>1086</v>
      </c>
      <c r="F1" s="1900">
        <f ca="1">J53</f>
        <v>27.51</v>
      </c>
      <c r="G1" s="1901">
        <f>MATCH(C1,'数据-取费表'!A6:A16,0)+5</f>
        <v>6</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1087</v>
      </c>
      <c r="B2" s="1797">
        <f ca="1">C40+J29+L46</f>
        <v>-6068</v>
      </c>
      <c r="C2" s="1798" t="s">
        <v>1088</v>
      </c>
      <c r="D2" s="1798"/>
      <c r="E2" s="1903"/>
      <c r="F2" s="1904"/>
      <c r="G2" s="1905"/>
      <c r="H2" s="1906"/>
      <c r="I2" s="1906"/>
      <c r="J2" s="1906"/>
      <c r="K2" s="1964"/>
      <c r="L2" s="1906"/>
      <c r="M2" s="1906"/>
    </row>
    <row r="3" spans="1:37" ht="18" customHeight="1">
      <c r="A3" s="1800" t="s">
        <v>1089</v>
      </c>
      <c r="B3" s="1801">
        <f ca="1">IF(ISERROR(B2*10000/F43),0,ROUND(B2*10000/F43,0))</f>
        <v>-2092</v>
      </c>
      <c r="C3" s="1798" t="s">
        <v>1090</v>
      </c>
      <c r="D3" s="1798"/>
      <c r="E3" s="1903"/>
      <c r="F3" s="1904"/>
      <c r="G3" s="1905"/>
      <c r="H3" s="1907" t="s">
        <v>1091</v>
      </c>
      <c r="I3" s="1965"/>
      <c r="J3" s="1965"/>
      <c r="K3" s="1966"/>
      <c r="L3" s="1965"/>
      <c r="M3" s="1965"/>
    </row>
    <row r="4" spans="1:37" ht="18" customHeight="1">
      <c r="A4" s="1802" t="s">
        <v>1092</v>
      </c>
      <c r="B4" s="1803" t="s">
        <v>1093</v>
      </c>
      <c r="C4" s="1803" t="s">
        <v>1094</v>
      </c>
      <c r="D4" s="1803" t="s">
        <v>1095</v>
      </c>
      <c r="E4" s="1908" t="s">
        <v>1096</v>
      </c>
      <c r="F4" s="1909"/>
      <c r="G4" s="776"/>
      <c r="H4" s="1802" t="s">
        <v>1092</v>
      </c>
      <c r="I4" s="1803" t="s">
        <v>1093</v>
      </c>
      <c r="J4" s="1803" t="s">
        <v>1094</v>
      </c>
      <c r="K4" s="1803" t="s">
        <v>1095</v>
      </c>
      <c r="L4" s="1908" t="s">
        <v>1096</v>
      </c>
      <c r="M4" s="1909"/>
    </row>
    <row r="5" spans="1:37" ht="18" customHeight="1">
      <c r="A5" s="1804">
        <v>1</v>
      </c>
      <c r="B5" s="1805" t="s">
        <v>1097</v>
      </c>
      <c r="C5" s="1806">
        <f ca="1">C6+C10+C12</f>
        <v>0</v>
      </c>
      <c r="D5" s="1807" t="s">
        <v>1098</v>
      </c>
      <c r="E5" s="1910"/>
      <c r="F5" s="1911"/>
      <c r="G5" s="776"/>
      <c r="H5" s="1804">
        <v>1</v>
      </c>
      <c r="I5" s="1805" t="s">
        <v>1097</v>
      </c>
      <c r="J5" s="1806">
        <f ca="1">J6+J10+J12</f>
        <v>0</v>
      </c>
      <c r="K5" s="1807" t="s">
        <v>1098</v>
      </c>
      <c r="L5" s="1910"/>
      <c r="M5" s="1911"/>
    </row>
    <row r="6" spans="1:37" ht="18" customHeight="1">
      <c r="A6" s="1808" t="s">
        <v>834</v>
      </c>
      <c r="B6" s="3417" t="s">
        <v>1099</v>
      </c>
      <c r="C6" s="1809">
        <f ca="1">ROUND(F6*F8*F7*(1-F9)/10000,0)</f>
        <v>0</v>
      </c>
      <c r="D6" s="1810" t="s">
        <v>1100</v>
      </c>
      <c r="E6" s="1830" t="s">
        <v>1101</v>
      </c>
      <c r="F6" s="1912">
        <f ca="1">INDIRECT("'数据-取费表'!u"&amp;$G$1)</f>
        <v>0</v>
      </c>
      <c r="G6" s="776"/>
      <c r="H6" s="1808" t="s">
        <v>834</v>
      </c>
      <c r="I6" s="3417" t="s">
        <v>1099</v>
      </c>
      <c r="J6" s="1854">
        <f ca="1">ROUND(M6*M8*M7*(1-M9)/10000,0)</f>
        <v>0</v>
      </c>
      <c r="K6" s="1810" t="s">
        <v>1102</v>
      </c>
      <c r="L6" s="1830" t="s">
        <v>1101</v>
      </c>
      <c r="M6" s="1912">
        <f ca="1">INDIRECT("'数据-取费表'!z"&amp;$G$1)</f>
        <v>0</v>
      </c>
    </row>
    <row r="7" spans="1:37" ht="18" customHeight="1">
      <c r="A7" s="1811"/>
      <c r="B7" s="3418"/>
      <c r="C7" s="1812"/>
      <c r="D7" s="1813"/>
      <c r="E7" s="1913" t="s">
        <v>1103</v>
      </c>
      <c r="F7" s="1912">
        <f ca="1">IF(INDIRECT("'数据-取费表'!ah"&amp;$G$1)="",INDIRECT("'数据-取费表'!k"&amp;$G$1),INDIRECT("'数据-取费表'!ah"&amp;$G$1))</f>
        <v>1</v>
      </c>
      <c r="G7" s="776"/>
      <c r="H7" s="1814"/>
      <c r="I7" s="3418"/>
      <c r="J7" s="1815"/>
      <c r="K7" s="1813"/>
      <c r="L7" s="1830" t="s">
        <v>1103</v>
      </c>
      <c r="M7" s="1912">
        <f ca="1">F7</f>
        <v>1</v>
      </c>
    </row>
    <row r="8" spans="1:37" ht="18" customHeight="1">
      <c r="A8" s="1814"/>
      <c r="B8" s="3418"/>
      <c r="C8" s="1815"/>
      <c r="D8" s="1813"/>
      <c r="E8" s="1830" t="s">
        <v>1104</v>
      </c>
      <c r="F8" s="1912">
        <f ca="1">INDIRECT("'数据-取费表'!ai"&amp;$G$1)</f>
        <v>1</v>
      </c>
      <c r="G8" s="776"/>
      <c r="H8" s="1814"/>
      <c r="I8" s="3418"/>
      <c r="J8" s="1815"/>
      <c r="K8" s="1813"/>
      <c r="L8" s="1830" t="s">
        <v>1104</v>
      </c>
      <c r="M8" s="1912">
        <f ca="1">INDIRECT("'数据-取费表'!ai"&amp;$G$1)</f>
        <v>1</v>
      </c>
    </row>
    <row r="9" spans="1:37" ht="18" customHeight="1">
      <c r="A9" s="1814"/>
      <c r="B9" s="3419"/>
      <c r="C9" s="1815"/>
      <c r="D9" s="1813"/>
      <c r="E9" s="1830" t="s">
        <v>1105</v>
      </c>
      <c r="F9" s="1914">
        <f ca="1">INDIRECT("'数据-取费表'!w"&amp;$G$1)</f>
        <v>0</v>
      </c>
      <c r="G9" s="776"/>
      <c r="H9" s="1814"/>
      <c r="I9" s="3419"/>
      <c r="J9" s="1815"/>
      <c r="K9" s="1813"/>
      <c r="L9" s="1915" t="s">
        <v>1105</v>
      </c>
      <c r="M9" s="1917">
        <f ca="1">INDIRECT("'数据-取费表'!ab"&amp;$G$1)</f>
        <v>0</v>
      </c>
    </row>
    <row r="10" spans="1:37" ht="18" customHeight="1">
      <c r="A10" s="1808" t="s">
        <v>838</v>
      </c>
      <c r="B10" s="1816" t="s">
        <v>1106</v>
      </c>
      <c r="C10" s="288">
        <f ca="1">ROUND(IF(F10="押一",C6/12*F11,IF(F10="押二",C6/12*2*F11,IF(F10="押三",C6/12*3*F11,C11*F11))),0)</f>
        <v>0</v>
      </c>
      <c r="D10" s="1817" t="s">
        <v>1107</v>
      </c>
      <c r="E10" s="1915" t="s">
        <v>1108</v>
      </c>
      <c r="F10" s="1916" t="s">
        <v>1109</v>
      </c>
      <c r="G10" s="776"/>
      <c r="H10" s="1808" t="s">
        <v>838</v>
      </c>
      <c r="I10" s="1816" t="s">
        <v>1106</v>
      </c>
      <c r="J10" s="1854">
        <f ca="1">ROUND(IF(M10="押一",J6/12*M11,IF(M10="押二",J6/12*2*M11,IF(M10="押三",J6/12*3*M11,J11*M11))),0)</f>
        <v>0</v>
      </c>
      <c r="K10" s="1817" t="s">
        <v>1107</v>
      </c>
      <c r="L10" s="1915" t="s">
        <v>1108</v>
      </c>
      <c r="M10" s="1916" t="s">
        <v>1110</v>
      </c>
    </row>
    <row r="11" spans="1:37" ht="18" customHeight="1">
      <c r="A11" s="1818"/>
      <c r="B11" s="1819" t="s">
        <v>1111</v>
      </c>
      <c r="C11" s="1820"/>
      <c r="D11" s="2071"/>
      <c r="E11" s="1915" t="s">
        <v>1112</v>
      </c>
      <c r="F11" s="1917">
        <f ca="1">'数据-取费表'!B39</f>
        <v>1.4999999999999999E-2</v>
      </c>
      <c r="G11" s="776"/>
      <c r="H11" s="1918"/>
      <c r="I11" s="1819" t="s">
        <v>1111</v>
      </c>
      <c r="J11" s="1820"/>
      <c r="K11" s="1969"/>
      <c r="L11" s="1915" t="s">
        <v>1112</v>
      </c>
      <c r="M11" s="2028">
        <f ca="1">'数据-取费表'!B39</f>
        <v>1.4999999999999999E-2</v>
      </c>
    </row>
    <row r="12" spans="1:37" ht="18" customHeight="1">
      <c r="A12" s="1821" t="s">
        <v>883</v>
      </c>
      <c r="B12" s="1822" t="s">
        <v>1113</v>
      </c>
      <c r="C12" s="1823"/>
      <c r="D12" s="1824"/>
      <c r="E12" s="1838"/>
      <c r="F12" s="1919"/>
      <c r="G12" s="776"/>
      <c r="H12" s="1821" t="s">
        <v>883</v>
      </c>
      <c r="I12" s="1822" t="s">
        <v>1113</v>
      </c>
      <c r="J12" s="1823"/>
      <c r="K12" s="1970"/>
      <c r="L12" s="1838"/>
      <c r="M12" s="1975"/>
    </row>
    <row r="13" spans="1:37" ht="18" customHeight="1">
      <c r="A13" s="1825">
        <v>2</v>
      </c>
      <c r="B13" s="1826" t="s">
        <v>1114</v>
      </c>
      <c r="C13" s="1827">
        <f ca="1">ROUND(C29*F13,0)</f>
        <v>0</v>
      </c>
      <c r="D13" s="1828" t="s">
        <v>1115</v>
      </c>
      <c r="E13" s="1828" t="s">
        <v>1116</v>
      </c>
      <c r="F13" s="1920">
        <f ca="1">INDIRECT("'数据-取费表'!y"&amp;$G$1)</f>
        <v>0</v>
      </c>
      <c r="G13" s="776"/>
      <c r="H13" s="1825">
        <v>2</v>
      </c>
      <c r="I13" s="1826" t="s">
        <v>1114</v>
      </c>
      <c r="J13" s="1971">
        <f ca="1">ROUND(J14*J15,0)</f>
        <v>0</v>
      </c>
      <c r="K13" s="1841" t="s">
        <v>1115</v>
      </c>
      <c r="L13" s="1972"/>
      <c r="M13" s="2029"/>
    </row>
    <row r="14" spans="1:37" ht="18" customHeight="1">
      <c r="A14" s="1829" t="s">
        <v>857</v>
      </c>
      <c r="B14" s="1830" t="s">
        <v>1117</v>
      </c>
      <c r="C14" s="1831">
        <f ca="1">INDIRECT("'数据-取费表'!m"&amp;$G$1)+INDIRECT("'数据-取费表'!t"&amp;$G$1)</f>
        <v>20307</v>
      </c>
      <c r="D14" s="1832" t="s">
        <v>1118</v>
      </c>
      <c r="E14" s="1921"/>
      <c r="F14" s="1922"/>
      <c r="G14" s="776"/>
      <c r="H14" s="1829" t="s">
        <v>834</v>
      </c>
      <c r="I14" s="1830" t="s">
        <v>1119</v>
      </c>
      <c r="J14" s="289">
        <f ca="1">C29</f>
        <v>28710</v>
      </c>
      <c r="K14" s="1973"/>
      <c r="L14" s="1974"/>
      <c r="M14" s="2030"/>
    </row>
    <row r="15" spans="1:37" s="1792" customFormat="1" ht="18" customHeight="1">
      <c r="A15" s="1829" t="s">
        <v>861</v>
      </c>
      <c r="B15" s="1830" t="s">
        <v>1046</v>
      </c>
      <c r="C15" s="289">
        <f ca="1">ROUND(C14*F15,0)</f>
        <v>609</v>
      </c>
      <c r="D15" s="1833" t="s">
        <v>1120</v>
      </c>
      <c r="E15" s="1833" t="s">
        <v>1121</v>
      </c>
      <c r="F15" s="1923">
        <f>'数据-取费表'!B33</f>
        <v>0.03</v>
      </c>
      <c r="G15" s="1924"/>
      <c r="H15" s="1837" t="s">
        <v>838</v>
      </c>
      <c r="I15" s="1838" t="s">
        <v>1116</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864</v>
      </c>
      <c r="B16" s="1830" t="s">
        <v>1049</v>
      </c>
      <c r="C16" s="289">
        <f ca="1">ROUND(INDIRECT("'数据-取费表'!m"&amp;$G$1)*F16,0)</f>
        <v>0</v>
      </c>
      <c r="D16" s="1830" t="s">
        <v>1120</v>
      </c>
      <c r="E16" s="1830" t="s">
        <v>1121</v>
      </c>
      <c r="F16" s="1925">
        <f ca="1">IF(INDIRECT("'数据-取费表'!c"&amp;$G$1)="住宅",'数据-取费表'!B34,0)</f>
        <v>0</v>
      </c>
      <c r="G16" s="776"/>
      <c r="H16" s="1825" t="s">
        <v>1122</v>
      </c>
      <c r="I16" s="1826" t="s">
        <v>1123</v>
      </c>
      <c r="J16" s="1827">
        <f ca="1">ROUND(J17+J22+J23+J24,0)</f>
        <v>675</v>
      </c>
      <c r="K16" s="1841" t="s">
        <v>1124</v>
      </c>
      <c r="L16" s="1930"/>
      <c r="M16" s="1911"/>
    </row>
    <row r="17" spans="1:37" s="1792" customFormat="1" ht="18" customHeight="1">
      <c r="A17" s="1829" t="s">
        <v>1125</v>
      </c>
      <c r="B17" s="1830" t="s">
        <v>1126</v>
      </c>
      <c r="C17" s="289">
        <f ca="1">ROUND(F17*(F43+INDIRECT("'数据-取费表'!S"&amp;$G$1))/10000,0)</f>
        <v>580</v>
      </c>
      <c r="D17" s="1830" t="s">
        <v>1127</v>
      </c>
      <c r="E17" s="1830" t="s">
        <v>1128</v>
      </c>
      <c r="F17" s="1926">
        <f>'数据-取费表'!B35</f>
        <v>200</v>
      </c>
      <c r="G17" s="1924"/>
      <c r="H17" s="1829" t="s">
        <v>834</v>
      </c>
      <c r="I17" s="1830" t="s">
        <v>1129</v>
      </c>
      <c r="J17" s="1842">
        <f ca="1">ROUND(IF(AND(项目基本情况!B11="自然人",项目基本情况!B10="北京市"),J6*M17/(1+'数据-取费表'!C42),J18+J19+J20),0)</f>
        <v>244</v>
      </c>
      <c r="K17" s="1832" t="s">
        <v>1130</v>
      </c>
      <c r="L17" s="1843" t="s">
        <v>1131</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1132</v>
      </c>
      <c r="B18" s="1830" t="s">
        <v>1055</v>
      </c>
      <c r="C18" s="289">
        <f ca="1">ROUND(C14*F18,0)</f>
        <v>305</v>
      </c>
      <c r="D18" s="1830" t="s">
        <v>1120</v>
      </c>
      <c r="E18" s="1830" t="s">
        <v>1121</v>
      </c>
      <c r="F18" s="1925">
        <f>'数据-取费表'!B36</f>
        <v>1.4999999999999999E-2</v>
      </c>
      <c r="G18" s="1924"/>
      <c r="H18" s="1829" t="s">
        <v>857</v>
      </c>
      <c r="I18" s="1830" t="s">
        <v>1133</v>
      </c>
      <c r="J18" s="289">
        <f ca="1">ROUND(J6*M18/(1+'数据-取费表'!C42),2)</f>
        <v>0</v>
      </c>
      <c r="K18" s="1843" t="s">
        <v>1134</v>
      </c>
      <c r="L18" s="1830" t="s">
        <v>1121</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834</v>
      </c>
      <c r="B19" s="1830" t="s">
        <v>1135</v>
      </c>
      <c r="C19" s="289">
        <f ca="1">SUM(C14:C18)</f>
        <v>21801</v>
      </c>
      <c r="D19" s="1834" t="s">
        <v>1136</v>
      </c>
      <c r="E19" s="291"/>
      <c r="F19" s="1926"/>
      <c r="G19" s="776"/>
      <c r="H19" s="1829" t="s">
        <v>861</v>
      </c>
      <c r="I19" s="1830" t="s">
        <v>1137</v>
      </c>
      <c r="J19" s="289">
        <f ca="1">IF(K19="按租金收入计税",ROUND(J6*M19/(1+'数据-取费表'!C42),2),ROUND(C29*M19*0.7,2))</f>
        <v>241.16</v>
      </c>
      <c r="K19" s="1844" t="s">
        <v>1138</v>
      </c>
      <c r="L19" s="1830" t="s">
        <v>1121</v>
      </c>
      <c r="M19" s="1925">
        <f>IF(K19="按租金收入计税",'数据-取费表'!B51,'数据-取费表'!B50)</f>
        <v>1.2E-2</v>
      </c>
    </row>
    <row r="20" spans="1:37" s="1792" customFormat="1" ht="18" customHeight="1">
      <c r="A20" s="1829" t="s">
        <v>838</v>
      </c>
      <c r="B20" s="1830" t="s">
        <v>1139</v>
      </c>
      <c r="C20" s="289">
        <f ca="1">ROUND(C19*F20,0)</f>
        <v>436</v>
      </c>
      <c r="D20" s="1835" t="s">
        <v>1140</v>
      </c>
      <c r="E20" s="1830" t="s">
        <v>1121</v>
      </c>
      <c r="F20" s="1925">
        <f>'数据-取费表'!B37</f>
        <v>0.02</v>
      </c>
      <c r="G20" s="1924"/>
      <c r="H20" s="1829" t="s">
        <v>864</v>
      </c>
      <c r="I20" s="1810" t="s">
        <v>1141</v>
      </c>
      <c r="J20" s="1845">
        <f ca="1">ROUND(M20*M21/10000,2)</f>
        <v>2.4900000000000002</v>
      </c>
      <c r="K20" s="1846" t="s">
        <v>1142</v>
      </c>
      <c r="L20" s="1830" t="s">
        <v>1143</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883</v>
      </c>
      <c r="B21" s="1830" t="s">
        <v>1144</v>
      </c>
      <c r="C21" s="289" t="s">
        <v>124</v>
      </c>
      <c r="D21" s="1835" t="s">
        <v>1145</v>
      </c>
      <c r="E21" s="1830" t="s">
        <v>1146</v>
      </c>
      <c r="F21" s="1925">
        <f>'数据-取费表'!B38</f>
        <v>0.02</v>
      </c>
      <c r="G21" s="1924"/>
      <c r="H21" s="1896"/>
      <c r="I21" s="1978"/>
      <c r="J21" s="1849"/>
      <c r="K21" s="1850"/>
      <c r="L21" s="1830" t="s">
        <v>1147</v>
      </c>
      <c r="M21" s="1912">
        <f ca="1">INDIRECT("'数据-取费表'!r"&amp;$G$1)</f>
        <v>8299.16</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886</v>
      </c>
      <c r="B22" s="1830" t="s">
        <v>1148</v>
      </c>
      <c r="C22" s="289"/>
      <c r="D22" s="1834" t="str">
        <f>IF(F23&lt;=1,"单利计息。","复利计息。")&amp;"建造成本、管理费用、销售费用产生的利息。"</f>
        <v>复利计息。建造成本、管理费用、销售费用产生的利息。</v>
      </c>
      <c r="E22" s="291"/>
      <c r="F22" s="1926"/>
      <c r="G22" s="776"/>
      <c r="H22" s="1829" t="s">
        <v>838</v>
      </c>
      <c r="I22" s="1830" t="s">
        <v>1149</v>
      </c>
      <c r="J22" s="289">
        <f ca="1">ROUND(J14*M22,1)</f>
        <v>430.7</v>
      </c>
      <c r="K22" s="1843" t="s">
        <v>1150</v>
      </c>
      <c r="L22" s="1830" t="s">
        <v>1121</v>
      </c>
      <c r="M22" s="1935">
        <f ca="1">INDIRECT("'数据-取费表'!Ak"&amp;$G$1)</f>
        <v>1.4999999999999999E-2</v>
      </c>
    </row>
    <row r="23" spans="1:37" s="1792" customFormat="1" ht="18" customHeight="1">
      <c r="A23" s="1829" t="s">
        <v>857</v>
      </c>
      <c r="B23" s="1830" t="s">
        <v>1151</v>
      </c>
      <c r="C23" s="289">
        <f ca="1">IF('数据-取费表'!B22&lt;=1,ROUND(C19*F24*F23/2,0)+ROUND(C20*F24*F23/2,0),ROUND(C19*(POWER((1+F24),F23/2)-1),0)+ROUND(C20*(POWER((1+F24),F23/2)-1),0))</f>
        <v>923</v>
      </c>
      <c r="D23" s="1836" t="str">
        <f>IF(F23&lt;=1,"(建造成本+管理费用)×利率×(建设周期÷2)","(建造成本+管理费用)×((1+利率)^(建设周期÷2)-1)")</f>
        <v>(建造成本+管理费用)×((1+利率)^(建设周期÷2)-1)</v>
      </c>
      <c r="E23" s="1830" t="s">
        <v>1152</v>
      </c>
      <c r="F23" s="1927">
        <f>'数据-取费表'!B20</f>
        <v>2</v>
      </c>
      <c r="G23" s="1924"/>
      <c r="H23" s="1829" t="s">
        <v>883</v>
      </c>
      <c r="I23" s="1830" t="s">
        <v>1153</v>
      </c>
      <c r="J23" s="289">
        <f ca="1">ROUND(J13*M23,1)</f>
        <v>0</v>
      </c>
      <c r="K23" s="1843" t="s">
        <v>1154</v>
      </c>
      <c r="L23" s="1830" t="s">
        <v>1121</v>
      </c>
      <c r="M23" s="1936">
        <f ca="1">INDIRECT("'数据-取费表'!Al"&amp;$G$1)</f>
        <v>1.5E-3</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861</v>
      </c>
      <c r="B24" s="1830" t="s">
        <v>1155</v>
      </c>
      <c r="C24" s="289">
        <f ca="1">ROUND(IF('数据-取费表'!B22&lt;=1,F21*F24*F23/2,F21*(POWER((1+F24),F23/2)-1)),4)</f>
        <v>8.0000000000000004E-4</v>
      </c>
      <c r="D24" s="1836" t="str">
        <f>IF(F23&lt;=1,"销售费用×利率×(建设周期÷2)","销售费用×((1+利率)^(建设周期÷2)-1)")</f>
        <v>销售费用×((1+利率)^(建设周期÷2)-1)</v>
      </c>
      <c r="E24" s="1830" t="s">
        <v>1156</v>
      </c>
      <c r="F24" s="1928">
        <f ca="1">'数据-取费表'!B40</f>
        <v>4.1499999999999995E-2</v>
      </c>
      <c r="G24" s="1924"/>
      <c r="H24" s="1837" t="s">
        <v>886</v>
      </c>
      <c r="I24" s="1838" t="s">
        <v>1139</v>
      </c>
      <c r="J24" s="1839">
        <f ca="1">ROUND(J5*M24,1)</f>
        <v>0</v>
      </c>
      <c r="K24" s="1840" t="s">
        <v>1157</v>
      </c>
      <c r="L24" s="1838" t="s">
        <v>1121</v>
      </c>
      <c r="M24" s="1919">
        <f ca="1">INDIRECT("'数据-取费表'!Am"&amp;$G$1)</f>
        <v>0.01</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24" customHeight="1">
      <c r="A25" s="1829" t="s">
        <v>890</v>
      </c>
      <c r="B25" s="1830" t="s">
        <v>1158</v>
      </c>
      <c r="C25" s="289"/>
      <c r="D25" s="1834" t="s">
        <v>1159</v>
      </c>
      <c r="E25" s="291"/>
      <c r="F25" s="1926"/>
      <c r="G25" s="776"/>
      <c r="H25" s="1825" t="s">
        <v>1160</v>
      </c>
      <c r="I25" s="1852" t="s">
        <v>1161</v>
      </c>
      <c r="J25" s="1827">
        <f ca="1">J5-J16</f>
        <v>-675</v>
      </c>
      <c r="K25" s="1853" t="s">
        <v>1162</v>
      </c>
      <c r="L25" s="1937"/>
      <c r="M25" s="1938"/>
    </row>
    <row r="26" spans="1:37">
      <c r="A26" s="1829" t="s">
        <v>857</v>
      </c>
      <c r="B26" s="1830" t="s">
        <v>1163</v>
      </c>
      <c r="C26" s="289">
        <f ca="1">ROUND((C19+C20)*F26,0)</f>
        <v>3336</v>
      </c>
      <c r="D26" s="1835" t="s">
        <v>1164</v>
      </c>
      <c r="E26" s="1915" t="s">
        <v>1165</v>
      </c>
      <c r="F26" s="1914">
        <f ca="1">INDIRECT("'数据-取费表'!q"&amp;$G$1)</f>
        <v>0.15</v>
      </c>
      <c r="G26" s="776"/>
      <c r="H26" s="1804" t="s">
        <v>1166</v>
      </c>
      <c r="I26" s="1805" t="s">
        <v>1167</v>
      </c>
      <c r="J26" s="1854">
        <f ca="1">IF(J5&lt;&gt;0,ROUND(J25*(1-((1+M28)/(1+M26))^M27)/(M26-M28),0),0)</f>
        <v>0</v>
      </c>
      <c r="K26" s="1846" t="s">
        <v>1168</v>
      </c>
      <c r="L26" s="1830" t="s">
        <v>1169</v>
      </c>
      <c r="M26" s="1914">
        <f ca="1">INDIRECT("'数据-取费表'!I"&amp;$G$1)</f>
        <v>5.5E-2</v>
      </c>
    </row>
    <row r="27" spans="1:37" ht="18" customHeight="1">
      <c r="A27" s="1829" t="s">
        <v>861</v>
      </c>
      <c r="B27" s="1830" t="s">
        <v>1170</v>
      </c>
      <c r="C27" s="289">
        <f ca="1">ROUND(F21*F26,4)</f>
        <v>3.0000000000000001E-3</v>
      </c>
      <c r="D27" s="1835" t="s">
        <v>1171</v>
      </c>
      <c r="E27" s="1833"/>
      <c r="F27" s="1923"/>
      <c r="G27" s="776"/>
      <c r="H27" s="1814"/>
      <c r="I27" s="1855"/>
      <c r="J27" s="1815"/>
      <c r="K27" s="1856" t="s">
        <v>1172</v>
      </c>
      <c r="L27" s="1830" t="s">
        <v>1173</v>
      </c>
      <c r="M27" s="1940">
        <f ca="1">INDIRECT("'数据-取费表'!ag"&amp;$G$1)</f>
        <v>0</v>
      </c>
    </row>
    <row r="28" spans="1:37" s="1792" customFormat="1" ht="18" customHeight="1">
      <c r="A28" s="1829" t="s">
        <v>891</v>
      </c>
      <c r="B28" s="1830" t="s">
        <v>1174</v>
      </c>
      <c r="C28" s="289">
        <f>ROUND(F28/(1+'数据-取费表'!C42),4)</f>
        <v>5.33E-2</v>
      </c>
      <c r="D28" s="1835" t="s">
        <v>1175</v>
      </c>
      <c r="E28" s="1830" t="s">
        <v>1121</v>
      </c>
      <c r="F28" s="1925">
        <f>'数据-取费表'!B41</f>
        <v>5.6000000000000001E-2</v>
      </c>
      <c r="G28" s="1924"/>
      <c r="H28" s="1818"/>
      <c r="I28" s="1857"/>
      <c r="J28" s="1827"/>
      <c r="K28" s="1850"/>
      <c r="L28" s="1830" t="s">
        <v>1176</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1080</v>
      </c>
      <c r="B29" s="1838" t="s">
        <v>1177</v>
      </c>
      <c r="C29" s="1839">
        <f ca="1">ROUND((C19+C20+C23+C26)/(1-F21-C24-C27-C28),0)</f>
        <v>28710</v>
      </c>
      <c r="D29" s="1840"/>
      <c r="E29" s="1838"/>
      <c r="F29" s="1929"/>
      <c r="G29" s="1924"/>
      <c r="H29" s="1858" t="s">
        <v>1178</v>
      </c>
      <c r="I29" s="1859" t="s">
        <v>1179</v>
      </c>
      <c r="J29" s="1860">
        <f ca="1">ROUND(J26/(1+F40)^F41,0)</f>
        <v>0</v>
      </c>
      <c r="K29" s="1861" t="s">
        <v>1180</v>
      </c>
      <c r="L29" s="1942"/>
      <c r="M29" s="1943">
        <f ca="1">INDIRECT("'数据-取费表'!k"&amp;$G$1)</f>
        <v>29009.8</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1122</v>
      </c>
      <c r="B30" s="1826" t="s">
        <v>1123</v>
      </c>
      <c r="C30" s="1827">
        <f ca="1">ROUND(C31+C36+C37+C38,0)</f>
        <v>433</v>
      </c>
      <c r="D30" s="1841" t="s">
        <v>1124</v>
      </c>
      <c r="E30" s="1930"/>
      <c r="F30" s="1911"/>
      <c r="G30" s="776"/>
      <c r="H30" s="1931"/>
      <c r="I30" s="1979"/>
      <c r="J30" s="1980"/>
      <c r="K30" s="1981"/>
      <c r="L30" s="1982"/>
      <c r="M30" s="2032"/>
    </row>
    <row r="31" spans="1:37" ht="18" customHeight="1">
      <c r="A31" s="1829" t="s">
        <v>834</v>
      </c>
      <c r="B31" s="1830" t="s">
        <v>1129</v>
      </c>
      <c r="C31" s="1842">
        <f ca="1">ROUND(IF(AND(项目基本情况!B11="自然人",项目基本情况!B10="北京市"),C6*F31/(1+'数据-取费表'!C42),C32+C33+C34),0)</f>
        <v>2</v>
      </c>
      <c r="D31" s="1832" t="s">
        <v>1130</v>
      </c>
      <c r="E31" s="1843" t="s">
        <v>1131</v>
      </c>
      <c r="F31" s="1932" t="str">
        <f>IF(项目基本情况!B11="企业","——",IF('数据-取费表'!B10="住宅",IF(F6*F7*F8/12/(1+'数据-取费表'!F30)&gt;100000,4%,2.5%),IF(F6*F7*F8/12/(1+'数据-取费表'!F30)&gt;100000,12%,7%)))</f>
        <v>——</v>
      </c>
      <c r="G31" s="776"/>
      <c r="H31" s="1933" t="s">
        <v>1181</v>
      </c>
      <c r="I31" s="1979"/>
      <c r="J31" s="1980"/>
      <c r="K31" s="1981"/>
      <c r="L31" s="1982"/>
      <c r="M31" s="2032"/>
    </row>
    <row r="32" spans="1:37" ht="18" customHeight="1">
      <c r="A32" s="1829" t="s">
        <v>857</v>
      </c>
      <c r="B32" s="1830" t="s">
        <v>1133</v>
      </c>
      <c r="C32" s="289">
        <f ca="1">IF(项目基本情况!B11="自然人","——",ROUND(C6*F32/(1+'数据-取费表'!C42),2))</f>
        <v>0</v>
      </c>
      <c r="D32" s="1843" t="s">
        <v>1134</v>
      </c>
      <c r="E32" s="1830" t="s">
        <v>1121</v>
      </c>
      <c r="F32" s="1928">
        <f>'数据-取费表'!B41</f>
        <v>5.6000000000000001E-2</v>
      </c>
      <c r="G32" s="776"/>
      <c r="H32" s="1931"/>
      <c r="I32" s="1979"/>
      <c r="J32" s="1980"/>
      <c r="K32" s="1981"/>
      <c r="L32" s="1982"/>
      <c r="M32" s="2032"/>
    </row>
    <row r="33" spans="1:18" ht="18" customHeight="1">
      <c r="A33" s="1829" t="s">
        <v>861</v>
      </c>
      <c r="B33" s="1830" t="s">
        <v>1137</v>
      </c>
      <c r="C33" s="289">
        <f ca="1">IF(项目基本情况!B11="自然人","——",IF(D33="按租金收入计税",ROUND(C6*F33/(1+'数据-取费表'!C42),2),IF(D33="按房产原值计税",ROUND(C29*F33*0.7,2),INDIRECT("'数据-取费表'!Aj"&amp;$G$1))))</f>
        <v>0</v>
      </c>
      <c r="D33" s="1844" t="s">
        <v>1182</v>
      </c>
      <c r="E33" s="1830" t="s">
        <v>1121</v>
      </c>
      <c r="F33" s="1925">
        <f>IF(D33="按票据","——",IF(D33="按租金收入计税",'数据-取费表'!B51,'数据-取费表'!B50))</f>
        <v>0.12</v>
      </c>
      <c r="G33" s="776"/>
      <c r="H33" s="1934"/>
      <c r="I33" s="1979"/>
      <c r="J33" s="1980"/>
      <c r="K33" s="1983"/>
      <c r="L33" s="1934"/>
      <c r="M33" s="1934"/>
    </row>
    <row r="34" spans="1:18" ht="18" customHeight="1">
      <c r="A34" s="1808" t="s">
        <v>864</v>
      </c>
      <c r="B34" s="1810" t="s">
        <v>1141</v>
      </c>
      <c r="C34" s="1845">
        <f ca="1">IF(项目基本情况!B11="自然人","——",ROUND(F34*F35/10000,2))</f>
        <v>2.4900000000000002</v>
      </c>
      <c r="D34" s="1846" t="s">
        <v>1142</v>
      </c>
      <c r="E34" s="1830" t="s">
        <v>1143</v>
      </c>
      <c r="F34" s="1927">
        <f>'数据-取费表'!B52</f>
        <v>3</v>
      </c>
      <c r="G34" s="776"/>
      <c r="H34" s="1931"/>
      <c r="I34" s="1979"/>
      <c r="J34" s="1980"/>
      <c r="K34" s="1984"/>
      <c r="L34" s="1985"/>
      <c r="M34" s="1985"/>
    </row>
    <row r="35" spans="1:18" ht="18" customHeight="1">
      <c r="A35" s="1847"/>
      <c r="B35" s="1848"/>
      <c r="C35" s="1849"/>
      <c r="D35" s="1850"/>
      <c r="E35" s="1830" t="s">
        <v>1147</v>
      </c>
      <c r="F35" s="1912">
        <f ca="1">INDIRECT("'数据-取费表'!r"&amp;$G$1)</f>
        <v>8299.16</v>
      </c>
      <c r="G35" s="776"/>
      <c r="H35" s="1931"/>
      <c r="I35" s="1979"/>
      <c r="J35" s="1980"/>
      <c r="K35" s="1983"/>
      <c r="L35" s="1934"/>
      <c r="M35" s="1934"/>
    </row>
    <row r="36" spans="1:18" ht="18" customHeight="1">
      <c r="A36" s="1851" t="s">
        <v>838</v>
      </c>
      <c r="B36" s="1830" t="s">
        <v>1149</v>
      </c>
      <c r="C36" s="289">
        <f ca="1">ROUND(C29*F36,1)</f>
        <v>430.7</v>
      </c>
      <c r="D36" s="1843" t="s">
        <v>1183</v>
      </c>
      <c r="E36" s="1830" t="s">
        <v>1121</v>
      </c>
      <c r="F36" s="1935">
        <f ca="1">INDIRECT("'数据-取费表'!Ak"&amp;$G$1)</f>
        <v>1.4999999999999999E-2</v>
      </c>
      <c r="G36" s="776"/>
      <c r="H36" s="1934"/>
      <c r="I36" s="1979"/>
      <c r="J36" s="1980"/>
      <c r="K36" s="1986"/>
      <c r="L36" s="1934"/>
      <c r="M36" s="1934"/>
    </row>
    <row r="37" spans="1:18" ht="18" customHeight="1">
      <c r="A37" s="1829" t="s">
        <v>883</v>
      </c>
      <c r="B37" s="1830" t="s">
        <v>1153</v>
      </c>
      <c r="C37" s="289">
        <f ca="1">ROUND(C13*F37,1)</f>
        <v>0</v>
      </c>
      <c r="D37" s="1843" t="s">
        <v>1154</v>
      </c>
      <c r="E37" s="1830" t="s">
        <v>1121</v>
      </c>
      <c r="F37" s="1936">
        <f ca="1">INDIRECT("'数据-取费表'!Al"&amp;$G$1)</f>
        <v>1.5E-3</v>
      </c>
      <c r="G37" s="776"/>
      <c r="H37" s="1934"/>
      <c r="I37" s="1979"/>
      <c r="J37" s="1980"/>
      <c r="K37" s="1986"/>
      <c r="L37" s="1934"/>
      <c r="M37" s="1934"/>
    </row>
    <row r="38" spans="1:18" ht="18" customHeight="1">
      <c r="A38" s="1837" t="s">
        <v>886</v>
      </c>
      <c r="B38" s="1838" t="s">
        <v>1139</v>
      </c>
      <c r="C38" s="1839">
        <f ca="1">ROUND(C5*F38,1)</f>
        <v>0</v>
      </c>
      <c r="D38" s="1840" t="s">
        <v>1157</v>
      </c>
      <c r="E38" s="1838" t="s">
        <v>1121</v>
      </c>
      <c r="F38" s="1919">
        <f ca="1">INDIRECT("'数据-取费表'!Am"&amp;$G$1)</f>
        <v>0.01</v>
      </c>
      <c r="G38" s="776"/>
      <c r="H38" s="1934"/>
      <c r="I38" s="1979"/>
      <c r="J38" s="1980"/>
      <c r="K38" s="1987"/>
      <c r="L38" s="1934"/>
      <c r="M38" s="1934"/>
    </row>
    <row r="39" spans="1:18" ht="24.6" customHeight="1">
      <c r="A39" s="1825" t="s">
        <v>1160</v>
      </c>
      <c r="B39" s="1852" t="s">
        <v>1161</v>
      </c>
      <c r="C39" s="1827">
        <f ca="1">C5-C30</f>
        <v>-433</v>
      </c>
      <c r="D39" s="1853" t="s">
        <v>1162</v>
      </c>
      <c r="E39" s="1937"/>
      <c r="F39" s="1938"/>
      <c r="G39" s="776"/>
      <c r="H39" s="1934"/>
      <c r="I39" s="1979"/>
      <c r="J39" s="1980"/>
      <c r="K39" s="1987"/>
      <c r="L39" s="1934"/>
      <c r="M39" s="1934"/>
    </row>
    <row r="40" spans="1:18" ht="18" customHeight="1">
      <c r="A40" s="1804" t="s">
        <v>1166</v>
      </c>
      <c r="B40" s="1805" t="s">
        <v>1184</v>
      </c>
      <c r="C40" s="1854">
        <f ca="1">ROUND(C39*(1-((1+F42)/(1+F40))^F41)/(F40-F42),0)</f>
        <v>-6068</v>
      </c>
      <c r="D40" s="1846" t="s">
        <v>1168</v>
      </c>
      <c r="E40" s="1830" t="s">
        <v>1169</v>
      </c>
      <c r="F40" s="1914">
        <f ca="1">INDIRECT("'数据-取费表'!I"&amp;$G$1)</f>
        <v>5.5E-2</v>
      </c>
      <c r="G40" s="776"/>
      <c r="H40" s="1939"/>
      <c r="I40" s="1979"/>
      <c r="J40" s="1980"/>
      <c r="K40" s="1987"/>
      <c r="L40" s="1939"/>
      <c r="M40" s="1939"/>
    </row>
    <row r="41" spans="1:18" ht="18" customHeight="1">
      <c r="A41" s="1814"/>
      <c r="B41" s="1855"/>
      <c r="C41" s="1815"/>
      <c r="D41" s="1856" t="s">
        <v>1172</v>
      </c>
      <c r="E41" s="1830" t="s">
        <v>1173</v>
      </c>
      <c r="F41" s="1940">
        <f ca="1">IF(INDIRECT("'数据-取费表'!af"&amp;$G$1)=0,INDIRECT("'数据-取费表'!ae"&amp;$G$1),INDIRECT("'数据-取费表'!af"&amp;$G$1))</f>
        <v>27.51</v>
      </c>
      <c r="G41" s="776"/>
      <c r="H41" s="1941"/>
      <c r="I41" s="1979"/>
      <c r="J41" s="1980"/>
      <c r="K41" s="1986"/>
      <c r="L41" s="1941"/>
      <c r="M41" s="1941"/>
    </row>
    <row r="42" spans="1:18" ht="18" customHeight="1">
      <c r="A42" s="1818"/>
      <c r="B42" s="1857"/>
      <c r="C42" s="1827"/>
      <c r="D42" s="1850"/>
      <c r="E42" s="1830" t="s">
        <v>1176</v>
      </c>
      <c r="F42" s="1914">
        <f ca="1">INDIRECT("'数据-取费表'!v"&amp;$G$1)</f>
        <v>0</v>
      </c>
      <c r="G42" s="776"/>
      <c r="H42" s="1941"/>
      <c r="I42" s="1979"/>
      <c r="J42" s="1980"/>
      <c r="K42" s="1986"/>
      <c r="L42" s="1941"/>
      <c r="M42" s="1941"/>
    </row>
    <row r="43" spans="1:18" ht="18" customHeight="1">
      <c r="A43" s="1858" t="s">
        <v>1178</v>
      </c>
      <c r="B43" s="1859" t="s">
        <v>1185</v>
      </c>
      <c r="C43" s="1860">
        <f ca="1">ROUND(C40*10000/F43,0)</f>
        <v>-2092</v>
      </c>
      <c r="D43" s="1861" t="s">
        <v>1186</v>
      </c>
      <c r="E43" s="1942" t="s">
        <v>1187</v>
      </c>
      <c r="F43" s="1943">
        <f ca="1">INDIRECT("'数据-取费表'!k"&amp;$G$1)</f>
        <v>29009.8</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3"/>
      <c r="D45" s="1862"/>
      <c r="E45" s="1862"/>
      <c r="F45" s="1862"/>
      <c r="J45" s="362"/>
      <c r="O45" s="2077" t="s">
        <v>1188</v>
      </c>
      <c r="P45" s="1939"/>
      <c r="Q45" s="1939"/>
      <c r="R45" s="1939"/>
    </row>
    <row r="46" spans="1:18" s="776" customFormat="1">
      <c r="A46" s="1866" t="s">
        <v>1189</v>
      </c>
      <c r="C46" s="1867">
        <f ca="1">C68-C40</f>
        <v>-33800</v>
      </c>
      <c r="D46" s="1868" t="str">
        <f>C2</f>
        <v>万元</v>
      </c>
      <c r="E46" s="1862"/>
      <c r="F46" s="1862"/>
      <c r="I46" s="1989" t="s">
        <v>1190</v>
      </c>
      <c r="J46" s="1990"/>
      <c r="K46" s="1991"/>
      <c r="L46" s="1992" t="str">
        <f ca="1">IF(M47="住宅",0,IF(L48&gt;J51,L60,J60))</f>
        <v>0</v>
      </c>
      <c r="O46" s="2034" t="s">
        <v>1191</v>
      </c>
      <c r="P46" s="2035" t="s">
        <v>1192</v>
      </c>
      <c r="Q46" s="2045" t="s">
        <v>1193</v>
      </c>
      <c r="R46" s="2045" t="s">
        <v>1194</v>
      </c>
    </row>
    <row r="47" spans="1:18" s="776" customFormat="1">
      <c r="A47" s="1869" t="s">
        <v>1092</v>
      </c>
      <c r="B47" s="1870" t="s">
        <v>1093</v>
      </c>
      <c r="C47" s="2072" t="s">
        <v>1094</v>
      </c>
      <c r="D47" s="1870" t="s">
        <v>1095</v>
      </c>
      <c r="E47" s="1944" t="s">
        <v>1096</v>
      </c>
      <c r="F47" s="306"/>
      <c r="G47" s="1945"/>
      <c r="I47" s="1993" t="s">
        <v>1195</v>
      </c>
      <c r="J47" s="1994" t="s">
        <v>1196</v>
      </c>
      <c r="K47" s="1995" t="s">
        <v>1197</v>
      </c>
      <c r="L47" s="1996">
        <f ca="1">INDIRECT("'数据-取费表'!d"&amp;$G$1)</f>
        <v>40</v>
      </c>
      <c r="M47" s="2036" t="str">
        <f>IF(ISNUMBER(FIND("住宅",C1)),"住宅","非住宅")</f>
        <v>非住宅</v>
      </c>
      <c r="O47" s="2037" t="s">
        <v>940</v>
      </c>
      <c r="P47" s="2038" t="s">
        <v>1198</v>
      </c>
      <c r="Q47" s="2046">
        <f ca="1">C40+J29</f>
        <v>-6068</v>
      </c>
      <c r="R47" s="2046" t="s">
        <v>1199</v>
      </c>
    </row>
    <row r="48" spans="1:18" s="776" customFormat="1" ht="27.75">
      <c r="A48" s="1871" t="s">
        <v>1200</v>
      </c>
      <c r="B48" s="1805" t="s">
        <v>1097</v>
      </c>
      <c r="C48" s="290">
        <f ca="1">C49+C53+C55</f>
        <v>0</v>
      </c>
      <c r="D48" s="1872"/>
      <c r="E48" s="1946"/>
      <c r="F48" s="1947"/>
      <c r="G48" s="1945"/>
      <c r="H48" s="1948"/>
      <c r="I48" s="811" t="s">
        <v>1201</v>
      </c>
      <c r="J48" s="1997" t="s">
        <v>1202</v>
      </c>
      <c r="K48" s="1998" t="s">
        <v>1203</v>
      </c>
      <c r="L48" s="1999">
        <f ca="1">INDIRECT("'数据-取费表'!f"&amp;$G$1)</f>
        <v>27.51</v>
      </c>
      <c r="O48" s="2037" t="s">
        <v>944</v>
      </c>
      <c r="P48" s="2038" t="s">
        <v>1204</v>
      </c>
      <c r="Q48" s="2046" t="str">
        <f ca="1">J60</f>
        <v>0</v>
      </c>
      <c r="R48" s="2046" t="s">
        <v>1205</v>
      </c>
    </row>
    <row r="49" spans="1:18" s="776" customFormat="1">
      <c r="A49" s="1873" t="s">
        <v>1206</v>
      </c>
      <c r="B49" s="1874" t="s">
        <v>1207</v>
      </c>
      <c r="C49" s="1875">
        <f ca="1">ROUND(F49*F51*F50*(1-F52)/10000,0)</f>
        <v>0</v>
      </c>
      <c r="D49" s="1876" t="s">
        <v>1102</v>
      </c>
      <c r="E49" s="1949" t="s">
        <v>1208</v>
      </c>
      <c r="F49" s="1950"/>
      <c r="G49" s="1951"/>
      <c r="H49" s="1948"/>
      <c r="I49" s="811" t="s">
        <v>1209</v>
      </c>
      <c r="J49" s="2000">
        <v>2008</v>
      </c>
      <c r="K49" s="1998" t="s">
        <v>1210</v>
      </c>
      <c r="L49" s="2001"/>
      <c r="O49" s="2039" t="s">
        <v>1211</v>
      </c>
      <c r="P49" s="2038" t="s">
        <v>1212</v>
      </c>
      <c r="Q49" s="2046">
        <f ca="1">C29</f>
        <v>28710</v>
      </c>
      <c r="R49" s="2046" t="s">
        <v>1199</v>
      </c>
    </row>
    <row r="50" spans="1:18" s="776" customFormat="1">
      <c r="A50" s="1877"/>
      <c r="B50" s="1878"/>
      <c r="C50" s="2073"/>
      <c r="D50" s="1880"/>
      <c r="E50" s="1952" t="s">
        <v>1103</v>
      </c>
      <c r="F50" s="1953">
        <f ca="1">F7</f>
        <v>1</v>
      </c>
      <c r="H50" s="1948"/>
      <c r="I50" s="811" t="s">
        <v>1213</v>
      </c>
      <c r="J50" s="2002">
        <f>SUMPRODUCT((I63:I65=J47)*(J62:L62=J48)*(J63:L65))</f>
        <v>60</v>
      </c>
      <c r="K50" s="1998" t="s">
        <v>1214</v>
      </c>
      <c r="L50" s="2001"/>
      <c r="M50" s="2040"/>
      <c r="O50" s="2039" t="s">
        <v>1215</v>
      </c>
      <c r="P50" s="2038" t="s">
        <v>1216</v>
      </c>
      <c r="Q50" s="2047" t="e">
        <f ca="1">J58</f>
        <v>#VALUE!</v>
      </c>
      <c r="R50" s="2046"/>
    </row>
    <row r="51" spans="1:18" s="776" customFormat="1">
      <c r="A51" s="1881"/>
      <c r="B51" s="1878"/>
      <c r="C51" s="1879"/>
      <c r="D51" s="1880"/>
      <c r="E51" s="1954" t="s">
        <v>1104</v>
      </c>
      <c r="F51" s="1912">
        <f ca="1">F8</f>
        <v>1</v>
      </c>
      <c r="I51" s="2003" t="s">
        <v>1217</v>
      </c>
      <c r="J51" s="2004">
        <f>IF(J49="",J50,J49+J50-YEAR('数据-取费表'!B2))</f>
        <v>46</v>
      </c>
      <c r="K51" s="2005" t="s">
        <v>1218</v>
      </c>
      <c r="L51" s="2006">
        <f ca="1">ROUND(-PV(INDIRECT("'数据-取费表'!h"&amp;$G$1),J51,(C39-C13*C76),0),0)</f>
        <v>-7742</v>
      </c>
      <c r="M51" s="2041"/>
      <c r="O51" s="2039" t="s">
        <v>1219</v>
      </c>
      <c r="P51" s="2038" t="s">
        <v>1220</v>
      </c>
      <c r="Q51" s="2047">
        <f>J52</f>
        <v>0.08</v>
      </c>
      <c r="R51" s="2046"/>
    </row>
    <row r="52" spans="1:18" s="776" customFormat="1">
      <c r="A52" s="1881"/>
      <c r="B52" s="1878"/>
      <c r="C52" s="1879"/>
      <c r="D52" s="1880"/>
      <c r="E52" s="1954" t="s">
        <v>1105</v>
      </c>
      <c r="F52" s="1955"/>
      <c r="I52" s="2007" t="s">
        <v>1221</v>
      </c>
      <c r="J52" s="2008">
        <v>0.08</v>
      </c>
      <c r="K52" s="2007" t="s">
        <v>1222</v>
      </c>
      <c r="L52" s="2008"/>
      <c r="O52" s="2039" t="s">
        <v>1223</v>
      </c>
      <c r="P52" s="2038" t="s">
        <v>1224</v>
      </c>
      <c r="Q52" s="2046">
        <f ca="1">J53</f>
        <v>27.51</v>
      </c>
      <c r="R52" s="2046" t="s">
        <v>1225</v>
      </c>
    </row>
    <row r="53" spans="1:18" s="776" customFormat="1" ht="24">
      <c r="A53" s="2074" t="s">
        <v>1226</v>
      </c>
      <c r="B53" s="2075" t="s">
        <v>1106</v>
      </c>
      <c r="C53" s="288">
        <f ca="1">ROUND(IF(F53="押一",C49/12*F11,IF(F53="押二",C49/12*2*F11,IF(F53="押三",C49/12*3*F11,C54*F11))),0)</f>
        <v>0</v>
      </c>
      <c r="D53" s="1817" t="s">
        <v>1107</v>
      </c>
      <c r="E53" s="1915" t="s">
        <v>1108</v>
      </c>
      <c r="F53" s="1916"/>
      <c r="I53" s="2009" t="s">
        <v>1227</v>
      </c>
      <c r="J53" s="2010">
        <f ca="1">IF(M47="住宅",IF(D1="——",MAX(J51,L48),MAX(J51,L48-'数据-取费表'!B24)),IF(D1="——",MIN(J51,L48),MIN(J51,L48-'数据-取费表'!B24)))</f>
        <v>27.51</v>
      </c>
      <c r="K53" s="3415" t="s">
        <v>1228</v>
      </c>
      <c r="L53" s="3416"/>
      <c r="O53" s="2037" t="s">
        <v>1048</v>
      </c>
      <c r="P53" s="2038" t="s">
        <v>1229</v>
      </c>
      <c r="Q53" s="2046">
        <f ca="1">Q47+Q48</f>
        <v>-6068</v>
      </c>
      <c r="R53" s="2046" t="s">
        <v>1230</v>
      </c>
    </row>
    <row r="54" spans="1:18" s="776" customFormat="1">
      <c r="A54" s="2076"/>
      <c r="B54" s="1819" t="s">
        <v>1111</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2"/>
      <c r="K54" s="2012"/>
      <c r="L54" s="2012"/>
      <c r="M54" s="1951"/>
      <c r="O54" s="2033" t="s">
        <v>1231</v>
      </c>
      <c r="P54" s="2042"/>
      <c r="Q54" s="2042"/>
      <c r="R54" s="2042"/>
    </row>
    <row r="55" spans="1:18" s="776" customFormat="1">
      <c r="A55" s="1821" t="s">
        <v>883</v>
      </c>
      <c r="B55" s="1822" t="s">
        <v>1113</v>
      </c>
      <c r="C55" s="1823"/>
      <c r="D55" s="1817"/>
      <c r="E55" s="1956"/>
      <c r="F55" s="1957"/>
      <c r="I55" s="2013" t="s">
        <v>1232</v>
      </c>
      <c r="J55" s="2014" t="e">
        <f ca="1">ROUND(IF(J47="钢混",J57/J50,1-(1-2%)*(J50-J57)/J50),3)</f>
        <v>#VALUE!</v>
      </c>
      <c r="K55" s="2015" t="s">
        <v>1233</v>
      </c>
      <c r="L55" s="2016" t="s">
        <v>1234</v>
      </c>
      <c r="O55" s="2034" t="s">
        <v>1191</v>
      </c>
      <c r="P55" s="2035" t="s">
        <v>1192</v>
      </c>
      <c r="Q55" s="2045" t="s">
        <v>1193</v>
      </c>
      <c r="R55" s="2045" t="s">
        <v>1194</v>
      </c>
    </row>
    <row r="56" spans="1:18" s="776" customFormat="1" ht="24">
      <c r="A56" s="1884">
        <v>2</v>
      </c>
      <c r="B56" s="1885" t="s">
        <v>1114</v>
      </c>
      <c r="C56" s="182">
        <f ca="1">C13</f>
        <v>0</v>
      </c>
      <c r="D56" s="1886"/>
      <c r="E56" s="1958"/>
      <c r="F56" s="1957"/>
      <c r="I56" s="2017" t="s">
        <v>1235</v>
      </c>
      <c r="J56" s="2018" t="s">
        <v>472</v>
      </c>
      <c r="K56" s="811" t="s">
        <v>1236</v>
      </c>
      <c r="L56" s="1999" t="str">
        <f ca="1">IF(L48&lt;J51,"——",L48-J53)</f>
        <v>——</v>
      </c>
      <c r="O56" s="2037" t="s">
        <v>940</v>
      </c>
      <c r="P56" s="2038" t="s">
        <v>1198</v>
      </c>
      <c r="Q56" s="2046">
        <f ca="1">C40+J29</f>
        <v>-6068</v>
      </c>
      <c r="R56" s="2046" t="s">
        <v>1199</v>
      </c>
    </row>
    <row r="57" spans="1:18" s="776" customFormat="1" ht="24">
      <c r="A57" s="1887"/>
      <c r="B57" s="1888" t="s">
        <v>1177</v>
      </c>
      <c r="C57" s="188">
        <f ca="1">C29</f>
        <v>28710</v>
      </c>
      <c r="D57" s="1889"/>
      <c r="E57" s="1959"/>
      <c r="F57" s="1960"/>
      <c r="I57" s="2019" t="s">
        <v>1237</v>
      </c>
      <c r="J57" s="2020" t="str">
        <f ca="1">IF(OR(M47="住宅",J51&lt;L48,J56="是"),"——",J51-L48)</f>
        <v>——</v>
      </c>
      <c r="K57" s="811" t="s">
        <v>1238</v>
      </c>
      <c r="L57" s="1999" t="str">
        <f ca="1">IF(L48&lt;J51,"——",IF(L55="比较法",L49,IF(L55="基准地价",L50,L51)))</f>
        <v>——</v>
      </c>
      <c r="O57" s="2037" t="s">
        <v>944</v>
      </c>
      <c r="P57" s="2038" t="s">
        <v>1239</v>
      </c>
      <c r="Q57" s="2046">
        <f ca="1">L60</f>
        <v>0</v>
      </c>
      <c r="R57" s="2046" t="s">
        <v>1240</v>
      </c>
    </row>
    <row r="58" spans="1:18" s="776" customFormat="1" ht="24">
      <c r="A58" s="1890" t="s">
        <v>1122</v>
      </c>
      <c r="B58" s="1885" t="s">
        <v>1123</v>
      </c>
      <c r="C58" s="288">
        <f ca="1">ROUND(C59+C64+C65+C66,0)</f>
        <v>2845</v>
      </c>
      <c r="D58" s="1891" t="s">
        <v>1124</v>
      </c>
      <c r="E58" s="1961"/>
      <c r="F58" s="1947"/>
      <c r="I58" s="2019" t="s">
        <v>1241</v>
      </c>
      <c r="J58" s="2021" t="e">
        <f ca="1">IF(J55&lt;0.4,0.4,J55)</f>
        <v>#VALUE!</v>
      </c>
      <c r="K58" s="2005" t="s">
        <v>1242</v>
      </c>
      <c r="L58" s="1999" t="e">
        <f ca="1">ROUND(POWER(1+L52,L47-L48)*(POWER(1+L52,L48)-1)/(POWER(1+L52,L47)-1),4)</f>
        <v>#DIV/0!</v>
      </c>
      <c r="O58" s="2039" t="s">
        <v>1211</v>
      </c>
      <c r="P58" s="2038" t="s">
        <v>1243</v>
      </c>
      <c r="Q58" s="2046">
        <f>IF(L55="比较法",L49,IF(L55="基准地价",L50,0))</f>
        <v>0</v>
      </c>
      <c r="R58" s="2046" t="s">
        <v>1199</v>
      </c>
    </row>
    <row r="59" spans="1:18" s="776" customFormat="1" ht="24">
      <c r="A59" s="1829" t="s">
        <v>834</v>
      </c>
      <c r="B59" s="1888" t="s">
        <v>1129</v>
      </c>
      <c r="C59" s="1842">
        <f ca="1">ROUND(IF(AND(项目基本情况!B11="自然人",项目基本情况!B10="北京市"),C49*F59/(1+'数据-取费表'!C42),C60+C61+C62),0)</f>
        <v>2414</v>
      </c>
      <c r="D59" s="1892" t="s">
        <v>1130</v>
      </c>
      <c r="E59" s="1893" t="s">
        <v>1131</v>
      </c>
      <c r="F59" s="1932" t="str">
        <f>IF(项目基本情况!B11="企业","——",IF('数据-取费表'!B10="住宅",IF(F49*F50*F51/12/(1+'数据-取费表'!F30)&gt;100000,4%,2.5%),IF(F49*F50*F51/12/(1+'数据-取费表'!F30)&gt;100000,12%,7%)))</f>
        <v>——</v>
      </c>
      <c r="I59" s="2019" t="s">
        <v>1244</v>
      </c>
      <c r="J59" s="2020"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39" t="s">
        <v>1215</v>
      </c>
      <c r="P59" s="2038" t="s">
        <v>1245</v>
      </c>
      <c r="Q59" s="2047">
        <f>L52</f>
        <v>0</v>
      </c>
      <c r="R59" s="2046"/>
    </row>
    <row r="60" spans="1:18" s="776" customFormat="1" ht="15.75">
      <c r="A60" s="1829" t="s">
        <v>857</v>
      </c>
      <c r="B60" s="1888" t="s">
        <v>1133</v>
      </c>
      <c r="C60" s="289">
        <f ca="1">IF(项目基本情况!B11="自然人","——",ROUND(C48*F60/(1+'数据-取费表'!C42),2))</f>
        <v>0</v>
      </c>
      <c r="D60" s="1893" t="s">
        <v>1134</v>
      </c>
      <c r="E60" s="1888" t="s">
        <v>1121</v>
      </c>
      <c r="F60" s="1928">
        <f t="shared" ref="F60:F66" si="0">F32</f>
        <v>5.6000000000000001E-2</v>
      </c>
      <c r="I60" s="2022" t="s">
        <v>1246</v>
      </c>
      <c r="J60" s="2023" t="str">
        <f ca="1">IF(OR(M47="住宅",J51&lt;L48,J56="是"),"0",ROUND(J59/(1+J52)^J53,0))</f>
        <v>0</v>
      </c>
      <c r="K60" s="2024" t="s">
        <v>1247</v>
      </c>
      <c r="L60" s="2023">
        <f ca="1">IF(OR(M47="住宅",L48&lt;J51),0,ROUND(L57*(L58/L59-1),0))</f>
        <v>0</v>
      </c>
      <c r="O60" s="2039" t="s">
        <v>1219</v>
      </c>
      <c r="P60" s="2038" t="s">
        <v>1248</v>
      </c>
      <c r="Q60" s="2046" t="e">
        <f ca="1">L58</f>
        <v>#DIV/0!</v>
      </c>
      <c r="R60" s="2046" t="s">
        <v>1249</v>
      </c>
    </row>
    <row r="61" spans="1:18" s="776" customFormat="1">
      <c r="A61" s="1829" t="s">
        <v>861</v>
      </c>
      <c r="B61" s="1888" t="s">
        <v>1137</v>
      </c>
      <c r="C61" s="289">
        <f ca="1">IF(项目基本情况!B11="自然人","——",IF(D61="按租金收入计税",ROUND(C49*F61/(1+'数据-取费表'!C42),2),IF(D61="按房产原值计税",ROUND(C57*F61*0.7,2),INDIRECT("'数据-取费表'!Aj"&amp;$G$1))))</f>
        <v>2411.64</v>
      </c>
      <c r="D61" s="1844" t="s">
        <v>1138</v>
      </c>
      <c r="E61" s="1888" t="s">
        <v>1121</v>
      </c>
      <c r="F61" s="1925">
        <f t="shared" si="0"/>
        <v>0.12</v>
      </c>
      <c r="I61" s="1939"/>
      <c r="J61" s="1939"/>
      <c r="K61" s="1939"/>
      <c r="L61" s="1939"/>
      <c r="O61" s="2039" t="s">
        <v>1223</v>
      </c>
      <c r="P61" s="2038" t="str">
        <f>K59</f>
        <v>建筑物剩余耐用年限下的土地年期修正系数Kn</v>
      </c>
      <c r="Q61" s="2046" t="e">
        <f ca="1">L59</f>
        <v>#DIV/0!</v>
      </c>
      <c r="R61" s="2046" t="s">
        <v>1250</v>
      </c>
    </row>
    <row r="62" spans="1:18" s="776" customFormat="1">
      <c r="A62" s="1829" t="s">
        <v>864</v>
      </c>
      <c r="B62" s="1894" t="s">
        <v>1141</v>
      </c>
      <c r="C62" s="1845">
        <f ca="1">IF(项目基本情况!B11="自然人","——",ROUND(F62*F63/10000,2))</f>
        <v>2.4900000000000002</v>
      </c>
      <c r="D62" s="1895" t="s">
        <v>1142</v>
      </c>
      <c r="E62" s="1888" t="s">
        <v>1143</v>
      </c>
      <c r="F62" s="1927">
        <f t="shared" si="0"/>
        <v>3</v>
      </c>
      <c r="I62" s="2025" t="s">
        <v>1251</v>
      </c>
      <c r="J62" s="2026" t="s">
        <v>1252</v>
      </c>
      <c r="K62" s="2026" t="s">
        <v>1253</v>
      </c>
      <c r="L62" s="2026" t="s">
        <v>1254</v>
      </c>
      <c r="M62" s="2043" t="s">
        <v>1255</v>
      </c>
      <c r="O62" s="2037" t="s">
        <v>1048</v>
      </c>
      <c r="P62" s="2038" t="s">
        <v>1229</v>
      </c>
      <c r="Q62" s="2046">
        <f ca="1">Q56+Q57</f>
        <v>-6068</v>
      </c>
      <c r="R62" s="2046" t="s">
        <v>1230</v>
      </c>
    </row>
    <row r="63" spans="1:18" s="776" customFormat="1">
      <c r="A63" s="1896"/>
      <c r="B63" s="1897"/>
      <c r="C63" s="1849"/>
      <c r="D63" s="1898"/>
      <c r="E63" s="1888" t="s">
        <v>1147</v>
      </c>
      <c r="F63" s="1912">
        <f t="shared" ca="1" si="0"/>
        <v>8299.16</v>
      </c>
      <c r="I63" s="2025" t="s">
        <v>1256</v>
      </c>
      <c r="J63" s="2026">
        <v>70</v>
      </c>
      <c r="K63" s="2026">
        <v>50</v>
      </c>
      <c r="L63" s="2026">
        <v>80</v>
      </c>
      <c r="M63" s="2044">
        <v>0.02</v>
      </c>
      <c r="O63" s="2033" t="s">
        <v>1257</v>
      </c>
      <c r="P63" s="2042"/>
      <c r="Q63" s="2042"/>
      <c r="R63" s="2042"/>
    </row>
    <row r="64" spans="1:18" s="776" customFormat="1">
      <c r="A64" s="1829" t="s">
        <v>838</v>
      </c>
      <c r="B64" s="1888" t="s">
        <v>1149</v>
      </c>
      <c r="C64" s="289">
        <f ca="1">ROUND(C57*F64,1)</f>
        <v>430.7</v>
      </c>
      <c r="D64" s="1893" t="s">
        <v>1183</v>
      </c>
      <c r="E64" s="1888" t="s">
        <v>1121</v>
      </c>
      <c r="F64" s="1935">
        <f t="shared" ca="1" si="0"/>
        <v>1.4999999999999999E-2</v>
      </c>
      <c r="I64" s="2025" t="s">
        <v>1258</v>
      </c>
      <c r="J64" s="2026">
        <v>50</v>
      </c>
      <c r="K64" s="2026">
        <v>35</v>
      </c>
      <c r="L64" s="2026">
        <v>60</v>
      </c>
      <c r="M64" s="2043">
        <v>0</v>
      </c>
      <c r="O64" s="2034" t="s">
        <v>1191</v>
      </c>
      <c r="P64" s="2035" t="s">
        <v>1192</v>
      </c>
      <c r="Q64" s="2045" t="s">
        <v>1193</v>
      </c>
      <c r="R64" s="2045" t="s">
        <v>1194</v>
      </c>
    </row>
    <row r="65" spans="1:18" s="776" customFormat="1">
      <c r="A65" s="1829" t="s">
        <v>883</v>
      </c>
      <c r="B65" s="1888" t="s">
        <v>1153</v>
      </c>
      <c r="C65" s="289">
        <f ca="1">ROUND(C56*F65,1)</f>
        <v>0</v>
      </c>
      <c r="D65" s="1893" t="s">
        <v>1154</v>
      </c>
      <c r="E65" s="1888" t="s">
        <v>1121</v>
      </c>
      <c r="F65" s="1936">
        <f t="shared" ca="1" si="0"/>
        <v>1.5E-3</v>
      </c>
      <c r="I65" s="2025" t="s">
        <v>1259</v>
      </c>
      <c r="J65" s="2026">
        <v>40</v>
      </c>
      <c r="K65" s="2026">
        <v>30</v>
      </c>
      <c r="L65" s="2026">
        <v>50</v>
      </c>
      <c r="M65" s="2044">
        <v>0.02</v>
      </c>
      <c r="O65" s="2037" t="s">
        <v>940</v>
      </c>
      <c r="P65" s="2038" t="s">
        <v>1198</v>
      </c>
      <c r="Q65" s="2046">
        <f ca="1">C40+J29</f>
        <v>-6068</v>
      </c>
      <c r="R65" s="2046" t="s">
        <v>1199</v>
      </c>
    </row>
    <row r="66" spans="1:18" s="776" customFormat="1" ht="15.75">
      <c r="A66" s="1829" t="s">
        <v>886</v>
      </c>
      <c r="B66" s="1888" t="s">
        <v>1139</v>
      </c>
      <c r="C66" s="289">
        <f ca="1">ROUND(C48*F66,1)</f>
        <v>0</v>
      </c>
      <c r="D66" s="1893" t="s">
        <v>1157</v>
      </c>
      <c r="E66" s="1888" t="s">
        <v>1121</v>
      </c>
      <c r="F66" s="1914">
        <f t="shared" ca="1" si="0"/>
        <v>0.01</v>
      </c>
      <c r="O66" s="2037" t="s">
        <v>944</v>
      </c>
      <c r="P66" s="2038" t="s">
        <v>1239</v>
      </c>
      <c r="Q66" s="2046">
        <f ca="1">L60</f>
        <v>0</v>
      </c>
      <c r="R66" s="2046" t="s">
        <v>1240</v>
      </c>
    </row>
    <row r="67" spans="1:18" s="776" customFormat="1" ht="15.75">
      <c r="A67" s="1884" t="s">
        <v>1160</v>
      </c>
      <c r="B67" s="2048" t="s">
        <v>1161</v>
      </c>
      <c r="C67" s="288">
        <f ca="1">C48-C58</f>
        <v>-2845</v>
      </c>
      <c r="D67" s="1892" t="s">
        <v>1162</v>
      </c>
      <c r="E67" s="2066"/>
      <c r="F67" s="2067"/>
      <c r="O67" s="2039" t="s">
        <v>1211</v>
      </c>
      <c r="P67" s="2038" t="s">
        <v>1243</v>
      </c>
      <c r="Q67" s="2070">
        <f ca="1">L51</f>
        <v>-7742</v>
      </c>
      <c r="R67" s="2046" t="s">
        <v>1260</v>
      </c>
    </row>
    <row r="68" spans="1:18" s="776" customFormat="1" ht="15.75">
      <c r="A68" s="2049" t="s">
        <v>1166</v>
      </c>
      <c r="B68" s="2050" t="s">
        <v>1184</v>
      </c>
      <c r="C68" s="1854">
        <f ca="1">ROUND(C67*(1-((1+F70)/(1+F68))^F69)/(F68-F70),0)</f>
        <v>-39868</v>
      </c>
      <c r="D68" s="1895" t="s">
        <v>1168</v>
      </c>
      <c r="E68" s="1888" t="s">
        <v>1169</v>
      </c>
      <c r="F68" s="1914">
        <f ca="1">F40</f>
        <v>5.5E-2</v>
      </c>
      <c r="O68" s="2039" t="s">
        <v>1215</v>
      </c>
      <c r="P68" s="2069" t="s">
        <v>1261</v>
      </c>
      <c r="Q68" s="2046">
        <f ca="1">ROUND(Q69-Q70*Q71,0)</f>
        <v>-433</v>
      </c>
      <c r="R68" s="2046" t="s">
        <v>1262</v>
      </c>
    </row>
    <row r="69" spans="1:18" s="776" customFormat="1">
      <c r="A69" s="2051"/>
      <c r="B69" s="2052"/>
      <c r="C69" s="1815"/>
      <c r="D69" s="2053" t="s">
        <v>1172</v>
      </c>
      <c r="E69" s="1888" t="s">
        <v>1173</v>
      </c>
      <c r="F69" s="1940">
        <f ca="1">F41</f>
        <v>27.51</v>
      </c>
      <c r="O69" s="2039" t="s">
        <v>1263</v>
      </c>
      <c r="P69" s="2069" t="s">
        <v>1264</v>
      </c>
      <c r="Q69" s="2046">
        <f ca="1">C39</f>
        <v>-433</v>
      </c>
      <c r="R69" s="2046" t="s">
        <v>1199</v>
      </c>
    </row>
    <row r="70" spans="1:18" s="776" customFormat="1">
      <c r="A70" s="2054"/>
      <c r="B70" s="2055"/>
      <c r="C70" s="1827"/>
      <c r="D70" s="1898"/>
      <c r="E70" s="1888" t="s">
        <v>1176</v>
      </c>
      <c r="F70" s="1955"/>
      <c r="O70" s="2039" t="s">
        <v>1265</v>
      </c>
      <c r="P70" s="2069" t="s">
        <v>1266</v>
      </c>
      <c r="Q70" s="2046">
        <f ca="1">C13</f>
        <v>0</v>
      </c>
      <c r="R70" s="2046" t="s">
        <v>1199</v>
      </c>
    </row>
    <row r="71" spans="1:18" s="776" customFormat="1">
      <c r="A71" s="2056" t="s">
        <v>1178</v>
      </c>
      <c r="B71" s="2057" t="s">
        <v>1185</v>
      </c>
      <c r="C71" s="1860">
        <f ca="1">ROUND(C68*10000/F71,0)</f>
        <v>-13743</v>
      </c>
      <c r="D71" s="2058" t="s">
        <v>1186</v>
      </c>
      <c r="E71" s="2068" t="s">
        <v>1187</v>
      </c>
      <c r="F71" s="1943">
        <f ca="1">F43</f>
        <v>29009.8</v>
      </c>
      <c r="O71" s="2039" t="s">
        <v>1267</v>
      </c>
      <c r="P71" s="2069" t="s">
        <v>1268</v>
      </c>
      <c r="Q71" s="2047">
        <f ca="1">C76</f>
        <v>7.4999999999999997E-2</v>
      </c>
      <c r="R71" s="2046"/>
    </row>
    <row r="72" spans="1:18" s="776" customFormat="1">
      <c r="B72" s="362"/>
      <c r="C72" s="362"/>
      <c r="O72" s="2039" t="s">
        <v>1219</v>
      </c>
      <c r="P72" s="2038" t="s">
        <v>1245</v>
      </c>
      <c r="Q72" s="2047">
        <f>L52</f>
        <v>0</v>
      </c>
      <c r="R72" s="2046"/>
    </row>
    <row r="73" spans="1:18" ht="15.75">
      <c r="A73" s="776"/>
      <c r="B73" s="362"/>
      <c r="C73" s="362"/>
      <c r="D73" s="776"/>
      <c r="E73" s="776"/>
      <c r="F73" s="776"/>
      <c r="O73" s="2039" t="s">
        <v>1223</v>
      </c>
      <c r="P73" s="2038" t="s">
        <v>1248</v>
      </c>
      <c r="Q73" s="2046" t="e">
        <f ca="1">L58</f>
        <v>#DIV/0!</v>
      </c>
      <c r="R73" s="2046" t="s">
        <v>1249</v>
      </c>
    </row>
    <row r="74" spans="1:18">
      <c r="A74" s="776"/>
      <c r="B74" s="205" t="s">
        <v>1269</v>
      </c>
      <c r="C74" s="2059"/>
      <c r="D74" s="776"/>
      <c r="E74" s="776"/>
      <c r="F74" s="776"/>
      <c r="O74" s="2039" t="s">
        <v>1270</v>
      </c>
      <c r="P74" s="2038" t="str">
        <f>K59</f>
        <v>建筑物剩余耐用年限下的土地年期修正系数Kn</v>
      </c>
      <c r="Q74" s="2046" t="e">
        <f ca="1">L59</f>
        <v>#DIV/0!</v>
      </c>
      <c r="R74" s="2046" t="s">
        <v>1250</v>
      </c>
    </row>
    <row r="75" spans="1:18">
      <c r="A75" s="776"/>
      <c r="B75" s="2060" t="s">
        <v>1271</v>
      </c>
      <c r="C75" s="2061">
        <f ca="1">ROUND(C13*C76,0)</f>
        <v>0</v>
      </c>
      <c r="D75" s="776"/>
      <c r="E75" s="776"/>
      <c r="F75" s="776"/>
      <c r="K75" s="1988"/>
      <c r="L75" s="776"/>
      <c r="O75" s="2037" t="s">
        <v>1048</v>
      </c>
      <c r="P75" s="2038" t="s">
        <v>1229</v>
      </c>
      <c r="Q75" s="2046">
        <f ca="1">Q65+Q66</f>
        <v>-6068</v>
      </c>
      <c r="R75" s="2046" t="s">
        <v>1230</v>
      </c>
    </row>
    <row r="76" spans="1:18">
      <c r="B76" s="598" t="s">
        <v>1272</v>
      </c>
      <c r="C76" s="2062">
        <f ca="1">INDIRECT("'数据-取费表'!j"&amp;$G$1)</f>
        <v>7.4999999999999997E-2</v>
      </c>
      <c r="I76" s="776"/>
      <c r="J76" s="776"/>
      <c r="K76" s="1988"/>
      <c r="L76" s="776"/>
    </row>
    <row r="77" spans="1:18">
      <c r="B77" s="2063" t="s">
        <v>1273</v>
      </c>
      <c r="C77" s="2064"/>
      <c r="I77" s="776"/>
      <c r="J77" s="776"/>
      <c r="K77" s="1988"/>
      <c r="L77" s="776"/>
    </row>
    <row r="78" spans="1:18">
      <c r="B78" s="203" t="s">
        <v>1274</v>
      </c>
      <c r="C78" s="2065"/>
    </row>
    <row r="79" spans="1:18">
      <c r="B79" s="2060" t="s">
        <v>1275</v>
      </c>
      <c r="C79" s="206">
        <f ca="1">1-C80</f>
        <v>1</v>
      </c>
    </row>
    <row r="80" spans="1:18">
      <c r="B80" s="2060" t="s">
        <v>1276</v>
      </c>
      <c r="C80" s="206">
        <f ca="1">ROUND(C75/C39,3)</f>
        <v>0</v>
      </c>
    </row>
    <row r="81" spans="2:3">
      <c r="B81" s="203" t="s">
        <v>1277</v>
      </c>
      <c r="C81" s="188"/>
    </row>
    <row r="82" spans="2:3">
      <c r="B82" s="205" t="s">
        <v>1021</v>
      </c>
      <c r="C82" s="207">
        <f ca="1">1-C83</f>
        <v>1</v>
      </c>
    </row>
    <row r="83" spans="2:3">
      <c r="B83" s="205" t="s">
        <v>1022</v>
      </c>
      <c r="C83" s="206">
        <f ca="1">ROUND(C13/C40,3)</f>
        <v>0</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1085</v>
      </c>
      <c r="B1" s="1140"/>
      <c r="C1" s="1795"/>
      <c r="D1" s="1796"/>
      <c r="E1" s="1899" t="s">
        <v>1086</v>
      </c>
      <c r="F1" s="1900">
        <f ca="1">J53</f>
        <v>0</v>
      </c>
      <c r="G1" s="1901">
        <f>MATCH(C1,'数据-取费表'!A6:A16,0)+5</f>
        <v>7</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1087</v>
      </c>
      <c r="B2" s="1797" t="e">
        <f ca="1">ROUND(D2/10000,0)</f>
        <v>#DIV/0!</v>
      </c>
      <c r="C2" s="1798" t="s">
        <v>1088</v>
      </c>
      <c r="D2" s="1799" t="e">
        <f ca="1">C40+J29+L46</f>
        <v>#DIV/0!</v>
      </c>
      <c r="E2" s="1903" t="s">
        <v>1278</v>
      </c>
      <c r="F2" s="1904"/>
      <c r="G2" s="1905"/>
      <c r="H2" s="1906"/>
      <c r="I2" s="1906"/>
      <c r="J2" s="1906"/>
      <c r="K2" s="1964"/>
      <c r="L2" s="1906"/>
      <c r="M2" s="1906"/>
    </row>
    <row r="3" spans="1:37" ht="18" customHeight="1">
      <c r="A3" s="1800" t="s">
        <v>1089</v>
      </c>
      <c r="B3" s="1801">
        <f ca="1">IF(ISERROR(D2/F43),0,ROUND(D2/F43,0))</f>
        <v>0</v>
      </c>
      <c r="C3" s="1798" t="s">
        <v>1090</v>
      </c>
      <c r="D3" s="1798"/>
      <c r="E3" s="1903"/>
      <c r="F3" s="1904"/>
      <c r="G3" s="1905"/>
      <c r="H3" s="1907" t="s">
        <v>1091</v>
      </c>
      <c r="I3" s="1965"/>
      <c r="J3" s="1965"/>
      <c r="K3" s="1966"/>
      <c r="L3" s="1965"/>
      <c r="M3" s="1965"/>
    </row>
    <row r="4" spans="1:37" ht="18" customHeight="1">
      <c r="A4" s="1802" t="s">
        <v>1092</v>
      </c>
      <c r="B4" s="1803" t="s">
        <v>1093</v>
      </c>
      <c r="C4" s="1803" t="s">
        <v>1094</v>
      </c>
      <c r="D4" s="1803" t="s">
        <v>1095</v>
      </c>
      <c r="E4" s="1908" t="s">
        <v>1096</v>
      </c>
      <c r="F4" s="1909"/>
      <c r="G4" s="776"/>
      <c r="H4" s="1802" t="s">
        <v>1092</v>
      </c>
      <c r="I4" s="1803" t="s">
        <v>1093</v>
      </c>
      <c r="J4" s="1803" t="s">
        <v>1094</v>
      </c>
      <c r="K4" s="1803" t="s">
        <v>1095</v>
      </c>
      <c r="L4" s="1908" t="s">
        <v>1096</v>
      </c>
      <c r="M4" s="1909"/>
    </row>
    <row r="5" spans="1:37" ht="18" customHeight="1">
      <c r="A5" s="1804">
        <v>1</v>
      </c>
      <c r="B5" s="1805" t="s">
        <v>1097</v>
      </c>
      <c r="C5" s="1806">
        <f ca="1">C6+C10+C12</f>
        <v>0</v>
      </c>
      <c r="D5" s="1807" t="s">
        <v>1098</v>
      </c>
      <c r="E5" s="1910"/>
      <c r="F5" s="1911"/>
      <c r="G5" s="776"/>
      <c r="H5" s="1804">
        <v>1</v>
      </c>
      <c r="I5" s="1805" t="s">
        <v>1097</v>
      </c>
      <c r="J5" s="1806">
        <f ca="1">J6+J10+J12</f>
        <v>0</v>
      </c>
      <c r="K5" s="1807" t="s">
        <v>1098</v>
      </c>
      <c r="L5" s="1910"/>
      <c r="M5" s="1911"/>
    </row>
    <row r="6" spans="1:37" ht="18" customHeight="1">
      <c r="A6" s="1808" t="s">
        <v>834</v>
      </c>
      <c r="B6" s="3417" t="s">
        <v>1099</v>
      </c>
      <c r="C6" s="1809">
        <f ca="1">ROUND(F6*F8*F7*(1-F9),0)</f>
        <v>0</v>
      </c>
      <c r="D6" s="1810" t="s">
        <v>1279</v>
      </c>
      <c r="E6" s="1830" t="s">
        <v>1101</v>
      </c>
      <c r="F6" s="1912">
        <f ca="1">INDIRECT("'数据-取费表'!u"&amp;$G$1)</f>
        <v>0</v>
      </c>
      <c r="G6" s="776"/>
      <c r="H6" s="1808" t="s">
        <v>834</v>
      </c>
      <c r="I6" s="3417" t="s">
        <v>1099</v>
      </c>
      <c r="J6" s="1854">
        <f ca="1">ROUND(M6*M8*M7*(1-M9),0)</f>
        <v>0</v>
      </c>
      <c r="K6" s="1967" t="s">
        <v>1280</v>
      </c>
      <c r="L6" s="1830" t="s">
        <v>1101</v>
      </c>
      <c r="M6" s="1912">
        <f ca="1">INDIRECT("'数据-取费表'!z"&amp;$G$1)</f>
        <v>0</v>
      </c>
    </row>
    <row r="7" spans="1:37" ht="18" customHeight="1">
      <c r="A7" s="1811"/>
      <c r="B7" s="3418"/>
      <c r="C7" s="1812"/>
      <c r="D7" s="1813"/>
      <c r="E7" s="1913" t="s">
        <v>1103</v>
      </c>
      <c r="F7" s="1912">
        <f ca="1">IF(INDIRECT("'数据-取费表'!ah"&amp;$G$1)="",INDIRECT("'数据-取费表'!k"&amp;$G$1),INDIRECT("'数据-取费表'!ah"&amp;$G$1))</f>
        <v>0</v>
      </c>
      <c r="G7" s="776"/>
      <c r="H7" s="1814"/>
      <c r="I7" s="3418"/>
      <c r="J7" s="1815"/>
      <c r="K7" s="1813"/>
      <c r="L7" s="1830" t="s">
        <v>1103</v>
      </c>
      <c r="M7" s="1912">
        <f ca="1">F7</f>
        <v>0</v>
      </c>
    </row>
    <row r="8" spans="1:37" ht="18" customHeight="1">
      <c r="A8" s="1814"/>
      <c r="B8" s="3418"/>
      <c r="C8" s="1815"/>
      <c r="D8" s="1813"/>
      <c r="E8" s="1830" t="s">
        <v>1104</v>
      </c>
      <c r="F8" s="1912">
        <f ca="1">INDIRECT("'数据-取费表'!ai"&amp;$G$1)</f>
        <v>0</v>
      </c>
      <c r="G8" s="776"/>
      <c r="H8" s="1814"/>
      <c r="I8" s="3418"/>
      <c r="J8" s="1815"/>
      <c r="K8" s="1813"/>
      <c r="L8" s="1830" t="s">
        <v>1104</v>
      </c>
      <c r="M8" s="1912">
        <f ca="1">INDIRECT("'数据-取费表'!ai"&amp;$G$1)</f>
        <v>0</v>
      </c>
    </row>
    <row r="9" spans="1:37" ht="18" customHeight="1">
      <c r="A9" s="1814"/>
      <c r="B9" s="3419"/>
      <c r="C9" s="1815"/>
      <c r="D9" s="1813"/>
      <c r="E9" s="1830" t="s">
        <v>1105</v>
      </c>
      <c r="F9" s="1914">
        <f ca="1">INDIRECT("'数据-取费表'!w"&amp;$G$1)</f>
        <v>0</v>
      </c>
      <c r="G9" s="776"/>
      <c r="H9" s="1814"/>
      <c r="I9" s="3419"/>
      <c r="J9" s="1815"/>
      <c r="K9" s="1813"/>
      <c r="L9" s="1915" t="s">
        <v>1105</v>
      </c>
      <c r="M9" s="1917">
        <f ca="1">INDIRECT("'数据-取费表'!ab"&amp;$G$1)</f>
        <v>0</v>
      </c>
    </row>
    <row r="10" spans="1:37" ht="18" customHeight="1">
      <c r="A10" s="1808" t="s">
        <v>838</v>
      </c>
      <c r="B10" s="1816" t="s">
        <v>1106</v>
      </c>
      <c r="C10" s="288">
        <f ca="1">ROUND(IF(F10="押一",C6/12*F11,IF(F10="押二",C6/12*2*F11,IF(F10="押三",C6/12*3*F11,C11*F11))),0)</f>
        <v>0</v>
      </c>
      <c r="D10" s="1817" t="s">
        <v>1107</v>
      </c>
      <c r="E10" s="1915" t="s">
        <v>1108</v>
      </c>
      <c r="F10" s="1916"/>
      <c r="G10" s="776"/>
      <c r="H10" s="1808" t="s">
        <v>838</v>
      </c>
      <c r="I10" s="1816" t="s">
        <v>1106</v>
      </c>
      <c r="J10" s="1854">
        <f ca="1">ROUND(IF(M10="押一",J6/12*M11,IF(M10="押二",J6/12*2*M11,IF(M10="押三",J6/12*3*M11,J11*M11))),0)</f>
        <v>0</v>
      </c>
      <c r="K10" s="1968" t="s">
        <v>1281</v>
      </c>
      <c r="L10" s="1915" t="s">
        <v>1108</v>
      </c>
      <c r="M10" s="1916"/>
    </row>
    <row r="11" spans="1:37" ht="18" customHeight="1">
      <c r="A11" s="1818"/>
      <c r="B11" s="1819" t="s">
        <v>1282</v>
      </c>
      <c r="C11" s="1820"/>
      <c r="D11" s="1813"/>
      <c r="E11" s="1915" t="s">
        <v>1112</v>
      </c>
      <c r="F11" s="1917">
        <f ca="1">'数据-取费表'!B39</f>
        <v>1.4999999999999999E-2</v>
      </c>
      <c r="G11" s="776"/>
      <c r="H11" s="1918"/>
      <c r="I11" s="1819" t="s">
        <v>1283</v>
      </c>
      <c r="J11" s="1820"/>
      <c r="K11" s="1969"/>
      <c r="L11" s="1915" t="s">
        <v>1112</v>
      </c>
      <c r="M11" s="2028">
        <f ca="1">'数据-取费表'!B39</f>
        <v>1.4999999999999999E-2</v>
      </c>
    </row>
    <row r="12" spans="1:37" ht="18" customHeight="1">
      <c r="A12" s="1821" t="s">
        <v>883</v>
      </c>
      <c r="B12" s="1822" t="s">
        <v>1113</v>
      </c>
      <c r="C12" s="1823"/>
      <c r="D12" s="1824"/>
      <c r="E12" s="1838"/>
      <c r="F12" s="1919"/>
      <c r="G12" s="776"/>
      <c r="H12" s="1821" t="s">
        <v>883</v>
      </c>
      <c r="I12" s="1822" t="s">
        <v>1113</v>
      </c>
      <c r="J12" s="1823"/>
      <c r="K12" s="1970"/>
      <c r="L12" s="1838"/>
      <c r="M12" s="1975"/>
    </row>
    <row r="13" spans="1:37" ht="18" customHeight="1">
      <c r="A13" s="1825">
        <v>2</v>
      </c>
      <c r="B13" s="1826" t="s">
        <v>1114</v>
      </c>
      <c r="C13" s="1827">
        <f ca="1">ROUND(C29*F13,0)</f>
        <v>0</v>
      </c>
      <c r="D13" s="1828" t="s">
        <v>1115</v>
      </c>
      <c r="E13" s="1828" t="s">
        <v>1116</v>
      </c>
      <c r="F13" s="1920">
        <f ca="1">INDIRECT("'数据-取费表'!y"&amp;$G$1)</f>
        <v>0</v>
      </c>
      <c r="G13" s="776"/>
      <c r="H13" s="1825">
        <v>2</v>
      </c>
      <c r="I13" s="1826" t="s">
        <v>1114</v>
      </c>
      <c r="J13" s="1971">
        <f ca="1">ROUND(J14*J15,0)</f>
        <v>0</v>
      </c>
      <c r="K13" s="1841" t="s">
        <v>1115</v>
      </c>
      <c r="L13" s="1972"/>
      <c r="M13" s="2029"/>
    </row>
    <row r="14" spans="1:37" ht="18" customHeight="1">
      <c r="A14" s="1829" t="s">
        <v>857</v>
      </c>
      <c r="B14" s="1830" t="s">
        <v>1117</v>
      </c>
      <c r="C14" s="1831">
        <f ca="1">ROUND(INDIRECT("'数据-取费表'!l"&amp;$G$1)*F43+'数据-取费表'!L14*INDIRECT("'数据-取费表'!S"&amp;$G$1),0)</f>
        <v>0</v>
      </c>
      <c r="D14" s="1832" t="s">
        <v>1118</v>
      </c>
      <c r="E14" s="1921"/>
      <c r="F14" s="1922"/>
      <c r="G14" s="776"/>
      <c r="H14" s="1829" t="s">
        <v>834</v>
      </c>
      <c r="I14" s="1830" t="s">
        <v>1119</v>
      </c>
      <c r="J14" s="289">
        <f ca="1">C29</f>
        <v>0</v>
      </c>
      <c r="K14" s="1973"/>
      <c r="L14" s="1974"/>
      <c r="M14" s="2030"/>
    </row>
    <row r="15" spans="1:37" s="1792" customFormat="1" ht="18" customHeight="1">
      <c r="A15" s="1829" t="s">
        <v>861</v>
      </c>
      <c r="B15" s="1830" t="s">
        <v>1046</v>
      </c>
      <c r="C15" s="289">
        <f ca="1">ROUND(C14*F15,0)</f>
        <v>0</v>
      </c>
      <c r="D15" s="1833" t="s">
        <v>1120</v>
      </c>
      <c r="E15" s="1833" t="s">
        <v>1121</v>
      </c>
      <c r="F15" s="1923">
        <f>'数据-取费表'!B33</f>
        <v>0.03</v>
      </c>
      <c r="G15" s="1924"/>
      <c r="H15" s="1837" t="s">
        <v>838</v>
      </c>
      <c r="I15" s="1838" t="s">
        <v>1116</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864</v>
      </c>
      <c r="B16" s="1830" t="s">
        <v>1049</v>
      </c>
      <c r="C16" s="289">
        <f ca="1">ROUND(INDIRECT("'数据-取费表'!l"&amp;$G$1)*F43*F16,0)</f>
        <v>0</v>
      </c>
      <c r="D16" s="1830" t="s">
        <v>1120</v>
      </c>
      <c r="E16" s="1830" t="s">
        <v>1121</v>
      </c>
      <c r="F16" s="1925">
        <f ca="1">IF(INDIRECT("'数据-取费表'!c"&amp;$G$1)="住宅",'数据-取费表'!B34,0)</f>
        <v>0</v>
      </c>
      <c r="G16" s="776"/>
      <c r="H16" s="1825" t="s">
        <v>1122</v>
      </c>
      <c r="I16" s="1826" t="s">
        <v>1123</v>
      </c>
      <c r="J16" s="1827">
        <f ca="1">ROUND(J17+J22+J23+J24,0)</f>
        <v>0</v>
      </c>
      <c r="K16" s="1841" t="s">
        <v>1124</v>
      </c>
      <c r="L16" s="1930"/>
      <c r="M16" s="1911"/>
    </row>
    <row r="17" spans="1:37" s="1792" customFormat="1" ht="18" customHeight="1">
      <c r="A17" s="1829" t="s">
        <v>1125</v>
      </c>
      <c r="B17" s="1830" t="s">
        <v>1126</v>
      </c>
      <c r="C17" s="289">
        <f ca="1">ROUND(F17*(F43+INDIRECT("'数据-取费表'!S"&amp;$G$1)),0)</f>
        <v>0</v>
      </c>
      <c r="D17" s="1830" t="s">
        <v>1127</v>
      </c>
      <c r="E17" s="1830" t="s">
        <v>1128</v>
      </c>
      <c r="F17" s="1926">
        <f>'数据-取费表'!B35</f>
        <v>200</v>
      </c>
      <c r="G17" s="1924"/>
      <c r="H17" s="1829" t="s">
        <v>834</v>
      </c>
      <c r="I17" s="1830" t="s">
        <v>1129</v>
      </c>
      <c r="J17" s="1842">
        <f ca="1">ROUND(IF(AND(项目基本情况!B11="自然人",项目基本情况!B10="北京市"),J6*M17/(1+'数据-取费表'!C42),J18+J19+J20),0)</f>
        <v>0</v>
      </c>
      <c r="K17" s="1832" t="s">
        <v>1130</v>
      </c>
      <c r="L17" s="1843" t="s">
        <v>1131</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1132</v>
      </c>
      <c r="B18" s="1830" t="s">
        <v>1055</v>
      </c>
      <c r="C18" s="289">
        <f ca="1">ROUND(C14*F18,0)</f>
        <v>0</v>
      </c>
      <c r="D18" s="1830" t="s">
        <v>1120</v>
      </c>
      <c r="E18" s="1830" t="s">
        <v>1121</v>
      </c>
      <c r="F18" s="1925">
        <f>'数据-取费表'!B36</f>
        <v>1.4999999999999999E-2</v>
      </c>
      <c r="G18" s="1924"/>
      <c r="H18" s="1829" t="s">
        <v>857</v>
      </c>
      <c r="I18" s="1830" t="s">
        <v>1133</v>
      </c>
      <c r="J18" s="289">
        <f ca="1">ROUND(J6*M18/(1+'数据-取费表'!C42),0)</f>
        <v>0</v>
      </c>
      <c r="K18" s="1843" t="s">
        <v>1134</v>
      </c>
      <c r="L18" s="1830" t="s">
        <v>1121</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834</v>
      </c>
      <c r="B19" s="1830" t="s">
        <v>1135</v>
      </c>
      <c r="C19" s="289">
        <f ca="1">SUM(C14:C18)</f>
        <v>0</v>
      </c>
      <c r="D19" s="1834" t="s">
        <v>1136</v>
      </c>
      <c r="E19" s="291"/>
      <c r="F19" s="1926"/>
      <c r="G19" s="776"/>
      <c r="H19" s="1829" t="s">
        <v>861</v>
      </c>
      <c r="I19" s="1830" t="s">
        <v>1137</v>
      </c>
      <c r="J19" s="289">
        <f ca="1">IF(K19="按租金收入计税",ROUND(J6*M19/(1+'数据-取费表'!C42),0),ROUND(C29*M19*0.7,0))</f>
        <v>0</v>
      </c>
      <c r="K19" s="1844" t="s">
        <v>1138</v>
      </c>
      <c r="L19" s="1830" t="s">
        <v>1121</v>
      </c>
      <c r="M19" s="1925">
        <f>IF(K19="按租金收入计税",'数据-取费表'!B51,'数据-取费表'!B50)</f>
        <v>1.2E-2</v>
      </c>
    </row>
    <row r="20" spans="1:37" s="1792" customFormat="1" ht="18" customHeight="1">
      <c r="A20" s="1829" t="s">
        <v>838</v>
      </c>
      <c r="B20" s="1830" t="s">
        <v>1139</v>
      </c>
      <c r="C20" s="289">
        <f ca="1">ROUND(C19*F20,0)</f>
        <v>0</v>
      </c>
      <c r="D20" s="1835" t="s">
        <v>1140</v>
      </c>
      <c r="E20" s="1830" t="s">
        <v>1121</v>
      </c>
      <c r="F20" s="1925">
        <f>'数据-取费表'!B37</f>
        <v>0.02</v>
      </c>
      <c r="G20" s="1924"/>
      <c r="H20" s="1829" t="s">
        <v>864</v>
      </c>
      <c r="I20" s="1810" t="s">
        <v>1141</v>
      </c>
      <c r="J20" s="1845">
        <f ca="1">ROUND(M20*M21,0)</f>
        <v>0</v>
      </c>
      <c r="K20" s="1846" t="s">
        <v>1142</v>
      </c>
      <c r="L20" s="1830" t="s">
        <v>1143</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883</v>
      </c>
      <c r="B21" s="1830" t="s">
        <v>1144</v>
      </c>
      <c r="C21" s="289" t="s">
        <v>124</v>
      </c>
      <c r="D21" s="1835" t="s">
        <v>1145</v>
      </c>
      <c r="E21" s="1830" t="s">
        <v>1146</v>
      </c>
      <c r="F21" s="1925">
        <f>'数据-取费表'!B38</f>
        <v>0.02</v>
      </c>
      <c r="G21" s="1924"/>
      <c r="H21" s="1896"/>
      <c r="I21" s="1978"/>
      <c r="J21" s="1849"/>
      <c r="K21" s="1850"/>
      <c r="L21" s="1830" t="s">
        <v>1147</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886</v>
      </c>
      <c r="B22" s="1830" t="s">
        <v>1148</v>
      </c>
      <c r="C22" s="289"/>
      <c r="D22" s="1834" t="str">
        <f>IF(F23&lt;=1,"单利计息。","复利计息。")&amp;"建造成本、管理费用、销售费用产生的利息。"</f>
        <v>复利计息。建造成本、管理费用、销售费用产生的利息。</v>
      </c>
      <c r="E22" s="291"/>
      <c r="F22" s="1926"/>
      <c r="G22" s="776"/>
      <c r="H22" s="1829" t="s">
        <v>838</v>
      </c>
      <c r="I22" s="1830" t="s">
        <v>1149</v>
      </c>
      <c r="J22" s="289">
        <f ca="1">ROUND(J14*M22,0)</f>
        <v>0</v>
      </c>
      <c r="K22" s="1843" t="s">
        <v>1150</v>
      </c>
      <c r="L22" s="1830" t="s">
        <v>1121</v>
      </c>
      <c r="M22" s="1935">
        <f ca="1">INDIRECT("'数据-取费表'!Ak"&amp;$G$1)</f>
        <v>0</v>
      </c>
    </row>
    <row r="23" spans="1:37" s="1792" customFormat="1" ht="18" customHeight="1">
      <c r="A23" s="1829" t="s">
        <v>857</v>
      </c>
      <c r="B23" s="1830" t="s">
        <v>1151</v>
      </c>
      <c r="C23" s="289">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830" t="s">
        <v>1152</v>
      </c>
      <c r="F23" s="1927">
        <f>'数据-取费表'!B20</f>
        <v>2</v>
      </c>
      <c r="G23" s="1924"/>
      <c r="H23" s="1829" t="s">
        <v>883</v>
      </c>
      <c r="I23" s="1830" t="s">
        <v>1153</v>
      </c>
      <c r="J23" s="289">
        <f ca="1">ROUND(J13*M23,0)</f>
        <v>0</v>
      </c>
      <c r="K23" s="1843" t="s">
        <v>1154</v>
      </c>
      <c r="L23" s="1830" t="s">
        <v>1121</v>
      </c>
      <c r="M23" s="1936">
        <f ca="1">INDIRECT("'数据-取费表'!Al"&amp;$G$1)</f>
        <v>0</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861</v>
      </c>
      <c r="B24" s="1830" t="s">
        <v>1155</v>
      </c>
      <c r="C24" s="289">
        <f ca="1">ROUND(IF('数据-取费表'!B22&lt;=1,F21*F24*F23/2,F21*(POWER((1+F24),F23/2)-1)),4)</f>
        <v>8.0000000000000004E-4</v>
      </c>
      <c r="D24" s="1836" t="str">
        <f>IF(F23&lt;=1,"销售费用×利率×(建设周期÷2)","销售费用×((1+利率)^(建设周期÷2)-1)")</f>
        <v>销售费用×((1+利率)^(建设周期÷2)-1)</v>
      </c>
      <c r="E24" s="1830" t="s">
        <v>1156</v>
      </c>
      <c r="F24" s="1928">
        <f ca="1">'数据-取费表'!B40</f>
        <v>4.1499999999999995E-2</v>
      </c>
      <c r="G24" s="1924"/>
      <c r="H24" s="1837" t="s">
        <v>886</v>
      </c>
      <c r="I24" s="1838" t="s">
        <v>1139</v>
      </c>
      <c r="J24" s="1839">
        <f ca="1">ROUND(J5*M24,0)</f>
        <v>0</v>
      </c>
      <c r="K24" s="1840" t="s">
        <v>1157</v>
      </c>
      <c r="L24" s="1838" t="s">
        <v>1121</v>
      </c>
      <c r="M24" s="1919">
        <f ca="1">INDIRECT("'数据-取费表'!Am"&amp;$G$1)</f>
        <v>0</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18" customHeight="1">
      <c r="A25" s="1829" t="s">
        <v>890</v>
      </c>
      <c r="B25" s="1830" t="s">
        <v>1158</v>
      </c>
      <c r="C25" s="289"/>
      <c r="D25" s="1834" t="s">
        <v>1159</v>
      </c>
      <c r="E25" s="291"/>
      <c r="F25" s="1926"/>
      <c r="G25" s="776"/>
      <c r="H25" s="1825" t="s">
        <v>1160</v>
      </c>
      <c r="I25" s="1852" t="s">
        <v>1161</v>
      </c>
      <c r="J25" s="1827">
        <f ca="1">J5-J16</f>
        <v>0</v>
      </c>
      <c r="K25" s="1853" t="s">
        <v>1162</v>
      </c>
      <c r="L25" s="1937"/>
      <c r="M25" s="1938"/>
    </row>
    <row r="26" spans="1:37" ht="18" customHeight="1">
      <c r="A26" s="1829" t="s">
        <v>857</v>
      </c>
      <c r="B26" s="1830" t="s">
        <v>1163</v>
      </c>
      <c r="C26" s="289">
        <f ca="1">ROUND((C19+C20)*F26,0)</f>
        <v>0</v>
      </c>
      <c r="D26" s="1835" t="s">
        <v>1164</v>
      </c>
      <c r="E26" s="1915" t="s">
        <v>1165</v>
      </c>
      <c r="F26" s="1914">
        <f ca="1">INDIRECT("'数据-取费表'!q"&amp;$G$1)</f>
        <v>0</v>
      </c>
      <c r="G26" s="776"/>
      <c r="H26" s="1804" t="s">
        <v>1166</v>
      </c>
      <c r="I26" s="1805" t="s">
        <v>1167</v>
      </c>
      <c r="J26" s="1854">
        <f ca="1">IF(J5&lt;&gt;0,ROUND(J25*(1-((1+M28)/(1+M26))^M27)/(M26-M28),0),0)</f>
        <v>0</v>
      </c>
      <c r="K26" s="1846" t="s">
        <v>1168</v>
      </c>
      <c r="L26" s="1830" t="s">
        <v>1169</v>
      </c>
      <c r="M26" s="1914">
        <f ca="1">INDIRECT("'数据-取费表'!I"&amp;$G$1)</f>
        <v>0</v>
      </c>
    </row>
    <row r="27" spans="1:37" ht="18" customHeight="1">
      <c r="A27" s="1829" t="s">
        <v>861</v>
      </c>
      <c r="B27" s="1830" t="s">
        <v>1170</v>
      </c>
      <c r="C27" s="289">
        <f ca="1">ROUND(F21*F26,4)</f>
        <v>0</v>
      </c>
      <c r="D27" s="1835" t="s">
        <v>1171</v>
      </c>
      <c r="E27" s="1833"/>
      <c r="F27" s="1923"/>
      <c r="G27" s="776"/>
      <c r="H27" s="1814"/>
      <c r="I27" s="1855"/>
      <c r="J27" s="1815"/>
      <c r="K27" s="1856" t="s">
        <v>1172</v>
      </c>
      <c r="L27" s="1830" t="s">
        <v>1173</v>
      </c>
      <c r="M27" s="1940">
        <f ca="1">INDIRECT("'数据-取费表'!ag"&amp;$G$1)</f>
        <v>0</v>
      </c>
    </row>
    <row r="28" spans="1:37" s="1792" customFormat="1" ht="18" customHeight="1">
      <c r="A28" s="1829" t="s">
        <v>891</v>
      </c>
      <c r="B28" s="1830" t="s">
        <v>1174</v>
      </c>
      <c r="C28" s="289">
        <f>ROUND(F28/(1+'数据-取费表'!C42),4)</f>
        <v>5.33E-2</v>
      </c>
      <c r="D28" s="1835" t="s">
        <v>1175</v>
      </c>
      <c r="E28" s="1830" t="s">
        <v>1121</v>
      </c>
      <c r="F28" s="1925">
        <f>'数据-取费表'!B41</f>
        <v>5.6000000000000001E-2</v>
      </c>
      <c r="G28" s="1924"/>
      <c r="H28" s="1818"/>
      <c r="I28" s="1857"/>
      <c r="J28" s="1827"/>
      <c r="K28" s="1850"/>
      <c r="L28" s="1830" t="s">
        <v>1176</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1080</v>
      </c>
      <c r="B29" s="1838" t="s">
        <v>1177</v>
      </c>
      <c r="C29" s="1839">
        <f ca="1">ROUND((C19+C20+C23+C26)/(1-F21-C24-C27-C28),0)</f>
        <v>0</v>
      </c>
      <c r="D29" s="1840"/>
      <c r="E29" s="1838"/>
      <c r="F29" s="1929"/>
      <c r="G29" s="1924"/>
      <c r="H29" s="1858" t="s">
        <v>1178</v>
      </c>
      <c r="I29" s="1859" t="s">
        <v>1179</v>
      </c>
      <c r="J29" s="1860">
        <f ca="1">ROUND(J26/(1+F40)^F41,0)</f>
        <v>0</v>
      </c>
      <c r="K29" s="1861" t="s">
        <v>1180</v>
      </c>
      <c r="L29" s="1942"/>
      <c r="M29" s="1943">
        <f ca="1">INDIRECT("'数据-取费表'!k"&amp;$G$1)</f>
        <v>0</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1122</v>
      </c>
      <c r="B30" s="1826" t="s">
        <v>1123</v>
      </c>
      <c r="C30" s="1827">
        <f ca="1">ROUND(C31+C36+C37+C38,0)</f>
        <v>0</v>
      </c>
      <c r="D30" s="1841" t="s">
        <v>1124</v>
      </c>
      <c r="E30" s="1930"/>
      <c r="F30" s="1911"/>
      <c r="G30" s="776"/>
      <c r="H30" s="1931"/>
      <c r="I30" s="1979"/>
      <c r="J30" s="1980"/>
      <c r="K30" s="1981"/>
      <c r="L30" s="1982"/>
      <c r="M30" s="2032"/>
    </row>
    <row r="31" spans="1:37" ht="18" customHeight="1">
      <c r="A31" s="1829" t="s">
        <v>834</v>
      </c>
      <c r="B31" s="1830" t="s">
        <v>1129</v>
      </c>
      <c r="C31" s="1842">
        <f ca="1">ROUND(IF(AND(项目基本情况!B11="自然人",项目基本情况!B10="北京市"),C6*F31/(1+'数据-取费表'!C42),C32+C33+C34),0)</f>
        <v>0</v>
      </c>
      <c r="D31" s="1832" t="s">
        <v>1130</v>
      </c>
      <c r="E31" s="1843" t="s">
        <v>1131</v>
      </c>
      <c r="F31" s="1932" t="str">
        <f>IF(项目基本情况!B11="企业","——",IF('数据-取费表'!B10="住宅",IF(F6*F7*F8/12/(1+'数据-取费表'!F30)&gt;100000,4%,2.5%),IF(F6*F7*F8/12/(1+'数据-取费表'!F30)&gt;100000,12%,7%)))</f>
        <v>——</v>
      </c>
      <c r="G31" s="776"/>
      <c r="H31" s="1933" t="s">
        <v>1181</v>
      </c>
      <c r="I31" s="1979"/>
      <c r="J31" s="1980"/>
      <c r="K31" s="1981"/>
      <c r="L31" s="1982"/>
      <c r="M31" s="2032"/>
    </row>
    <row r="32" spans="1:37" ht="18" customHeight="1">
      <c r="A32" s="1829" t="s">
        <v>857</v>
      </c>
      <c r="B32" s="1830" t="s">
        <v>1133</v>
      </c>
      <c r="C32" s="289">
        <f ca="1">IF(项目基本情况!B11="自然人","——",ROUND(C6*F32/(1+'数据-取费表'!C42),0))</f>
        <v>0</v>
      </c>
      <c r="D32" s="1843" t="s">
        <v>1134</v>
      </c>
      <c r="E32" s="1830" t="s">
        <v>1121</v>
      </c>
      <c r="F32" s="1928">
        <f>'数据-取费表'!B41</f>
        <v>5.6000000000000001E-2</v>
      </c>
      <c r="G32" s="776"/>
      <c r="H32" s="1931"/>
      <c r="I32" s="1979"/>
      <c r="J32" s="1980"/>
      <c r="K32" s="1981"/>
      <c r="L32" s="1982"/>
      <c r="M32" s="2032"/>
    </row>
    <row r="33" spans="1:18" ht="18" customHeight="1">
      <c r="A33" s="1829" t="s">
        <v>861</v>
      </c>
      <c r="B33" s="1830" t="s">
        <v>1137</v>
      </c>
      <c r="C33" s="289">
        <f ca="1">IF(项目基本情况!B11="自然人","——",IF(D33="按租金收入计税",ROUND(C6*F33/(1+'数据-取费表'!C42),0),IF(D33="按房产原值计税",ROUND(C29*F33*0.7,0),INDIRECT("'数据-取费表'!Aj"&amp;$G$1))))</f>
        <v>0</v>
      </c>
      <c r="D33" s="1844" t="s">
        <v>1138</v>
      </c>
      <c r="E33" s="1830" t="s">
        <v>1121</v>
      </c>
      <c r="F33" s="1925">
        <f>IF(D33="按票据","——",IF(D33="按租金收入计税",'数据-取费表'!B51,'数据-取费表'!B50))</f>
        <v>1.2E-2</v>
      </c>
      <c r="G33" s="776"/>
      <c r="H33" s="1934"/>
      <c r="I33" s="1979"/>
      <c r="J33" s="1980"/>
      <c r="K33" s="1983"/>
      <c r="L33" s="1934"/>
      <c r="M33" s="1934"/>
    </row>
    <row r="34" spans="1:18" ht="18" customHeight="1">
      <c r="A34" s="1808" t="s">
        <v>864</v>
      </c>
      <c r="B34" s="1810" t="s">
        <v>1141</v>
      </c>
      <c r="C34" s="1845">
        <f ca="1">IF(项目基本情况!B11="自然人","——",ROUND(F34*F35,))</f>
        <v>0</v>
      </c>
      <c r="D34" s="1846" t="s">
        <v>1142</v>
      </c>
      <c r="E34" s="1830" t="s">
        <v>1143</v>
      </c>
      <c r="F34" s="1927">
        <f>'数据-取费表'!B52</f>
        <v>3</v>
      </c>
      <c r="G34" s="776"/>
      <c r="H34" s="1931"/>
      <c r="I34" s="1979"/>
      <c r="J34" s="1980"/>
      <c r="K34" s="1984"/>
      <c r="L34" s="1985"/>
      <c r="M34" s="1985"/>
    </row>
    <row r="35" spans="1:18" ht="18" customHeight="1">
      <c r="A35" s="1847"/>
      <c r="B35" s="1848"/>
      <c r="C35" s="1849"/>
      <c r="D35" s="1850"/>
      <c r="E35" s="1830" t="s">
        <v>1147</v>
      </c>
      <c r="F35" s="1912">
        <f ca="1">INDIRECT("'数据-取费表'!r"&amp;$G$1)</f>
        <v>0</v>
      </c>
      <c r="G35" s="776"/>
      <c r="H35" s="1931"/>
      <c r="I35" s="1979"/>
      <c r="J35" s="1980"/>
      <c r="K35" s="1983"/>
      <c r="L35" s="1934"/>
      <c r="M35" s="1934"/>
    </row>
    <row r="36" spans="1:18" ht="18" customHeight="1">
      <c r="A36" s="1851" t="s">
        <v>838</v>
      </c>
      <c r="B36" s="1830" t="s">
        <v>1149</v>
      </c>
      <c r="C36" s="289">
        <f ca="1">ROUND(C29*F36,0)</f>
        <v>0</v>
      </c>
      <c r="D36" s="1843" t="s">
        <v>1183</v>
      </c>
      <c r="E36" s="1830" t="s">
        <v>1121</v>
      </c>
      <c r="F36" s="1935">
        <f ca="1">INDIRECT("'数据-取费表'!Ak"&amp;$G$1)</f>
        <v>0</v>
      </c>
      <c r="G36" s="776"/>
      <c r="H36" s="1934"/>
      <c r="I36" s="1979"/>
      <c r="J36" s="1980"/>
      <c r="K36" s="1986"/>
      <c r="L36" s="1934"/>
      <c r="M36" s="1934"/>
    </row>
    <row r="37" spans="1:18" ht="18" customHeight="1">
      <c r="A37" s="1829" t="s">
        <v>883</v>
      </c>
      <c r="B37" s="1830" t="s">
        <v>1153</v>
      </c>
      <c r="C37" s="289">
        <f ca="1">ROUND(C13*F37,0)</f>
        <v>0</v>
      </c>
      <c r="D37" s="1843" t="s">
        <v>1154</v>
      </c>
      <c r="E37" s="1830" t="s">
        <v>1121</v>
      </c>
      <c r="F37" s="1936">
        <f ca="1">INDIRECT("'数据-取费表'!Al"&amp;$G$1)</f>
        <v>0</v>
      </c>
      <c r="G37" s="776"/>
      <c r="H37" s="1934"/>
      <c r="I37" s="1979"/>
      <c r="J37" s="1980"/>
      <c r="K37" s="1986"/>
      <c r="L37" s="1934"/>
      <c r="M37" s="1934"/>
    </row>
    <row r="38" spans="1:18" ht="18" customHeight="1">
      <c r="A38" s="1837" t="s">
        <v>886</v>
      </c>
      <c r="B38" s="1838" t="s">
        <v>1139</v>
      </c>
      <c r="C38" s="1839">
        <f ca="1">ROUND(C5*F38,1)</f>
        <v>0</v>
      </c>
      <c r="D38" s="1840" t="s">
        <v>1157</v>
      </c>
      <c r="E38" s="1838" t="s">
        <v>1121</v>
      </c>
      <c r="F38" s="1919">
        <f ca="1">INDIRECT("'数据-取费表'!Am"&amp;$G$1)</f>
        <v>0</v>
      </c>
      <c r="G38" s="776"/>
      <c r="H38" s="1934"/>
      <c r="I38" s="1979"/>
      <c r="J38" s="1980"/>
      <c r="K38" s="1987"/>
      <c r="L38" s="1934"/>
      <c r="M38" s="1934"/>
    </row>
    <row r="39" spans="1:18" ht="24.6" customHeight="1">
      <c r="A39" s="1825" t="s">
        <v>1160</v>
      </c>
      <c r="B39" s="1852" t="s">
        <v>1161</v>
      </c>
      <c r="C39" s="1827">
        <f ca="1">C5-C30</f>
        <v>0</v>
      </c>
      <c r="D39" s="1853" t="s">
        <v>1162</v>
      </c>
      <c r="E39" s="1937"/>
      <c r="F39" s="1938"/>
      <c r="G39" s="776"/>
      <c r="H39" s="1934"/>
      <c r="I39" s="1979"/>
      <c r="J39" s="1980"/>
      <c r="K39" s="1987"/>
      <c r="L39" s="1934"/>
      <c r="M39" s="1934"/>
    </row>
    <row r="40" spans="1:18" ht="18" customHeight="1">
      <c r="A40" s="1804" t="s">
        <v>1166</v>
      </c>
      <c r="B40" s="1805" t="s">
        <v>1184</v>
      </c>
      <c r="C40" s="1854" t="e">
        <f ca="1">ROUND(C39*(1-((1+F42)/(1+F40))^F41)/(F40-F42),0)</f>
        <v>#DIV/0!</v>
      </c>
      <c r="D40" s="1846" t="s">
        <v>1168</v>
      </c>
      <c r="E40" s="1830" t="s">
        <v>1169</v>
      </c>
      <c r="F40" s="1914">
        <f ca="1">INDIRECT("'数据-取费表'!I"&amp;$G$1)</f>
        <v>0</v>
      </c>
      <c r="G40" s="776"/>
      <c r="H40" s="1939"/>
      <c r="I40" s="1979"/>
      <c r="J40" s="1980"/>
      <c r="K40" s="1987"/>
      <c r="L40" s="1939"/>
      <c r="M40" s="1939"/>
    </row>
    <row r="41" spans="1:18" ht="18" customHeight="1">
      <c r="A41" s="1814"/>
      <c r="B41" s="1855"/>
      <c r="C41" s="1815"/>
      <c r="D41" s="1856" t="s">
        <v>1172</v>
      </c>
      <c r="E41" s="1830" t="s">
        <v>1173</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1176</v>
      </c>
      <c r="F42" s="1914">
        <f ca="1">INDIRECT("'数据-取费表'!v"&amp;$G$1)</f>
        <v>0</v>
      </c>
      <c r="G42" s="776"/>
      <c r="H42" s="1941"/>
      <c r="I42" s="1979"/>
      <c r="J42" s="1980"/>
      <c r="K42" s="1986"/>
      <c r="L42" s="1941"/>
      <c r="M42" s="1941"/>
    </row>
    <row r="43" spans="1:18" ht="18" customHeight="1">
      <c r="A43" s="1858" t="s">
        <v>1178</v>
      </c>
      <c r="B43" s="1859" t="s">
        <v>1185</v>
      </c>
      <c r="C43" s="1860" t="e">
        <f ca="1">ROUND(C40/F43,0)</f>
        <v>#DIV/0!</v>
      </c>
      <c r="D43" s="1861" t="s">
        <v>1186</v>
      </c>
      <c r="E43" s="1942" t="s">
        <v>1187</v>
      </c>
      <c r="F43" s="1943">
        <f ca="1">INDIRECT("'数据-取费表'!k"&amp;$G$1)</f>
        <v>0</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4" t="e">
        <f ca="1">C68-C40</f>
        <v>#DIV/0!</v>
      </c>
      <c r="D45" s="1865" t="s">
        <v>1284</v>
      </c>
      <c r="E45" s="1862"/>
      <c r="F45" s="1862"/>
      <c r="O45" s="2033" t="s">
        <v>1188</v>
      </c>
      <c r="P45" s="1939"/>
      <c r="Q45" s="1939"/>
      <c r="R45" s="1939"/>
    </row>
    <row r="46" spans="1:18" s="776" customFormat="1">
      <c r="A46" s="1866" t="s">
        <v>1189</v>
      </c>
      <c r="C46" s="1867" t="e">
        <f ca="1">ROUND(C45/10000,0)</f>
        <v>#DIV/0!</v>
      </c>
      <c r="D46" s="1868" t="str">
        <f>C2</f>
        <v>万元</v>
      </c>
      <c r="I46" s="1989" t="s">
        <v>1190</v>
      </c>
      <c r="J46" s="1990"/>
      <c r="K46" s="1991"/>
      <c r="L46" s="1992" t="e">
        <f ca="1">IF(M47="住宅",0,IF(L48&gt;J51,L60,J60))</f>
        <v>#DIV/0!</v>
      </c>
      <c r="O46" s="2034" t="s">
        <v>1191</v>
      </c>
      <c r="P46" s="2035" t="s">
        <v>1192</v>
      </c>
      <c r="Q46" s="2045" t="s">
        <v>1193</v>
      </c>
      <c r="R46" s="2045" t="s">
        <v>1194</v>
      </c>
    </row>
    <row r="47" spans="1:18" s="776" customFormat="1">
      <c r="A47" s="1869" t="s">
        <v>1092</v>
      </c>
      <c r="B47" s="1870" t="s">
        <v>1093</v>
      </c>
      <c r="C47" s="1870" t="s">
        <v>1094</v>
      </c>
      <c r="D47" s="1870" t="s">
        <v>1095</v>
      </c>
      <c r="E47" s="1944" t="s">
        <v>1096</v>
      </c>
      <c r="F47" s="306"/>
      <c r="G47" s="1945"/>
      <c r="I47" s="1993" t="s">
        <v>1195</v>
      </c>
      <c r="J47" s="1994"/>
      <c r="K47" s="1995" t="s">
        <v>1197</v>
      </c>
      <c r="L47" s="1996">
        <f ca="1">INDIRECT("'数据-取费表'!d"&amp;$G$1)</f>
        <v>0</v>
      </c>
      <c r="M47" s="2036" t="str">
        <f>IF(ISNUMBER(FIND("住宅",C1)),"住宅","非住宅")</f>
        <v>非住宅</v>
      </c>
      <c r="O47" s="2037" t="s">
        <v>940</v>
      </c>
      <c r="P47" s="2038" t="s">
        <v>1198</v>
      </c>
      <c r="Q47" s="2046" t="e">
        <f ca="1">C40+J29</f>
        <v>#DIV/0!</v>
      </c>
      <c r="R47" s="2046" t="s">
        <v>1199</v>
      </c>
    </row>
    <row r="48" spans="1:18" s="776" customFormat="1" ht="27.75">
      <c r="A48" s="1871" t="s">
        <v>1200</v>
      </c>
      <c r="B48" s="1805" t="s">
        <v>1097</v>
      </c>
      <c r="C48" s="290">
        <f ca="1">C49+C53+C55</f>
        <v>0</v>
      </c>
      <c r="D48" s="1872"/>
      <c r="E48" s="1946"/>
      <c r="F48" s="1947"/>
      <c r="G48" s="1945"/>
      <c r="H48" s="1948"/>
      <c r="I48" s="811" t="s">
        <v>1201</v>
      </c>
      <c r="J48" s="1997"/>
      <c r="K48" s="1998" t="s">
        <v>1203</v>
      </c>
      <c r="L48" s="1999">
        <f ca="1">INDIRECT("'数据-取费表'!f"&amp;$G$1)</f>
        <v>0</v>
      </c>
      <c r="O48" s="2037" t="s">
        <v>944</v>
      </c>
      <c r="P48" s="2038" t="s">
        <v>1204</v>
      </c>
      <c r="Q48" s="2046" t="e">
        <f ca="1">J60</f>
        <v>#DIV/0!</v>
      </c>
      <c r="R48" s="2046" t="s">
        <v>1205</v>
      </c>
    </row>
    <row r="49" spans="1:18" s="776" customFormat="1">
      <c r="A49" s="1873" t="s">
        <v>1206</v>
      </c>
      <c r="B49" s="1874" t="s">
        <v>1207</v>
      </c>
      <c r="C49" s="1875">
        <f ca="1">ROUND(F49*F51*F50*(1-F52),0)</f>
        <v>0</v>
      </c>
      <c r="D49" s="1876" t="s">
        <v>1285</v>
      </c>
      <c r="E49" s="1949" t="s">
        <v>1208</v>
      </c>
      <c r="F49" s="1950"/>
      <c r="G49" s="1951"/>
      <c r="H49" s="1948"/>
      <c r="I49" s="811" t="s">
        <v>1209</v>
      </c>
      <c r="J49" s="2000"/>
      <c r="K49" s="1998" t="s">
        <v>1210</v>
      </c>
      <c r="L49" s="2001"/>
      <c r="O49" s="2039" t="s">
        <v>1211</v>
      </c>
      <c r="P49" s="2038" t="s">
        <v>1212</v>
      </c>
      <c r="Q49" s="2046">
        <f ca="1">C29</f>
        <v>0</v>
      </c>
      <c r="R49" s="2046" t="s">
        <v>1199</v>
      </c>
    </row>
    <row r="50" spans="1:18" s="776" customFormat="1">
      <c r="A50" s="1877"/>
      <c r="B50" s="1878"/>
      <c r="C50" s="1879"/>
      <c r="D50" s="1880"/>
      <c r="E50" s="1952" t="s">
        <v>1103</v>
      </c>
      <c r="F50" s="1953">
        <f ca="1">F7</f>
        <v>0</v>
      </c>
      <c r="H50" s="1948"/>
      <c r="I50" s="811" t="s">
        <v>1213</v>
      </c>
      <c r="J50" s="2002">
        <f>SUMPRODUCT((I63:I65=J47)*(J62:L62=J48)*(J63:L65))</f>
        <v>0</v>
      </c>
      <c r="K50" s="1998" t="s">
        <v>1214</v>
      </c>
      <c r="L50" s="2001"/>
      <c r="M50" s="2040"/>
      <c r="O50" s="2039" t="s">
        <v>1215</v>
      </c>
      <c r="P50" s="2038" t="s">
        <v>1216</v>
      </c>
      <c r="Q50" s="2047" t="e">
        <f ca="1">J58</f>
        <v>#DIV/0!</v>
      </c>
      <c r="R50" s="2046"/>
    </row>
    <row r="51" spans="1:18" s="776" customFormat="1">
      <c r="A51" s="1881"/>
      <c r="B51" s="1878"/>
      <c r="C51" s="1879"/>
      <c r="D51" s="1880"/>
      <c r="E51" s="1954" t="s">
        <v>1104</v>
      </c>
      <c r="F51" s="1912">
        <f ca="1">F8</f>
        <v>0</v>
      </c>
      <c r="I51" s="2003" t="s">
        <v>1217</v>
      </c>
      <c r="J51" s="2004">
        <f>IF(J49="",J50,J49+J50-YEAR('数据-取费表'!B2))</f>
        <v>0</v>
      </c>
      <c r="K51" s="2005" t="s">
        <v>1218</v>
      </c>
      <c r="L51" s="2006">
        <f ca="1">ROUND(-PV(INDIRECT("'数据-取费表'!h"&amp;$G$1),J51,(C39-C13*C76),0),0)</f>
        <v>0</v>
      </c>
      <c r="M51" s="2041"/>
      <c r="O51" s="2039" t="s">
        <v>1219</v>
      </c>
      <c r="P51" s="2038" t="s">
        <v>1220</v>
      </c>
      <c r="Q51" s="2047">
        <f>J52</f>
        <v>0</v>
      </c>
      <c r="R51" s="2046"/>
    </row>
    <row r="52" spans="1:18" s="776" customFormat="1">
      <c r="A52" s="1881"/>
      <c r="B52" s="1878"/>
      <c r="C52" s="1879"/>
      <c r="D52" s="1880"/>
      <c r="E52" s="1954" t="s">
        <v>1105</v>
      </c>
      <c r="F52" s="1955"/>
      <c r="I52" s="2007" t="s">
        <v>1221</v>
      </c>
      <c r="J52" s="2008"/>
      <c r="K52" s="2007" t="s">
        <v>1222</v>
      </c>
      <c r="L52" s="2008"/>
      <c r="O52" s="2039" t="s">
        <v>1223</v>
      </c>
      <c r="P52" s="2038" t="s">
        <v>1224</v>
      </c>
      <c r="Q52" s="2046">
        <f ca="1">J53</f>
        <v>0</v>
      </c>
      <c r="R52" s="2046" t="s">
        <v>1225</v>
      </c>
    </row>
    <row r="53" spans="1:18" s="776" customFormat="1" ht="30.75" customHeight="1">
      <c r="A53" s="1882" t="s">
        <v>1226</v>
      </c>
      <c r="B53" s="1835" t="s">
        <v>1106</v>
      </c>
      <c r="C53" s="288">
        <f ca="1">ROUND(IF(F53="押一",C49/12*F11,IF(F53="押二",C49/12*2*F11,IF(F53="押三",C49/12*3*F11,C54*F11))),0)</f>
        <v>0</v>
      </c>
      <c r="D53" s="1817" t="s">
        <v>1286</v>
      </c>
      <c r="E53" s="1915" t="s">
        <v>1108</v>
      </c>
      <c r="F53" s="1916"/>
      <c r="I53" s="2009" t="s">
        <v>1227</v>
      </c>
      <c r="J53" s="2010">
        <f ca="1">IF(M47="住宅",IF(D1="——",MAX(J51,L48),MAX(J51,L48-'数据-取费表'!B24)),IF(D1="——",MIN(J51,L48),MIN(J51,L48-'数据-取费表'!B24)))</f>
        <v>0</v>
      </c>
      <c r="K53" s="3415" t="s">
        <v>1228</v>
      </c>
      <c r="L53" s="3416"/>
      <c r="O53" s="2037" t="s">
        <v>1048</v>
      </c>
      <c r="P53" s="2038" t="s">
        <v>1229</v>
      </c>
      <c r="Q53" s="2046" t="e">
        <f ca="1">Q47+Q48</f>
        <v>#DIV/0!</v>
      </c>
      <c r="R53" s="2046" t="s">
        <v>1230</v>
      </c>
    </row>
    <row r="54" spans="1:18" s="776" customFormat="1">
      <c r="A54" s="1873"/>
      <c r="B54" s="1883" t="s">
        <v>1283</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2"/>
      <c r="K54" s="2012"/>
      <c r="L54" s="2012"/>
      <c r="M54" s="1951"/>
      <c r="O54" s="2033" t="s">
        <v>1231</v>
      </c>
      <c r="P54" s="2042"/>
      <c r="Q54" s="2042"/>
      <c r="R54" s="2042"/>
    </row>
    <row r="55" spans="1:18" s="776" customFormat="1">
      <c r="A55" s="1821" t="s">
        <v>883</v>
      </c>
      <c r="B55" s="1822" t="s">
        <v>1113</v>
      </c>
      <c r="C55" s="1823"/>
      <c r="D55" s="1817"/>
      <c r="E55" s="1956"/>
      <c r="F55" s="1957"/>
      <c r="I55" s="2013" t="s">
        <v>1232</v>
      </c>
      <c r="J55" s="2014" t="e">
        <f ca="1">ROUND(IF(J47="钢混",J57/J50,1-(1-2%)*(J50-J57)/J50),3)</f>
        <v>#DIV/0!</v>
      </c>
      <c r="K55" s="2015" t="s">
        <v>1233</v>
      </c>
      <c r="L55" s="2016"/>
      <c r="O55" s="2034" t="s">
        <v>1191</v>
      </c>
      <c r="P55" s="2035" t="s">
        <v>1192</v>
      </c>
      <c r="Q55" s="2045" t="s">
        <v>1193</v>
      </c>
      <c r="R55" s="2045" t="s">
        <v>1194</v>
      </c>
    </row>
    <row r="56" spans="1:18" s="776" customFormat="1" ht="36" customHeight="1">
      <c r="A56" s="1884">
        <v>2</v>
      </c>
      <c r="B56" s="1885" t="s">
        <v>1114</v>
      </c>
      <c r="C56" s="182">
        <f ca="1">C13</f>
        <v>0</v>
      </c>
      <c r="D56" s="1886"/>
      <c r="E56" s="1958"/>
      <c r="F56" s="1957"/>
      <c r="I56" s="2017" t="s">
        <v>1235</v>
      </c>
      <c r="J56" s="2018"/>
      <c r="K56" s="811" t="s">
        <v>1236</v>
      </c>
      <c r="L56" s="1999">
        <f ca="1">IF(L48&lt;J51,"——",L48-J51)</f>
        <v>0</v>
      </c>
      <c r="O56" s="2037" t="s">
        <v>940</v>
      </c>
      <c r="P56" s="2038" t="s">
        <v>1198</v>
      </c>
      <c r="Q56" s="2046" t="e">
        <f ca="1">C40+J29</f>
        <v>#DIV/0!</v>
      </c>
      <c r="R56" s="2046" t="s">
        <v>1199</v>
      </c>
    </row>
    <row r="57" spans="1:18" s="776" customFormat="1" ht="24">
      <c r="A57" s="1887"/>
      <c r="B57" s="1888" t="s">
        <v>1177</v>
      </c>
      <c r="C57" s="188">
        <f ca="1">C29</f>
        <v>0</v>
      </c>
      <c r="D57" s="1889"/>
      <c r="E57" s="1959"/>
      <c r="F57" s="1960"/>
      <c r="I57" s="2019" t="s">
        <v>1237</v>
      </c>
      <c r="J57" s="2020">
        <f ca="1">IF(OR(M47="住宅",J51&lt;L48,J56="是"),"——",J51-L48)</f>
        <v>0</v>
      </c>
      <c r="K57" s="811" t="s">
        <v>1287</v>
      </c>
      <c r="L57" s="1999">
        <f ca="1">IF(L48&lt;J51,"——",IF(L55="比较法",L49,IF(L55="基准地价",L50,L51)))</f>
        <v>0</v>
      </c>
      <c r="O57" s="2037" t="s">
        <v>944</v>
      </c>
      <c r="P57" s="2038" t="s">
        <v>1239</v>
      </c>
      <c r="Q57" s="2046" t="e">
        <f ca="1">L60</f>
        <v>#DIV/0!</v>
      </c>
      <c r="R57" s="2046" t="s">
        <v>1240</v>
      </c>
    </row>
    <row r="58" spans="1:18" s="776" customFormat="1" ht="24">
      <c r="A58" s="1890" t="s">
        <v>1122</v>
      </c>
      <c r="B58" s="1885" t="s">
        <v>1123</v>
      </c>
      <c r="C58" s="288">
        <f ca="1">ROUND(C59+C64+C65+C66,0)</f>
        <v>0</v>
      </c>
      <c r="D58" s="1891" t="s">
        <v>1124</v>
      </c>
      <c r="E58" s="1961"/>
      <c r="F58" s="1947"/>
      <c r="I58" s="2019" t="s">
        <v>1241</v>
      </c>
      <c r="J58" s="2021" t="e">
        <f ca="1">IF(J55&lt;0.4,0.4,J55)</f>
        <v>#DIV/0!</v>
      </c>
      <c r="K58" s="2005" t="s">
        <v>1288</v>
      </c>
      <c r="L58" s="1999" t="e">
        <f ca="1">ROUND(POWER(1+L52,L47-L48)*(POWER(1+L52,L48)-1)/(POWER(1+L52,L47)-1),4)</f>
        <v>#DIV/0!</v>
      </c>
      <c r="O58" s="2039" t="s">
        <v>1211</v>
      </c>
      <c r="P58" s="2038" t="s">
        <v>1243</v>
      </c>
      <c r="Q58" s="2046">
        <f>IF(L55="比较法",L49,IF(L55="基准地价",L50,0))</f>
        <v>0</v>
      </c>
      <c r="R58" s="2046" t="s">
        <v>1199</v>
      </c>
    </row>
    <row r="59" spans="1:18" s="776" customFormat="1" ht="24">
      <c r="A59" s="1829" t="s">
        <v>834</v>
      </c>
      <c r="B59" s="1888" t="s">
        <v>1129</v>
      </c>
      <c r="C59" s="1842">
        <f ca="1">ROUND(IF(AND(项目基本情况!B11="自然人",项目基本情况!B10="北京市"),C49*F59/(1+'数据-取费表'!C42),C60+C61+C62),0)</f>
        <v>0</v>
      </c>
      <c r="D59" s="1892" t="s">
        <v>1130</v>
      </c>
      <c r="E59" s="1893" t="s">
        <v>1131</v>
      </c>
      <c r="F59" s="1932" t="str">
        <f>IF(项目基本情况!B11="企业","——",IF('数据-取费表'!B10="住宅",IF(F49*F50*F51/12/(1+'数据-取费表'!F30)&gt;100000,4%,2.5%),IF(F49*F50*F51/12/(1+'数据-取费表'!F30)&gt;100000,12%,7%)))</f>
        <v>——</v>
      </c>
      <c r="I59" s="2019" t="s">
        <v>1244</v>
      </c>
      <c r="J59" s="2020"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9"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39" t="s">
        <v>1215</v>
      </c>
      <c r="P59" s="2038" t="s">
        <v>1245</v>
      </c>
      <c r="Q59" s="2047">
        <f>L52</f>
        <v>0</v>
      </c>
      <c r="R59" s="2046"/>
    </row>
    <row r="60" spans="1:18" s="776" customFormat="1" ht="15.75">
      <c r="A60" s="1829" t="s">
        <v>857</v>
      </c>
      <c r="B60" s="1888" t="s">
        <v>1133</v>
      </c>
      <c r="C60" s="289">
        <f ca="1">IF(项目基本情况!B11="自然人","——",ROUND(C48*F60/(1+'数据-取费表'!C42),0))</f>
        <v>0</v>
      </c>
      <c r="D60" s="1893" t="s">
        <v>1134</v>
      </c>
      <c r="E60" s="1888" t="s">
        <v>1121</v>
      </c>
      <c r="F60" s="1928">
        <f t="shared" ref="F60:F66" si="0">F32</f>
        <v>5.6000000000000001E-2</v>
      </c>
      <c r="I60" s="2022" t="s">
        <v>1246</v>
      </c>
      <c r="J60" s="2023" t="e">
        <f ca="1">IF(OR(M47="住宅",J51&lt;L48,J56="是"),"0",ROUND(J59/(1+J52)^J53,0))</f>
        <v>#DIV/0!</v>
      </c>
      <c r="K60" s="2024" t="s">
        <v>1247</v>
      </c>
      <c r="L60" s="2023" t="e">
        <f ca="1">IF(OR(M47="住宅",L48&lt;J51),0,ROUND(L57*(L58/L59-1),0))</f>
        <v>#DIV/0!</v>
      </c>
      <c r="O60" s="2039" t="s">
        <v>1219</v>
      </c>
      <c r="P60" s="2038" t="s">
        <v>1248</v>
      </c>
      <c r="Q60" s="2046" t="e">
        <f ca="1">L58</f>
        <v>#DIV/0!</v>
      </c>
      <c r="R60" s="2046" t="s">
        <v>1249</v>
      </c>
    </row>
    <row r="61" spans="1:18" s="776" customFormat="1">
      <c r="A61" s="1829" t="s">
        <v>861</v>
      </c>
      <c r="B61" s="1888" t="s">
        <v>1137</v>
      </c>
      <c r="C61" s="289">
        <f ca="1">IF(项目基本情况!B11="自然人","——",IF(D61="按租金收入计税",ROUND(C49*F61/(1+'数据-取费表'!C42),0),IF(D61="按房产原值计税",ROUND(C57*F61*0.7,0),INDIRECT("'数据-取费表'!Aj"&amp;$G$1))))</f>
        <v>0</v>
      </c>
      <c r="D61" s="1844" t="s">
        <v>1138</v>
      </c>
      <c r="E61" s="1888" t="s">
        <v>1121</v>
      </c>
      <c r="F61" s="1925">
        <f t="shared" si="0"/>
        <v>1.2E-2</v>
      </c>
      <c r="I61" s="1939"/>
      <c r="J61" s="1939"/>
      <c r="K61" s="1939"/>
      <c r="L61" s="1939"/>
      <c r="O61" s="2039" t="s">
        <v>1223</v>
      </c>
      <c r="P61" s="2038" t="str">
        <f>K59</f>
        <v>建设期及建筑物耐用年限下的土地年期修正系数Kn</v>
      </c>
      <c r="Q61" s="2046" t="e">
        <f ca="1">L59</f>
        <v>#DIV/0!</v>
      </c>
      <c r="R61" s="2046" t="s">
        <v>1250</v>
      </c>
    </row>
    <row r="62" spans="1:18" s="776" customFormat="1">
      <c r="A62" s="1829" t="s">
        <v>864</v>
      </c>
      <c r="B62" s="1894" t="s">
        <v>1141</v>
      </c>
      <c r="C62" s="1845">
        <f ca="1">IF(项目基本情况!B11="自然人","——",ROUND(F62*F63,0))</f>
        <v>0</v>
      </c>
      <c r="D62" s="1895" t="s">
        <v>1142</v>
      </c>
      <c r="E62" s="1888" t="s">
        <v>1143</v>
      </c>
      <c r="F62" s="1927">
        <f t="shared" si="0"/>
        <v>3</v>
      </c>
      <c r="I62" s="2025" t="s">
        <v>1251</v>
      </c>
      <c r="J62" s="2026" t="s">
        <v>1252</v>
      </c>
      <c r="K62" s="2026" t="s">
        <v>1253</v>
      </c>
      <c r="L62" s="2026" t="s">
        <v>1254</v>
      </c>
      <c r="M62" s="2043" t="s">
        <v>1255</v>
      </c>
      <c r="O62" s="2037" t="s">
        <v>1048</v>
      </c>
      <c r="P62" s="2038" t="s">
        <v>1229</v>
      </c>
      <c r="Q62" s="2046" t="e">
        <f ca="1">Q56+Q57</f>
        <v>#DIV/0!</v>
      </c>
      <c r="R62" s="2046" t="s">
        <v>1230</v>
      </c>
    </row>
    <row r="63" spans="1:18" s="776" customFormat="1">
      <c r="A63" s="1896"/>
      <c r="B63" s="1897"/>
      <c r="C63" s="1849"/>
      <c r="D63" s="1898"/>
      <c r="E63" s="1888" t="s">
        <v>1147</v>
      </c>
      <c r="F63" s="1912">
        <f t="shared" ca="1" si="0"/>
        <v>0</v>
      </c>
      <c r="I63" s="2025" t="s">
        <v>1256</v>
      </c>
      <c r="J63" s="2026">
        <v>70</v>
      </c>
      <c r="K63" s="2026">
        <v>50</v>
      </c>
      <c r="L63" s="2026">
        <v>80</v>
      </c>
      <c r="M63" s="2044">
        <v>0.02</v>
      </c>
      <c r="O63" s="2033" t="s">
        <v>1257</v>
      </c>
      <c r="P63" s="2042"/>
      <c r="Q63" s="2042"/>
      <c r="R63" s="2042"/>
    </row>
    <row r="64" spans="1:18" s="776" customFormat="1">
      <c r="A64" s="1829" t="s">
        <v>838</v>
      </c>
      <c r="B64" s="1888" t="s">
        <v>1149</v>
      </c>
      <c r="C64" s="289">
        <f ca="1">ROUND(C57*F64,0)</f>
        <v>0</v>
      </c>
      <c r="D64" s="1893" t="s">
        <v>1183</v>
      </c>
      <c r="E64" s="1888" t="s">
        <v>1121</v>
      </c>
      <c r="F64" s="1935">
        <f t="shared" ca="1" si="0"/>
        <v>0</v>
      </c>
      <c r="I64" s="2025" t="s">
        <v>1258</v>
      </c>
      <c r="J64" s="2026">
        <v>50</v>
      </c>
      <c r="K64" s="2026">
        <v>35</v>
      </c>
      <c r="L64" s="2026">
        <v>60</v>
      </c>
      <c r="M64" s="2043">
        <v>0</v>
      </c>
      <c r="O64" s="2034" t="s">
        <v>1191</v>
      </c>
      <c r="P64" s="2035" t="s">
        <v>1192</v>
      </c>
      <c r="Q64" s="2045" t="s">
        <v>1193</v>
      </c>
      <c r="R64" s="2045" t="s">
        <v>1194</v>
      </c>
    </row>
    <row r="65" spans="1:18" s="776" customFormat="1">
      <c r="A65" s="1829" t="s">
        <v>883</v>
      </c>
      <c r="B65" s="1888" t="s">
        <v>1153</v>
      </c>
      <c r="C65" s="289">
        <f ca="1">ROUND(C56*F65,0)</f>
        <v>0</v>
      </c>
      <c r="D65" s="1893" t="s">
        <v>1154</v>
      </c>
      <c r="E65" s="1888" t="s">
        <v>1121</v>
      </c>
      <c r="F65" s="1936">
        <f t="shared" ca="1" si="0"/>
        <v>0</v>
      </c>
      <c r="I65" s="2025" t="s">
        <v>1259</v>
      </c>
      <c r="J65" s="2026">
        <v>40</v>
      </c>
      <c r="K65" s="2026">
        <v>30</v>
      </c>
      <c r="L65" s="2026">
        <v>50</v>
      </c>
      <c r="M65" s="2044">
        <v>0.02</v>
      </c>
      <c r="O65" s="2037" t="s">
        <v>940</v>
      </c>
      <c r="P65" s="2038" t="s">
        <v>1198</v>
      </c>
      <c r="Q65" s="2046" t="e">
        <f ca="1">C40+J29</f>
        <v>#DIV/0!</v>
      </c>
      <c r="R65" s="2046" t="s">
        <v>1199</v>
      </c>
    </row>
    <row r="66" spans="1:18" s="776" customFormat="1" ht="15.75">
      <c r="A66" s="1829" t="s">
        <v>886</v>
      </c>
      <c r="B66" s="1888" t="s">
        <v>1139</v>
      </c>
      <c r="C66" s="289">
        <f ca="1">ROUND(C48*F66,0)</f>
        <v>0</v>
      </c>
      <c r="D66" s="1893" t="s">
        <v>1157</v>
      </c>
      <c r="E66" s="1888" t="s">
        <v>1121</v>
      </c>
      <c r="F66" s="1914">
        <f t="shared" ca="1" si="0"/>
        <v>0</v>
      </c>
      <c r="O66" s="2037" t="s">
        <v>944</v>
      </c>
      <c r="P66" s="2038" t="s">
        <v>1239</v>
      </c>
      <c r="Q66" s="2046" t="e">
        <f ca="1">L60</f>
        <v>#DIV/0!</v>
      </c>
      <c r="R66" s="2046" t="s">
        <v>1240</v>
      </c>
    </row>
    <row r="67" spans="1:18" s="776" customFormat="1" ht="15.75">
      <c r="A67" s="1884" t="s">
        <v>1160</v>
      </c>
      <c r="B67" s="2048" t="s">
        <v>1161</v>
      </c>
      <c r="C67" s="288">
        <f ca="1">C48-C58</f>
        <v>0</v>
      </c>
      <c r="D67" s="1892" t="s">
        <v>1162</v>
      </c>
      <c r="E67" s="2066"/>
      <c r="F67" s="2067"/>
      <c r="O67" s="2039" t="s">
        <v>1211</v>
      </c>
      <c r="P67" s="2038" t="s">
        <v>1243</v>
      </c>
      <c r="Q67" s="2070">
        <f ca="1">L51</f>
        <v>0</v>
      </c>
      <c r="R67" s="2046" t="s">
        <v>1260</v>
      </c>
    </row>
    <row r="68" spans="1:18" s="776" customFormat="1" ht="15.75">
      <c r="A68" s="2049" t="s">
        <v>1166</v>
      </c>
      <c r="B68" s="2050" t="s">
        <v>1184</v>
      </c>
      <c r="C68" s="1854" t="e">
        <f ca="1">ROUND(C67*(1-((1+F70)/(1+F68))^F69)/(F68-F70),0)</f>
        <v>#DIV/0!</v>
      </c>
      <c r="D68" s="1895" t="s">
        <v>1168</v>
      </c>
      <c r="E68" s="1888" t="s">
        <v>1169</v>
      </c>
      <c r="F68" s="1914">
        <f ca="1">F40</f>
        <v>0</v>
      </c>
      <c r="O68" s="2039" t="s">
        <v>1215</v>
      </c>
      <c r="P68" s="2069" t="s">
        <v>1261</v>
      </c>
      <c r="Q68" s="2046">
        <f ca="1">ROUND(Q69-Q70*Q71,0)</f>
        <v>0</v>
      </c>
      <c r="R68" s="2046" t="s">
        <v>1262</v>
      </c>
    </row>
    <row r="69" spans="1:18" s="776" customFormat="1">
      <c r="A69" s="2051"/>
      <c r="B69" s="2052"/>
      <c r="C69" s="1815"/>
      <c r="D69" s="2053" t="s">
        <v>1172</v>
      </c>
      <c r="E69" s="1888" t="s">
        <v>1173</v>
      </c>
      <c r="F69" s="1940">
        <f ca="1">F41</f>
        <v>0</v>
      </c>
      <c r="O69" s="2039" t="s">
        <v>1263</v>
      </c>
      <c r="P69" s="2069" t="s">
        <v>1264</v>
      </c>
      <c r="Q69" s="2046">
        <f ca="1">C39</f>
        <v>0</v>
      </c>
      <c r="R69" s="2046" t="s">
        <v>1199</v>
      </c>
    </row>
    <row r="70" spans="1:18" s="776" customFormat="1">
      <c r="A70" s="2054"/>
      <c r="B70" s="2055"/>
      <c r="C70" s="1827"/>
      <c r="D70" s="1898"/>
      <c r="E70" s="1888" t="s">
        <v>1176</v>
      </c>
      <c r="F70" s="1955">
        <f ca="1">F42</f>
        <v>0</v>
      </c>
      <c r="O70" s="2039" t="s">
        <v>1265</v>
      </c>
      <c r="P70" s="2069" t="s">
        <v>1266</v>
      </c>
      <c r="Q70" s="2046">
        <f ca="1">C13</f>
        <v>0</v>
      </c>
      <c r="R70" s="2046" t="s">
        <v>1199</v>
      </c>
    </row>
    <row r="71" spans="1:18" s="776" customFormat="1">
      <c r="A71" s="2056" t="s">
        <v>1178</v>
      </c>
      <c r="B71" s="2057" t="s">
        <v>1185</v>
      </c>
      <c r="C71" s="1860" t="e">
        <f ca="1">ROUND(C68/F71,0)</f>
        <v>#DIV/0!</v>
      </c>
      <c r="D71" s="2058" t="s">
        <v>1186</v>
      </c>
      <c r="E71" s="2068" t="s">
        <v>1187</v>
      </c>
      <c r="F71" s="1943">
        <f ca="1">F43</f>
        <v>0</v>
      </c>
      <c r="O71" s="2039" t="s">
        <v>1267</v>
      </c>
      <c r="P71" s="2069" t="s">
        <v>1268</v>
      </c>
      <c r="Q71" s="2047">
        <f ca="1">C76</f>
        <v>0</v>
      </c>
      <c r="R71" s="2046"/>
    </row>
    <row r="72" spans="1:18" s="776" customFormat="1">
      <c r="B72" s="362"/>
      <c r="C72" s="362"/>
      <c r="O72" s="2039" t="s">
        <v>1219</v>
      </c>
      <c r="P72" s="2038" t="s">
        <v>1245</v>
      </c>
      <c r="Q72" s="2047">
        <f>L52</f>
        <v>0</v>
      </c>
      <c r="R72" s="2046"/>
    </row>
    <row r="73" spans="1:18" ht="15.75">
      <c r="A73" s="776"/>
      <c r="B73" s="362"/>
      <c r="C73" s="362"/>
      <c r="D73" s="776"/>
      <c r="E73" s="776"/>
      <c r="F73" s="776"/>
      <c r="O73" s="2039" t="s">
        <v>1223</v>
      </c>
      <c r="P73" s="2038" t="s">
        <v>1248</v>
      </c>
      <c r="Q73" s="2046" t="e">
        <f ca="1">L58</f>
        <v>#DIV/0!</v>
      </c>
      <c r="R73" s="2046" t="s">
        <v>1249</v>
      </c>
    </row>
    <row r="74" spans="1:18">
      <c r="A74" s="776"/>
      <c r="B74" s="205" t="s">
        <v>1269</v>
      </c>
      <c r="C74" s="2059"/>
      <c r="D74" s="776"/>
      <c r="E74" s="776"/>
      <c r="F74" s="776"/>
      <c r="O74" s="2039" t="s">
        <v>1270</v>
      </c>
      <c r="P74" s="2038" t="str">
        <f>K59</f>
        <v>建设期及建筑物耐用年限下的土地年期修正系数Kn</v>
      </c>
      <c r="Q74" s="2046" t="e">
        <f ca="1">L59</f>
        <v>#DIV/0!</v>
      </c>
      <c r="R74" s="2046" t="s">
        <v>1250</v>
      </c>
    </row>
    <row r="75" spans="1:18">
      <c r="A75" s="776"/>
      <c r="B75" s="2060" t="s">
        <v>1271</v>
      </c>
      <c r="C75" s="2061">
        <f ca="1">ROUND(C13*C76,0)</f>
        <v>0</v>
      </c>
      <c r="D75" s="776"/>
      <c r="E75" s="776"/>
      <c r="F75" s="776"/>
      <c r="K75" s="1988"/>
      <c r="L75" s="776"/>
      <c r="O75" s="2037" t="s">
        <v>1048</v>
      </c>
      <c r="P75" s="2038" t="s">
        <v>1229</v>
      </c>
      <c r="Q75" s="2046" t="e">
        <f ca="1">Q65+Q66</f>
        <v>#DIV/0!</v>
      </c>
      <c r="R75" s="2046" t="s">
        <v>1230</v>
      </c>
    </row>
    <row r="76" spans="1:18">
      <c r="B76" s="598" t="s">
        <v>1272</v>
      </c>
      <c r="C76" s="2062">
        <f ca="1">INDIRECT("'数据-取费表'!j"&amp;$G$1)</f>
        <v>0</v>
      </c>
      <c r="I76" s="776"/>
      <c r="J76" s="776"/>
      <c r="K76" s="1988"/>
      <c r="L76" s="776"/>
    </row>
    <row r="77" spans="1:18">
      <c r="B77" s="2063" t="s">
        <v>1273</v>
      </c>
      <c r="C77" s="2064"/>
      <c r="I77" s="776"/>
      <c r="J77" s="776"/>
      <c r="K77" s="1988"/>
      <c r="L77" s="776"/>
    </row>
    <row r="78" spans="1:18">
      <c r="B78" s="203" t="s">
        <v>1274</v>
      </c>
      <c r="C78" s="2065"/>
    </row>
    <row r="79" spans="1:18">
      <c r="B79" s="2060" t="s">
        <v>1275</v>
      </c>
      <c r="C79" s="206" t="e">
        <f ca="1">1-C80</f>
        <v>#DIV/0!</v>
      </c>
    </row>
    <row r="80" spans="1:18">
      <c r="B80" s="2060" t="s">
        <v>1276</v>
      </c>
      <c r="C80" s="206" t="e">
        <f ca="1">ROUND(C75/C39,3)</f>
        <v>#DIV/0!</v>
      </c>
    </row>
    <row r="81" spans="2:3">
      <c r="B81" s="203" t="s">
        <v>1277</v>
      </c>
      <c r="C81" s="188"/>
    </row>
    <row r="82" spans="2:3">
      <c r="B82" s="205" t="s">
        <v>1021</v>
      </c>
      <c r="C82" s="207" t="e">
        <f ca="1">1-C83</f>
        <v>#DIV/0!</v>
      </c>
    </row>
    <row r="83" spans="2:3">
      <c r="B83" s="205" t="s">
        <v>1022</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
    </sheetView>
  </sheetViews>
  <sheetFormatPr defaultColWidth="9" defaultRowHeight="13.15" customHeight="1"/>
  <cols>
    <col min="1" max="1" width="9.5" style="1617" customWidth="1"/>
    <col min="2" max="2" width="8.875" style="1617"/>
    <col min="3" max="5" width="12.875" style="1617" customWidth="1"/>
    <col min="6" max="6" width="47.5" style="1617" customWidth="1"/>
    <col min="7" max="7" width="13" style="1618" customWidth="1"/>
    <col min="8" max="8" width="8.875" style="1619"/>
    <col min="9" max="9" width="8.875" style="1620"/>
    <col min="10" max="10" width="5.75" style="1621" customWidth="1"/>
    <col min="11" max="11" width="11.75" style="1621" customWidth="1"/>
    <col min="12" max="13" width="10.75" style="1621" customWidth="1"/>
    <col min="14" max="14" width="10" style="1621" customWidth="1"/>
    <col min="15" max="16" width="10.5" style="1621" customWidth="1"/>
    <col min="17" max="17" width="10" style="1621" customWidth="1"/>
    <col min="18" max="18" width="10.125" style="1621" customWidth="1"/>
    <col min="19" max="19" width="10" style="1621" customWidth="1"/>
    <col min="20" max="20" width="26.125" style="1621" customWidth="1"/>
    <col min="21" max="21" width="8.875" style="1621"/>
    <col min="22" max="22" width="8.875" style="1620"/>
    <col min="23" max="256" width="8.875" style="1617"/>
    <col min="257" max="257" width="9.5" style="1617" customWidth="1"/>
    <col min="258" max="258" width="8.875" style="1617"/>
    <col min="259" max="261" width="12.875" style="1617" customWidth="1"/>
    <col min="262" max="262" width="47.5" style="1617" customWidth="1"/>
    <col min="263" max="263" width="13" style="1617" customWidth="1"/>
    <col min="264" max="265" width="8.875" style="1617"/>
    <col min="266" max="266" width="5.75" style="1617" customWidth="1"/>
    <col min="267" max="267" width="11.75" style="1617" customWidth="1"/>
    <col min="268" max="269" width="10.75" style="1617" customWidth="1"/>
    <col min="270" max="270" width="10" style="1617" customWidth="1"/>
    <col min="271" max="272" width="10.5" style="1617" customWidth="1"/>
    <col min="273" max="273" width="10" style="1617" customWidth="1"/>
    <col min="274" max="274" width="10.125" style="1617" customWidth="1"/>
    <col min="275" max="275" width="10" style="1617" customWidth="1"/>
    <col min="276" max="276" width="26.125" style="1617" customWidth="1"/>
    <col min="277" max="512" width="8.875" style="1617"/>
    <col min="513" max="513" width="9.5" style="1617" customWidth="1"/>
    <col min="514" max="514" width="8.875" style="1617"/>
    <col min="515" max="517" width="12.875" style="1617" customWidth="1"/>
    <col min="518" max="518" width="47.5" style="1617" customWidth="1"/>
    <col min="519" max="519" width="13" style="1617" customWidth="1"/>
    <col min="520" max="521" width="8.875" style="1617"/>
    <col min="522" max="522" width="5.75" style="1617" customWidth="1"/>
    <col min="523" max="523" width="11.75" style="1617" customWidth="1"/>
    <col min="524" max="525" width="10.75" style="1617" customWidth="1"/>
    <col min="526" max="526" width="10" style="1617" customWidth="1"/>
    <col min="527" max="528" width="10.5" style="1617" customWidth="1"/>
    <col min="529" max="529" width="10" style="1617" customWidth="1"/>
    <col min="530" max="530" width="10.125" style="1617" customWidth="1"/>
    <col min="531" max="531" width="10" style="1617" customWidth="1"/>
    <col min="532" max="532" width="26.125" style="1617" customWidth="1"/>
    <col min="533" max="768" width="8.875" style="1617"/>
    <col min="769" max="769" width="9.5" style="1617" customWidth="1"/>
    <col min="770" max="770" width="8.875" style="1617"/>
    <col min="771" max="773" width="12.875" style="1617" customWidth="1"/>
    <col min="774" max="774" width="47.5" style="1617" customWidth="1"/>
    <col min="775" max="775" width="13" style="1617" customWidth="1"/>
    <col min="776" max="777" width="8.875" style="1617"/>
    <col min="778" max="778" width="5.75" style="1617" customWidth="1"/>
    <col min="779" max="779" width="11.75" style="1617" customWidth="1"/>
    <col min="780" max="781" width="10.75" style="1617" customWidth="1"/>
    <col min="782" max="782" width="10" style="1617" customWidth="1"/>
    <col min="783" max="784" width="10.5" style="1617" customWidth="1"/>
    <col min="785" max="785" width="10" style="1617" customWidth="1"/>
    <col min="786" max="786" width="10.125" style="1617" customWidth="1"/>
    <col min="787" max="787" width="10" style="1617" customWidth="1"/>
    <col min="788" max="788" width="26.125" style="1617" customWidth="1"/>
    <col min="789" max="1024" width="8.875" style="1617"/>
    <col min="1025" max="1025" width="9.5" style="1617" customWidth="1"/>
    <col min="1026" max="1026" width="8.875" style="1617"/>
    <col min="1027" max="1029" width="12.875" style="1617" customWidth="1"/>
    <col min="1030" max="1030" width="47.5" style="1617" customWidth="1"/>
    <col min="1031" max="1031" width="13" style="1617" customWidth="1"/>
    <col min="1032" max="1033" width="8.875" style="1617"/>
    <col min="1034" max="1034" width="5.75" style="1617" customWidth="1"/>
    <col min="1035" max="1035" width="11.75" style="1617" customWidth="1"/>
    <col min="1036" max="1037" width="10.75" style="1617" customWidth="1"/>
    <col min="1038" max="1038" width="10" style="1617" customWidth="1"/>
    <col min="1039" max="1040" width="10.5" style="1617" customWidth="1"/>
    <col min="1041" max="1041" width="10" style="1617" customWidth="1"/>
    <col min="1042" max="1042" width="10.125" style="1617" customWidth="1"/>
    <col min="1043" max="1043" width="10" style="1617" customWidth="1"/>
    <col min="1044" max="1044" width="26.125" style="1617" customWidth="1"/>
    <col min="1045" max="1280" width="8.875" style="1617"/>
    <col min="1281" max="1281" width="9.5" style="1617" customWidth="1"/>
    <col min="1282" max="1282" width="8.875" style="1617"/>
    <col min="1283" max="1285" width="12.875" style="1617" customWidth="1"/>
    <col min="1286" max="1286" width="47.5" style="1617" customWidth="1"/>
    <col min="1287" max="1287" width="13" style="1617" customWidth="1"/>
    <col min="1288" max="1289" width="8.875" style="1617"/>
    <col min="1290" max="1290" width="5.75" style="1617" customWidth="1"/>
    <col min="1291" max="1291" width="11.75" style="1617" customWidth="1"/>
    <col min="1292" max="1293" width="10.75" style="1617" customWidth="1"/>
    <col min="1294" max="1294" width="10" style="1617" customWidth="1"/>
    <col min="1295" max="1296" width="10.5" style="1617" customWidth="1"/>
    <col min="1297" max="1297" width="10" style="1617" customWidth="1"/>
    <col min="1298" max="1298" width="10.125" style="1617" customWidth="1"/>
    <col min="1299" max="1299" width="10" style="1617" customWidth="1"/>
    <col min="1300" max="1300" width="26.125" style="1617" customWidth="1"/>
    <col min="1301" max="1536" width="8.875" style="1617"/>
    <col min="1537" max="1537" width="9.5" style="1617" customWidth="1"/>
    <col min="1538" max="1538" width="8.875" style="1617"/>
    <col min="1539" max="1541" width="12.875" style="1617" customWidth="1"/>
    <col min="1542" max="1542" width="47.5" style="1617" customWidth="1"/>
    <col min="1543" max="1543" width="13" style="1617" customWidth="1"/>
    <col min="1544" max="1545" width="8.875" style="1617"/>
    <col min="1546" max="1546" width="5.75" style="1617" customWidth="1"/>
    <col min="1547" max="1547" width="11.75" style="1617" customWidth="1"/>
    <col min="1548" max="1549" width="10.75" style="1617" customWidth="1"/>
    <col min="1550" max="1550" width="10" style="1617" customWidth="1"/>
    <col min="1551" max="1552" width="10.5" style="1617" customWidth="1"/>
    <col min="1553" max="1553" width="10" style="1617" customWidth="1"/>
    <col min="1554" max="1554" width="10.125" style="1617" customWidth="1"/>
    <col min="1555" max="1555" width="10" style="1617" customWidth="1"/>
    <col min="1556" max="1556" width="26.125" style="1617" customWidth="1"/>
    <col min="1557" max="1792" width="8.875" style="1617"/>
    <col min="1793" max="1793" width="9.5" style="1617" customWidth="1"/>
    <col min="1794" max="1794" width="8.875" style="1617"/>
    <col min="1795" max="1797" width="12.875" style="1617" customWidth="1"/>
    <col min="1798" max="1798" width="47.5" style="1617" customWidth="1"/>
    <col min="1799" max="1799" width="13" style="1617" customWidth="1"/>
    <col min="1800" max="1801" width="8.875" style="1617"/>
    <col min="1802" max="1802" width="5.75" style="1617" customWidth="1"/>
    <col min="1803" max="1803" width="11.75" style="1617" customWidth="1"/>
    <col min="1804" max="1805" width="10.75" style="1617" customWidth="1"/>
    <col min="1806" max="1806" width="10" style="1617" customWidth="1"/>
    <col min="1807" max="1808" width="10.5" style="1617" customWidth="1"/>
    <col min="1809" max="1809" width="10" style="1617" customWidth="1"/>
    <col min="1810" max="1810" width="10.125" style="1617" customWidth="1"/>
    <col min="1811" max="1811" width="10" style="1617" customWidth="1"/>
    <col min="1812" max="1812" width="26.125" style="1617" customWidth="1"/>
    <col min="1813" max="2048" width="8.875" style="1617"/>
    <col min="2049" max="2049" width="9.5" style="1617" customWidth="1"/>
    <col min="2050" max="2050" width="8.875" style="1617"/>
    <col min="2051" max="2053" width="12.875" style="1617" customWidth="1"/>
    <col min="2054" max="2054" width="47.5" style="1617" customWidth="1"/>
    <col min="2055" max="2055" width="13" style="1617" customWidth="1"/>
    <col min="2056" max="2057" width="8.875" style="1617"/>
    <col min="2058" max="2058" width="5.75" style="1617" customWidth="1"/>
    <col min="2059" max="2059" width="11.75" style="1617" customWidth="1"/>
    <col min="2060" max="2061" width="10.75" style="1617" customWidth="1"/>
    <col min="2062" max="2062" width="10" style="1617" customWidth="1"/>
    <col min="2063" max="2064" width="10.5" style="1617" customWidth="1"/>
    <col min="2065" max="2065" width="10" style="1617" customWidth="1"/>
    <col min="2066" max="2066" width="10.125" style="1617" customWidth="1"/>
    <col min="2067" max="2067" width="10" style="1617" customWidth="1"/>
    <col min="2068" max="2068" width="26.125" style="1617" customWidth="1"/>
    <col min="2069" max="2304" width="8.875" style="1617"/>
    <col min="2305" max="2305" width="9.5" style="1617" customWidth="1"/>
    <col min="2306" max="2306" width="8.875" style="1617"/>
    <col min="2307" max="2309" width="12.875" style="1617" customWidth="1"/>
    <col min="2310" max="2310" width="47.5" style="1617" customWidth="1"/>
    <col min="2311" max="2311" width="13" style="1617" customWidth="1"/>
    <col min="2312" max="2313" width="8.875" style="1617"/>
    <col min="2314" max="2314" width="5.75" style="1617" customWidth="1"/>
    <col min="2315" max="2315" width="11.75" style="1617" customWidth="1"/>
    <col min="2316" max="2317" width="10.75" style="1617" customWidth="1"/>
    <col min="2318" max="2318" width="10" style="1617" customWidth="1"/>
    <col min="2319" max="2320" width="10.5" style="1617" customWidth="1"/>
    <col min="2321" max="2321" width="10" style="1617" customWidth="1"/>
    <col min="2322" max="2322" width="10.125" style="1617" customWidth="1"/>
    <col min="2323" max="2323" width="10" style="1617" customWidth="1"/>
    <col min="2324" max="2324" width="26.125" style="1617" customWidth="1"/>
    <col min="2325" max="2560" width="8.875" style="1617"/>
    <col min="2561" max="2561" width="9.5" style="1617" customWidth="1"/>
    <col min="2562" max="2562" width="8.875" style="1617"/>
    <col min="2563" max="2565" width="12.875" style="1617" customWidth="1"/>
    <col min="2566" max="2566" width="47.5" style="1617" customWidth="1"/>
    <col min="2567" max="2567" width="13" style="1617" customWidth="1"/>
    <col min="2568" max="2569" width="8.875" style="1617"/>
    <col min="2570" max="2570" width="5.75" style="1617" customWidth="1"/>
    <col min="2571" max="2571" width="11.75" style="1617" customWidth="1"/>
    <col min="2572" max="2573" width="10.75" style="1617" customWidth="1"/>
    <col min="2574" max="2574" width="10" style="1617" customWidth="1"/>
    <col min="2575" max="2576" width="10.5" style="1617" customWidth="1"/>
    <col min="2577" max="2577" width="10" style="1617" customWidth="1"/>
    <col min="2578" max="2578" width="10.125" style="1617" customWidth="1"/>
    <col min="2579" max="2579" width="10" style="1617" customWidth="1"/>
    <col min="2580" max="2580" width="26.125" style="1617" customWidth="1"/>
    <col min="2581" max="2816" width="8.875" style="1617"/>
    <col min="2817" max="2817" width="9.5" style="1617" customWidth="1"/>
    <col min="2818" max="2818" width="8.875" style="1617"/>
    <col min="2819" max="2821" width="12.875" style="1617" customWidth="1"/>
    <col min="2822" max="2822" width="47.5" style="1617" customWidth="1"/>
    <col min="2823" max="2823" width="13" style="1617" customWidth="1"/>
    <col min="2824" max="2825" width="8.875" style="1617"/>
    <col min="2826" max="2826" width="5.75" style="1617" customWidth="1"/>
    <col min="2827" max="2827" width="11.75" style="1617" customWidth="1"/>
    <col min="2828" max="2829" width="10.75" style="1617" customWidth="1"/>
    <col min="2830" max="2830" width="10" style="1617" customWidth="1"/>
    <col min="2831" max="2832" width="10.5" style="1617" customWidth="1"/>
    <col min="2833" max="2833" width="10" style="1617" customWidth="1"/>
    <col min="2834" max="2834" width="10.125" style="1617" customWidth="1"/>
    <col min="2835" max="2835" width="10" style="1617" customWidth="1"/>
    <col min="2836" max="2836" width="26.125" style="1617" customWidth="1"/>
    <col min="2837" max="3072" width="8.875" style="1617"/>
    <col min="3073" max="3073" width="9.5" style="1617" customWidth="1"/>
    <col min="3074" max="3074" width="8.875" style="1617"/>
    <col min="3075" max="3077" width="12.875" style="1617" customWidth="1"/>
    <col min="3078" max="3078" width="47.5" style="1617" customWidth="1"/>
    <col min="3079" max="3079" width="13" style="1617" customWidth="1"/>
    <col min="3080" max="3081" width="8.875" style="1617"/>
    <col min="3082" max="3082" width="5.75" style="1617" customWidth="1"/>
    <col min="3083" max="3083" width="11.75" style="1617" customWidth="1"/>
    <col min="3084" max="3085" width="10.75" style="1617" customWidth="1"/>
    <col min="3086" max="3086" width="10" style="1617" customWidth="1"/>
    <col min="3087" max="3088" width="10.5" style="1617" customWidth="1"/>
    <col min="3089" max="3089" width="10" style="1617" customWidth="1"/>
    <col min="3090" max="3090" width="10.125" style="1617" customWidth="1"/>
    <col min="3091" max="3091" width="10" style="1617" customWidth="1"/>
    <col min="3092" max="3092" width="26.125" style="1617" customWidth="1"/>
    <col min="3093" max="3328" width="8.875" style="1617"/>
    <col min="3329" max="3329" width="9.5" style="1617" customWidth="1"/>
    <col min="3330" max="3330" width="8.875" style="1617"/>
    <col min="3331" max="3333" width="12.875" style="1617" customWidth="1"/>
    <col min="3334" max="3334" width="47.5" style="1617" customWidth="1"/>
    <col min="3335" max="3335" width="13" style="1617" customWidth="1"/>
    <col min="3336" max="3337" width="8.875" style="1617"/>
    <col min="3338" max="3338" width="5.75" style="1617" customWidth="1"/>
    <col min="3339" max="3339" width="11.75" style="1617" customWidth="1"/>
    <col min="3340" max="3341" width="10.75" style="1617" customWidth="1"/>
    <col min="3342" max="3342" width="10" style="1617" customWidth="1"/>
    <col min="3343" max="3344" width="10.5" style="1617" customWidth="1"/>
    <col min="3345" max="3345" width="10" style="1617" customWidth="1"/>
    <col min="3346" max="3346" width="10.125" style="1617" customWidth="1"/>
    <col min="3347" max="3347" width="10" style="1617" customWidth="1"/>
    <col min="3348" max="3348" width="26.125" style="1617" customWidth="1"/>
    <col min="3349" max="3584" width="8.875" style="1617"/>
    <col min="3585" max="3585" width="9.5" style="1617" customWidth="1"/>
    <col min="3586" max="3586" width="8.875" style="1617"/>
    <col min="3587" max="3589" width="12.875" style="1617" customWidth="1"/>
    <col min="3590" max="3590" width="47.5" style="1617" customWidth="1"/>
    <col min="3591" max="3591" width="13" style="1617" customWidth="1"/>
    <col min="3592" max="3593" width="8.875" style="1617"/>
    <col min="3594" max="3594" width="5.75" style="1617" customWidth="1"/>
    <col min="3595" max="3595" width="11.75" style="1617" customWidth="1"/>
    <col min="3596" max="3597" width="10.75" style="1617" customWidth="1"/>
    <col min="3598" max="3598" width="10" style="1617" customWidth="1"/>
    <col min="3599" max="3600" width="10.5" style="1617" customWidth="1"/>
    <col min="3601" max="3601" width="10" style="1617" customWidth="1"/>
    <col min="3602" max="3602" width="10.125" style="1617" customWidth="1"/>
    <col min="3603" max="3603" width="10" style="1617" customWidth="1"/>
    <col min="3604" max="3604" width="26.125" style="1617" customWidth="1"/>
    <col min="3605" max="3840" width="8.875" style="1617"/>
    <col min="3841" max="3841" width="9.5" style="1617" customWidth="1"/>
    <col min="3842" max="3842" width="8.875" style="1617"/>
    <col min="3843" max="3845" width="12.875" style="1617" customWidth="1"/>
    <col min="3846" max="3846" width="47.5" style="1617" customWidth="1"/>
    <col min="3847" max="3847" width="13" style="1617" customWidth="1"/>
    <col min="3848" max="3849" width="8.875" style="1617"/>
    <col min="3850" max="3850" width="5.75" style="1617" customWidth="1"/>
    <col min="3851" max="3851" width="11.75" style="1617" customWidth="1"/>
    <col min="3852" max="3853" width="10.75" style="1617" customWidth="1"/>
    <col min="3854" max="3854" width="10" style="1617" customWidth="1"/>
    <col min="3855" max="3856" width="10.5" style="1617" customWidth="1"/>
    <col min="3857" max="3857" width="10" style="1617" customWidth="1"/>
    <col min="3858" max="3858" width="10.125" style="1617" customWidth="1"/>
    <col min="3859" max="3859" width="10" style="1617" customWidth="1"/>
    <col min="3860" max="3860" width="26.125" style="1617" customWidth="1"/>
    <col min="3861" max="4096" width="8.875" style="1617"/>
    <col min="4097" max="4097" width="9.5" style="1617" customWidth="1"/>
    <col min="4098" max="4098" width="8.875" style="1617"/>
    <col min="4099" max="4101" width="12.875" style="1617" customWidth="1"/>
    <col min="4102" max="4102" width="47.5" style="1617" customWidth="1"/>
    <col min="4103" max="4103" width="13" style="1617" customWidth="1"/>
    <col min="4104" max="4105" width="8.875" style="1617"/>
    <col min="4106" max="4106" width="5.75" style="1617" customWidth="1"/>
    <col min="4107" max="4107" width="11.75" style="1617" customWidth="1"/>
    <col min="4108" max="4109" width="10.75" style="1617" customWidth="1"/>
    <col min="4110" max="4110" width="10" style="1617" customWidth="1"/>
    <col min="4111" max="4112" width="10.5" style="1617" customWidth="1"/>
    <col min="4113" max="4113" width="10" style="1617" customWidth="1"/>
    <col min="4114" max="4114" width="10.125" style="1617" customWidth="1"/>
    <col min="4115" max="4115" width="10" style="1617" customWidth="1"/>
    <col min="4116" max="4116" width="26.125" style="1617" customWidth="1"/>
    <col min="4117" max="4352" width="8.875" style="1617"/>
    <col min="4353" max="4353" width="9.5" style="1617" customWidth="1"/>
    <col min="4354" max="4354" width="8.875" style="1617"/>
    <col min="4355" max="4357" width="12.875" style="1617" customWidth="1"/>
    <col min="4358" max="4358" width="47.5" style="1617" customWidth="1"/>
    <col min="4359" max="4359" width="13" style="1617" customWidth="1"/>
    <col min="4360" max="4361" width="8.875" style="1617"/>
    <col min="4362" max="4362" width="5.75" style="1617" customWidth="1"/>
    <col min="4363" max="4363" width="11.75" style="1617" customWidth="1"/>
    <col min="4364" max="4365" width="10.75" style="1617" customWidth="1"/>
    <col min="4366" max="4366" width="10" style="1617" customWidth="1"/>
    <col min="4367" max="4368" width="10.5" style="1617" customWidth="1"/>
    <col min="4369" max="4369" width="10" style="1617" customWidth="1"/>
    <col min="4370" max="4370" width="10.125" style="1617" customWidth="1"/>
    <col min="4371" max="4371" width="10" style="1617" customWidth="1"/>
    <col min="4372" max="4372" width="26.125" style="1617" customWidth="1"/>
    <col min="4373" max="4608" width="8.875" style="1617"/>
    <col min="4609" max="4609" width="9.5" style="1617" customWidth="1"/>
    <col min="4610" max="4610" width="8.875" style="1617"/>
    <col min="4611" max="4613" width="12.875" style="1617" customWidth="1"/>
    <col min="4614" max="4614" width="47.5" style="1617" customWidth="1"/>
    <col min="4615" max="4615" width="13" style="1617" customWidth="1"/>
    <col min="4616" max="4617" width="8.875" style="1617"/>
    <col min="4618" max="4618" width="5.75" style="1617" customWidth="1"/>
    <col min="4619" max="4619" width="11.75" style="1617" customWidth="1"/>
    <col min="4620" max="4621" width="10.75" style="1617" customWidth="1"/>
    <col min="4622" max="4622" width="10" style="1617" customWidth="1"/>
    <col min="4623" max="4624" width="10.5" style="1617" customWidth="1"/>
    <col min="4625" max="4625" width="10" style="1617" customWidth="1"/>
    <col min="4626" max="4626" width="10.125" style="1617" customWidth="1"/>
    <col min="4627" max="4627" width="10" style="1617" customWidth="1"/>
    <col min="4628" max="4628" width="26.125" style="1617" customWidth="1"/>
    <col min="4629" max="4864" width="8.875" style="1617"/>
    <col min="4865" max="4865" width="9.5" style="1617" customWidth="1"/>
    <col min="4866" max="4866" width="8.875" style="1617"/>
    <col min="4867" max="4869" width="12.875" style="1617" customWidth="1"/>
    <col min="4870" max="4870" width="47.5" style="1617" customWidth="1"/>
    <col min="4871" max="4871" width="13" style="1617" customWidth="1"/>
    <col min="4872" max="4873" width="8.875" style="1617"/>
    <col min="4874" max="4874" width="5.75" style="1617" customWidth="1"/>
    <col min="4875" max="4875" width="11.75" style="1617" customWidth="1"/>
    <col min="4876" max="4877" width="10.75" style="1617" customWidth="1"/>
    <col min="4878" max="4878" width="10" style="1617" customWidth="1"/>
    <col min="4879" max="4880" width="10.5" style="1617" customWidth="1"/>
    <col min="4881" max="4881" width="10" style="1617" customWidth="1"/>
    <col min="4882" max="4882" width="10.125" style="1617" customWidth="1"/>
    <col min="4883" max="4883" width="10" style="1617" customWidth="1"/>
    <col min="4884" max="4884" width="26.125" style="1617" customWidth="1"/>
    <col min="4885" max="5120" width="8.875" style="1617"/>
    <col min="5121" max="5121" width="9.5" style="1617" customWidth="1"/>
    <col min="5122" max="5122" width="8.875" style="1617"/>
    <col min="5123" max="5125" width="12.875" style="1617" customWidth="1"/>
    <col min="5126" max="5126" width="47.5" style="1617" customWidth="1"/>
    <col min="5127" max="5127" width="13" style="1617" customWidth="1"/>
    <col min="5128" max="5129" width="8.875" style="1617"/>
    <col min="5130" max="5130" width="5.75" style="1617" customWidth="1"/>
    <col min="5131" max="5131" width="11.75" style="1617" customWidth="1"/>
    <col min="5132" max="5133" width="10.75" style="1617" customWidth="1"/>
    <col min="5134" max="5134" width="10" style="1617" customWidth="1"/>
    <col min="5135" max="5136" width="10.5" style="1617" customWidth="1"/>
    <col min="5137" max="5137" width="10" style="1617" customWidth="1"/>
    <col min="5138" max="5138" width="10.125" style="1617" customWidth="1"/>
    <col min="5139" max="5139" width="10" style="1617" customWidth="1"/>
    <col min="5140" max="5140" width="26.125" style="1617" customWidth="1"/>
    <col min="5141" max="5376" width="8.875" style="1617"/>
    <col min="5377" max="5377" width="9.5" style="1617" customWidth="1"/>
    <col min="5378" max="5378" width="8.875" style="1617"/>
    <col min="5379" max="5381" width="12.875" style="1617" customWidth="1"/>
    <col min="5382" max="5382" width="47.5" style="1617" customWidth="1"/>
    <col min="5383" max="5383" width="13" style="1617" customWidth="1"/>
    <col min="5384" max="5385" width="8.875" style="1617"/>
    <col min="5386" max="5386" width="5.75" style="1617" customWidth="1"/>
    <col min="5387" max="5387" width="11.75" style="1617" customWidth="1"/>
    <col min="5388" max="5389" width="10.75" style="1617" customWidth="1"/>
    <col min="5390" max="5390" width="10" style="1617" customWidth="1"/>
    <col min="5391" max="5392" width="10.5" style="1617" customWidth="1"/>
    <col min="5393" max="5393" width="10" style="1617" customWidth="1"/>
    <col min="5394" max="5394" width="10.125" style="1617" customWidth="1"/>
    <col min="5395" max="5395" width="10" style="1617" customWidth="1"/>
    <col min="5396" max="5396" width="26.125" style="1617" customWidth="1"/>
    <col min="5397" max="5632" width="8.875" style="1617"/>
    <col min="5633" max="5633" width="9.5" style="1617" customWidth="1"/>
    <col min="5634" max="5634" width="8.875" style="1617"/>
    <col min="5635" max="5637" width="12.875" style="1617" customWidth="1"/>
    <col min="5638" max="5638" width="47.5" style="1617" customWidth="1"/>
    <col min="5639" max="5639" width="13" style="1617" customWidth="1"/>
    <col min="5640" max="5641" width="8.875" style="1617"/>
    <col min="5642" max="5642" width="5.75" style="1617" customWidth="1"/>
    <col min="5643" max="5643" width="11.75" style="1617" customWidth="1"/>
    <col min="5644" max="5645" width="10.75" style="1617" customWidth="1"/>
    <col min="5646" max="5646" width="10" style="1617" customWidth="1"/>
    <col min="5647" max="5648" width="10.5" style="1617" customWidth="1"/>
    <col min="5649" max="5649" width="10" style="1617" customWidth="1"/>
    <col min="5650" max="5650" width="10.125" style="1617" customWidth="1"/>
    <col min="5651" max="5651" width="10" style="1617" customWidth="1"/>
    <col min="5652" max="5652" width="26.125" style="1617" customWidth="1"/>
    <col min="5653" max="5888" width="8.875" style="1617"/>
    <col min="5889" max="5889" width="9.5" style="1617" customWidth="1"/>
    <col min="5890" max="5890" width="8.875" style="1617"/>
    <col min="5891" max="5893" width="12.875" style="1617" customWidth="1"/>
    <col min="5894" max="5894" width="47.5" style="1617" customWidth="1"/>
    <col min="5895" max="5895" width="13" style="1617" customWidth="1"/>
    <col min="5896" max="5897" width="8.875" style="1617"/>
    <col min="5898" max="5898" width="5.75" style="1617" customWidth="1"/>
    <col min="5899" max="5899" width="11.75" style="1617" customWidth="1"/>
    <col min="5900" max="5901" width="10.75" style="1617" customWidth="1"/>
    <col min="5902" max="5902" width="10" style="1617" customWidth="1"/>
    <col min="5903" max="5904" width="10.5" style="1617" customWidth="1"/>
    <col min="5905" max="5905" width="10" style="1617" customWidth="1"/>
    <col min="5906" max="5906" width="10.125" style="1617" customWidth="1"/>
    <col min="5907" max="5907" width="10" style="1617" customWidth="1"/>
    <col min="5908" max="5908" width="26.125" style="1617" customWidth="1"/>
    <col min="5909" max="6144" width="8.875" style="1617"/>
    <col min="6145" max="6145" width="9.5" style="1617" customWidth="1"/>
    <col min="6146" max="6146" width="8.875" style="1617"/>
    <col min="6147" max="6149" width="12.875" style="1617" customWidth="1"/>
    <col min="6150" max="6150" width="47.5" style="1617" customWidth="1"/>
    <col min="6151" max="6151" width="13" style="1617" customWidth="1"/>
    <col min="6152" max="6153" width="8.875" style="1617"/>
    <col min="6154" max="6154" width="5.75" style="1617" customWidth="1"/>
    <col min="6155" max="6155" width="11.75" style="1617" customWidth="1"/>
    <col min="6156" max="6157" width="10.75" style="1617" customWidth="1"/>
    <col min="6158" max="6158" width="10" style="1617" customWidth="1"/>
    <col min="6159" max="6160" width="10.5" style="1617" customWidth="1"/>
    <col min="6161" max="6161" width="10" style="1617" customWidth="1"/>
    <col min="6162" max="6162" width="10.125" style="1617" customWidth="1"/>
    <col min="6163" max="6163" width="10" style="1617" customWidth="1"/>
    <col min="6164" max="6164" width="26.125" style="1617" customWidth="1"/>
    <col min="6165" max="6400" width="8.875" style="1617"/>
    <col min="6401" max="6401" width="9.5" style="1617" customWidth="1"/>
    <col min="6402" max="6402" width="8.875" style="1617"/>
    <col min="6403" max="6405" width="12.875" style="1617" customWidth="1"/>
    <col min="6406" max="6406" width="47.5" style="1617" customWidth="1"/>
    <col min="6407" max="6407" width="13" style="1617" customWidth="1"/>
    <col min="6408" max="6409" width="8.875" style="1617"/>
    <col min="6410" max="6410" width="5.75" style="1617" customWidth="1"/>
    <col min="6411" max="6411" width="11.75" style="1617" customWidth="1"/>
    <col min="6412" max="6413" width="10.75" style="1617" customWidth="1"/>
    <col min="6414" max="6414" width="10" style="1617" customWidth="1"/>
    <col min="6415" max="6416" width="10.5" style="1617" customWidth="1"/>
    <col min="6417" max="6417" width="10" style="1617" customWidth="1"/>
    <col min="6418" max="6418" width="10.125" style="1617" customWidth="1"/>
    <col min="6419" max="6419" width="10" style="1617" customWidth="1"/>
    <col min="6420" max="6420" width="26.125" style="1617" customWidth="1"/>
    <col min="6421" max="6656" width="8.875" style="1617"/>
    <col min="6657" max="6657" width="9.5" style="1617" customWidth="1"/>
    <col min="6658" max="6658" width="8.875" style="1617"/>
    <col min="6659" max="6661" width="12.875" style="1617" customWidth="1"/>
    <col min="6662" max="6662" width="47.5" style="1617" customWidth="1"/>
    <col min="6663" max="6663" width="13" style="1617" customWidth="1"/>
    <col min="6664" max="6665" width="8.875" style="1617"/>
    <col min="6666" max="6666" width="5.75" style="1617" customWidth="1"/>
    <col min="6667" max="6667" width="11.75" style="1617" customWidth="1"/>
    <col min="6668" max="6669" width="10.75" style="1617" customWidth="1"/>
    <col min="6670" max="6670" width="10" style="1617" customWidth="1"/>
    <col min="6671" max="6672" width="10.5" style="1617" customWidth="1"/>
    <col min="6673" max="6673" width="10" style="1617" customWidth="1"/>
    <col min="6674" max="6674" width="10.125" style="1617" customWidth="1"/>
    <col min="6675" max="6675" width="10" style="1617" customWidth="1"/>
    <col min="6676" max="6676" width="26.125" style="1617" customWidth="1"/>
    <col min="6677" max="6912" width="8.875" style="1617"/>
    <col min="6913" max="6913" width="9.5" style="1617" customWidth="1"/>
    <col min="6914" max="6914" width="8.875" style="1617"/>
    <col min="6915" max="6917" width="12.875" style="1617" customWidth="1"/>
    <col min="6918" max="6918" width="47.5" style="1617" customWidth="1"/>
    <col min="6919" max="6919" width="13" style="1617" customWidth="1"/>
    <col min="6920" max="6921" width="8.875" style="1617"/>
    <col min="6922" max="6922" width="5.75" style="1617" customWidth="1"/>
    <col min="6923" max="6923" width="11.75" style="1617" customWidth="1"/>
    <col min="6924" max="6925" width="10.75" style="1617" customWidth="1"/>
    <col min="6926" max="6926" width="10" style="1617" customWidth="1"/>
    <col min="6927" max="6928" width="10.5" style="1617" customWidth="1"/>
    <col min="6929" max="6929" width="10" style="1617" customWidth="1"/>
    <col min="6930" max="6930" width="10.125" style="1617" customWidth="1"/>
    <col min="6931" max="6931" width="10" style="1617" customWidth="1"/>
    <col min="6932" max="6932" width="26.125" style="1617" customWidth="1"/>
    <col min="6933" max="7168" width="8.875" style="1617"/>
    <col min="7169" max="7169" width="9.5" style="1617" customWidth="1"/>
    <col min="7170" max="7170" width="8.875" style="1617"/>
    <col min="7171" max="7173" width="12.875" style="1617" customWidth="1"/>
    <col min="7174" max="7174" width="47.5" style="1617" customWidth="1"/>
    <col min="7175" max="7175" width="13" style="1617" customWidth="1"/>
    <col min="7176" max="7177" width="8.875" style="1617"/>
    <col min="7178" max="7178" width="5.75" style="1617" customWidth="1"/>
    <col min="7179" max="7179" width="11.75" style="1617" customWidth="1"/>
    <col min="7180" max="7181" width="10.75" style="1617" customWidth="1"/>
    <col min="7182" max="7182" width="10" style="1617" customWidth="1"/>
    <col min="7183" max="7184" width="10.5" style="1617" customWidth="1"/>
    <col min="7185" max="7185" width="10" style="1617" customWidth="1"/>
    <col min="7186" max="7186" width="10.125" style="1617" customWidth="1"/>
    <col min="7187" max="7187" width="10" style="1617" customWidth="1"/>
    <col min="7188" max="7188" width="26.125" style="1617" customWidth="1"/>
    <col min="7189" max="7424" width="8.875" style="1617"/>
    <col min="7425" max="7425" width="9.5" style="1617" customWidth="1"/>
    <col min="7426" max="7426" width="8.875" style="1617"/>
    <col min="7427" max="7429" width="12.875" style="1617" customWidth="1"/>
    <col min="7430" max="7430" width="47.5" style="1617" customWidth="1"/>
    <col min="7431" max="7431" width="13" style="1617" customWidth="1"/>
    <col min="7432" max="7433" width="8.875" style="1617"/>
    <col min="7434" max="7434" width="5.75" style="1617" customWidth="1"/>
    <col min="7435" max="7435" width="11.75" style="1617" customWidth="1"/>
    <col min="7436" max="7437" width="10.75" style="1617" customWidth="1"/>
    <col min="7438" max="7438" width="10" style="1617" customWidth="1"/>
    <col min="7439" max="7440" width="10.5" style="1617" customWidth="1"/>
    <col min="7441" max="7441" width="10" style="1617" customWidth="1"/>
    <col min="7442" max="7442" width="10.125" style="1617" customWidth="1"/>
    <col min="7443" max="7443" width="10" style="1617" customWidth="1"/>
    <col min="7444" max="7444" width="26.125" style="1617" customWidth="1"/>
    <col min="7445" max="7680" width="8.875" style="1617"/>
    <col min="7681" max="7681" width="9.5" style="1617" customWidth="1"/>
    <col min="7682" max="7682" width="8.875" style="1617"/>
    <col min="7683" max="7685" width="12.875" style="1617" customWidth="1"/>
    <col min="7686" max="7686" width="47.5" style="1617" customWidth="1"/>
    <col min="7687" max="7687" width="13" style="1617" customWidth="1"/>
    <col min="7688" max="7689" width="8.875" style="1617"/>
    <col min="7690" max="7690" width="5.75" style="1617" customWidth="1"/>
    <col min="7691" max="7691" width="11.75" style="1617" customWidth="1"/>
    <col min="7692" max="7693" width="10.75" style="1617" customWidth="1"/>
    <col min="7694" max="7694" width="10" style="1617" customWidth="1"/>
    <col min="7695" max="7696" width="10.5" style="1617" customWidth="1"/>
    <col min="7697" max="7697" width="10" style="1617" customWidth="1"/>
    <col min="7698" max="7698" width="10.125" style="1617" customWidth="1"/>
    <col min="7699" max="7699" width="10" style="1617" customWidth="1"/>
    <col min="7700" max="7700" width="26.125" style="1617" customWidth="1"/>
    <col min="7701" max="7936" width="8.875" style="1617"/>
    <col min="7937" max="7937" width="9.5" style="1617" customWidth="1"/>
    <col min="7938" max="7938" width="8.875" style="1617"/>
    <col min="7939" max="7941" width="12.875" style="1617" customWidth="1"/>
    <col min="7942" max="7942" width="47.5" style="1617" customWidth="1"/>
    <col min="7943" max="7943" width="13" style="1617" customWidth="1"/>
    <col min="7944" max="7945" width="8.875" style="1617"/>
    <col min="7946" max="7946" width="5.75" style="1617" customWidth="1"/>
    <col min="7947" max="7947" width="11.75" style="1617" customWidth="1"/>
    <col min="7948" max="7949" width="10.75" style="1617" customWidth="1"/>
    <col min="7950" max="7950" width="10" style="1617" customWidth="1"/>
    <col min="7951" max="7952" width="10.5" style="1617" customWidth="1"/>
    <col min="7953" max="7953" width="10" style="1617" customWidth="1"/>
    <col min="7954" max="7954" width="10.125" style="1617" customWidth="1"/>
    <col min="7955" max="7955" width="10" style="1617" customWidth="1"/>
    <col min="7956" max="7956" width="26.125" style="1617" customWidth="1"/>
    <col min="7957" max="8192" width="8.875" style="1617"/>
    <col min="8193" max="8193" width="9.5" style="1617" customWidth="1"/>
    <col min="8194" max="8194" width="8.875" style="1617"/>
    <col min="8195" max="8197" width="12.875" style="1617" customWidth="1"/>
    <col min="8198" max="8198" width="47.5" style="1617" customWidth="1"/>
    <col min="8199" max="8199" width="13" style="1617" customWidth="1"/>
    <col min="8200" max="8201" width="8.875" style="1617"/>
    <col min="8202" max="8202" width="5.75" style="1617" customWidth="1"/>
    <col min="8203" max="8203" width="11.75" style="1617" customWidth="1"/>
    <col min="8204" max="8205" width="10.75" style="1617" customWidth="1"/>
    <col min="8206" max="8206" width="10" style="1617" customWidth="1"/>
    <col min="8207" max="8208" width="10.5" style="1617" customWidth="1"/>
    <col min="8209" max="8209" width="10" style="1617" customWidth="1"/>
    <col min="8210" max="8210" width="10.125" style="1617" customWidth="1"/>
    <col min="8211" max="8211" width="10" style="1617" customWidth="1"/>
    <col min="8212" max="8212" width="26.125" style="1617" customWidth="1"/>
    <col min="8213" max="8448" width="8.875" style="1617"/>
    <col min="8449" max="8449" width="9.5" style="1617" customWidth="1"/>
    <col min="8450" max="8450" width="8.875" style="1617"/>
    <col min="8451" max="8453" width="12.875" style="1617" customWidth="1"/>
    <col min="8454" max="8454" width="47.5" style="1617" customWidth="1"/>
    <col min="8455" max="8455" width="13" style="1617" customWidth="1"/>
    <col min="8456" max="8457" width="8.875" style="1617"/>
    <col min="8458" max="8458" width="5.75" style="1617" customWidth="1"/>
    <col min="8459" max="8459" width="11.75" style="1617" customWidth="1"/>
    <col min="8460" max="8461" width="10.75" style="1617" customWidth="1"/>
    <col min="8462" max="8462" width="10" style="1617" customWidth="1"/>
    <col min="8463" max="8464" width="10.5" style="1617" customWidth="1"/>
    <col min="8465" max="8465" width="10" style="1617" customWidth="1"/>
    <col min="8466" max="8466" width="10.125" style="1617" customWidth="1"/>
    <col min="8467" max="8467" width="10" style="1617" customWidth="1"/>
    <col min="8468" max="8468" width="26.125" style="1617" customWidth="1"/>
    <col min="8469" max="8704" width="8.875" style="1617"/>
    <col min="8705" max="8705" width="9.5" style="1617" customWidth="1"/>
    <col min="8706" max="8706" width="8.875" style="1617"/>
    <col min="8707" max="8709" width="12.875" style="1617" customWidth="1"/>
    <col min="8710" max="8710" width="47.5" style="1617" customWidth="1"/>
    <col min="8711" max="8711" width="13" style="1617" customWidth="1"/>
    <col min="8712" max="8713" width="8.875" style="1617"/>
    <col min="8714" max="8714" width="5.75" style="1617" customWidth="1"/>
    <col min="8715" max="8715" width="11.75" style="1617" customWidth="1"/>
    <col min="8716" max="8717" width="10.75" style="1617" customWidth="1"/>
    <col min="8718" max="8718" width="10" style="1617" customWidth="1"/>
    <col min="8719" max="8720" width="10.5" style="1617" customWidth="1"/>
    <col min="8721" max="8721" width="10" style="1617" customWidth="1"/>
    <col min="8722" max="8722" width="10.125" style="1617" customWidth="1"/>
    <col min="8723" max="8723" width="10" style="1617" customWidth="1"/>
    <col min="8724" max="8724" width="26.125" style="1617" customWidth="1"/>
    <col min="8725" max="8960" width="8.875" style="1617"/>
    <col min="8961" max="8961" width="9.5" style="1617" customWidth="1"/>
    <col min="8962" max="8962" width="8.875" style="1617"/>
    <col min="8963" max="8965" width="12.875" style="1617" customWidth="1"/>
    <col min="8966" max="8966" width="47.5" style="1617" customWidth="1"/>
    <col min="8967" max="8967" width="13" style="1617" customWidth="1"/>
    <col min="8968" max="8969" width="8.875" style="1617"/>
    <col min="8970" max="8970" width="5.75" style="1617" customWidth="1"/>
    <col min="8971" max="8971" width="11.75" style="1617" customWidth="1"/>
    <col min="8972" max="8973" width="10.75" style="1617" customWidth="1"/>
    <col min="8974" max="8974" width="10" style="1617" customWidth="1"/>
    <col min="8975" max="8976" width="10.5" style="1617" customWidth="1"/>
    <col min="8977" max="8977" width="10" style="1617" customWidth="1"/>
    <col min="8978" max="8978" width="10.125" style="1617" customWidth="1"/>
    <col min="8979" max="8979" width="10" style="1617" customWidth="1"/>
    <col min="8980" max="8980" width="26.125" style="1617" customWidth="1"/>
    <col min="8981" max="9216" width="8.875" style="1617"/>
    <col min="9217" max="9217" width="9.5" style="1617" customWidth="1"/>
    <col min="9218" max="9218" width="8.875" style="1617"/>
    <col min="9219" max="9221" width="12.875" style="1617" customWidth="1"/>
    <col min="9222" max="9222" width="47.5" style="1617" customWidth="1"/>
    <col min="9223" max="9223" width="13" style="1617" customWidth="1"/>
    <col min="9224" max="9225" width="8.875" style="1617"/>
    <col min="9226" max="9226" width="5.75" style="1617" customWidth="1"/>
    <col min="9227" max="9227" width="11.75" style="1617" customWidth="1"/>
    <col min="9228" max="9229" width="10.75" style="1617" customWidth="1"/>
    <col min="9230" max="9230" width="10" style="1617" customWidth="1"/>
    <col min="9231" max="9232" width="10.5" style="1617" customWidth="1"/>
    <col min="9233" max="9233" width="10" style="1617" customWidth="1"/>
    <col min="9234" max="9234" width="10.125" style="1617" customWidth="1"/>
    <col min="9235" max="9235" width="10" style="1617" customWidth="1"/>
    <col min="9236" max="9236" width="26.125" style="1617" customWidth="1"/>
    <col min="9237" max="9472" width="8.875" style="1617"/>
    <col min="9473" max="9473" width="9.5" style="1617" customWidth="1"/>
    <col min="9474" max="9474" width="8.875" style="1617"/>
    <col min="9475" max="9477" width="12.875" style="1617" customWidth="1"/>
    <col min="9478" max="9478" width="47.5" style="1617" customWidth="1"/>
    <col min="9479" max="9479" width="13" style="1617" customWidth="1"/>
    <col min="9480" max="9481" width="8.875" style="1617"/>
    <col min="9482" max="9482" width="5.75" style="1617" customWidth="1"/>
    <col min="9483" max="9483" width="11.75" style="1617" customWidth="1"/>
    <col min="9484" max="9485" width="10.75" style="1617" customWidth="1"/>
    <col min="9486" max="9486" width="10" style="1617" customWidth="1"/>
    <col min="9487" max="9488" width="10.5" style="1617" customWidth="1"/>
    <col min="9489" max="9489" width="10" style="1617" customWidth="1"/>
    <col min="9490" max="9490" width="10.125" style="1617" customWidth="1"/>
    <col min="9491" max="9491" width="10" style="1617" customWidth="1"/>
    <col min="9492" max="9492" width="26.125" style="1617" customWidth="1"/>
    <col min="9493" max="9728" width="8.875" style="1617"/>
    <col min="9729" max="9729" width="9.5" style="1617" customWidth="1"/>
    <col min="9730" max="9730" width="8.875" style="1617"/>
    <col min="9731" max="9733" width="12.875" style="1617" customWidth="1"/>
    <col min="9734" max="9734" width="47.5" style="1617" customWidth="1"/>
    <col min="9735" max="9735" width="13" style="1617" customWidth="1"/>
    <col min="9736" max="9737" width="8.875" style="1617"/>
    <col min="9738" max="9738" width="5.75" style="1617" customWidth="1"/>
    <col min="9739" max="9739" width="11.75" style="1617" customWidth="1"/>
    <col min="9740" max="9741" width="10.75" style="1617" customWidth="1"/>
    <col min="9742" max="9742" width="10" style="1617" customWidth="1"/>
    <col min="9743" max="9744" width="10.5" style="1617" customWidth="1"/>
    <col min="9745" max="9745" width="10" style="1617" customWidth="1"/>
    <col min="9746" max="9746" width="10.125" style="1617" customWidth="1"/>
    <col min="9747" max="9747" width="10" style="1617" customWidth="1"/>
    <col min="9748" max="9748" width="26.125" style="1617" customWidth="1"/>
    <col min="9749" max="9984" width="8.875" style="1617"/>
    <col min="9985" max="9985" width="9.5" style="1617" customWidth="1"/>
    <col min="9986" max="9986" width="8.875" style="1617"/>
    <col min="9987" max="9989" width="12.875" style="1617" customWidth="1"/>
    <col min="9990" max="9990" width="47.5" style="1617" customWidth="1"/>
    <col min="9991" max="9991" width="13" style="1617" customWidth="1"/>
    <col min="9992" max="9993" width="8.875" style="1617"/>
    <col min="9994" max="9994" width="5.75" style="1617" customWidth="1"/>
    <col min="9995" max="9995" width="11.75" style="1617" customWidth="1"/>
    <col min="9996" max="9997" width="10.75" style="1617" customWidth="1"/>
    <col min="9998" max="9998" width="10" style="1617" customWidth="1"/>
    <col min="9999" max="10000" width="10.5" style="1617" customWidth="1"/>
    <col min="10001" max="10001" width="10" style="1617" customWidth="1"/>
    <col min="10002" max="10002" width="10.125" style="1617" customWidth="1"/>
    <col min="10003" max="10003" width="10" style="1617" customWidth="1"/>
    <col min="10004" max="10004" width="26.125" style="1617" customWidth="1"/>
    <col min="10005" max="10240" width="8.875" style="1617"/>
    <col min="10241" max="10241" width="9.5" style="1617" customWidth="1"/>
    <col min="10242" max="10242" width="8.875" style="1617"/>
    <col min="10243" max="10245" width="12.875" style="1617" customWidth="1"/>
    <col min="10246" max="10246" width="47.5" style="1617" customWidth="1"/>
    <col min="10247" max="10247" width="13" style="1617" customWidth="1"/>
    <col min="10248" max="10249" width="8.875" style="1617"/>
    <col min="10250" max="10250" width="5.75" style="1617" customWidth="1"/>
    <col min="10251" max="10251" width="11.75" style="1617" customWidth="1"/>
    <col min="10252" max="10253" width="10.75" style="1617" customWidth="1"/>
    <col min="10254" max="10254" width="10" style="1617" customWidth="1"/>
    <col min="10255" max="10256" width="10.5" style="1617" customWidth="1"/>
    <col min="10257" max="10257" width="10" style="1617" customWidth="1"/>
    <col min="10258" max="10258" width="10.125" style="1617" customWidth="1"/>
    <col min="10259" max="10259" width="10" style="1617" customWidth="1"/>
    <col min="10260" max="10260" width="26.125" style="1617" customWidth="1"/>
    <col min="10261" max="10496" width="8.875" style="1617"/>
    <col min="10497" max="10497" width="9.5" style="1617" customWidth="1"/>
    <col min="10498" max="10498" width="8.875" style="1617"/>
    <col min="10499" max="10501" width="12.875" style="1617" customWidth="1"/>
    <col min="10502" max="10502" width="47.5" style="1617" customWidth="1"/>
    <col min="10503" max="10503" width="13" style="1617" customWidth="1"/>
    <col min="10504" max="10505" width="8.875" style="1617"/>
    <col min="10506" max="10506" width="5.75" style="1617" customWidth="1"/>
    <col min="10507" max="10507" width="11.75" style="1617" customWidth="1"/>
    <col min="10508" max="10509" width="10.75" style="1617" customWidth="1"/>
    <col min="10510" max="10510" width="10" style="1617" customWidth="1"/>
    <col min="10511" max="10512" width="10.5" style="1617" customWidth="1"/>
    <col min="10513" max="10513" width="10" style="1617" customWidth="1"/>
    <col min="10514" max="10514" width="10.125" style="1617" customWidth="1"/>
    <col min="10515" max="10515" width="10" style="1617" customWidth="1"/>
    <col min="10516" max="10516" width="26.125" style="1617" customWidth="1"/>
    <col min="10517" max="10752" width="8.875" style="1617"/>
    <col min="10753" max="10753" width="9.5" style="1617" customWidth="1"/>
    <col min="10754" max="10754" width="8.875" style="1617"/>
    <col min="10755" max="10757" width="12.875" style="1617" customWidth="1"/>
    <col min="10758" max="10758" width="47.5" style="1617" customWidth="1"/>
    <col min="10759" max="10759" width="13" style="1617" customWidth="1"/>
    <col min="10760" max="10761" width="8.875" style="1617"/>
    <col min="10762" max="10762" width="5.75" style="1617" customWidth="1"/>
    <col min="10763" max="10763" width="11.75" style="1617" customWidth="1"/>
    <col min="10764" max="10765" width="10.75" style="1617" customWidth="1"/>
    <col min="10766" max="10766" width="10" style="1617" customWidth="1"/>
    <col min="10767" max="10768" width="10.5" style="1617" customWidth="1"/>
    <col min="10769" max="10769" width="10" style="1617" customWidth="1"/>
    <col min="10770" max="10770" width="10.125" style="1617" customWidth="1"/>
    <col min="10771" max="10771" width="10" style="1617" customWidth="1"/>
    <col min="10772" max="10772" width="26.125" style="1617" customWidth="1"/>
    <col min="10773" max="11008" width="8.875" style="1617"/>
    <col min="11009" max="11009" width="9.5" style="1617" customWidth="1"/>
    <col min="11010" max="11010" width="8.875" style="1617"/>
    <col min="11011" max="11013" width="12.875" style="1617" customWidth="1"/>
    <col min="11014" max="11014" width="47.5" style="1617" customWidth="1"/>
    <col min="11015" max="11015" width="13" style="1617" customWidth="1"/>
    <col min="11016" max="11017" width="8.875" style="1617"/>
    <col min="11018" max="11018" width="5.75" style="1617" customWidth="1"/>
    <col min="11019" max="11019" width="11.75" style="1617" customWidth="1"/>
    <col min="11020" max="11021" width="10.75" style="1617" customWidth="1"/>
    <col min="11022" max="11022" width="10" style="1617" customWidth="1"/>
    <col min="11023" max="11024" width="10.5" style="1617" customWidth="1"/>
    <col min="11025" max="11025" width="10" style="1617" customWidth="1"/>
    <col min="11026" max="11026" width="10.125" style="1617" customWidth="1"/>
    <col min="11027" max="11027" width="10" style="1617" customWidth="1"/>
    <col min="11028" max="11028" width="26.125" style="1617" customWidth="1"/>
    <col min="11029" max="11264" width="8.875" style="1617"/>
    <col min="11265" max="11265" width="9.5" style="1617" customWidth="1"/>
    <col min="11266" max="11266" width="8.875" style="1617"/>
    <col min="11267" max="11269" width="12.875" style="1617" customWidth="1"/>
    <col min="11270" max="11270" width="47.5" style="1617" customWidth="1"/>
    <col min="11271" max="11271" width="13" style="1617" customWidth="1"/>
    <col min="11272" max="11273" width="8.875" style="1617"/>
    <col min="11274" max="11274" width="5.75" style="1617" customWidth="1"/>
    <col min="11275" max="11275" width="11.75" style="1617" customWidth="1"/>
    <col min="11276" max="11277" width="10.75" style="1617" customWidth="1"/>
    <col min="11278" max="11278" width="10" style="1617" customWidth="1"/>
    <col min="11279" max="11280" width="10.5" style="1617" customWidth="1"/>
    <col min="11281" max="11281" width="10" style="1617" customWidth="1"/>
    <col min="11282" max="11282" width="10.125" style="1617" customWidth="1"/>
    <col min="11283" max="11283" width="10" style="1617" customWidth="1"/>
    <col min="11284" max="11284" width="26.125" style="1617" customWidth="1"/>
    <col min="11285" max="11520" width="8.875" style="1617"/>
    <col min="11521" max="11521" width="9.5" style="1617" customWidth="1"/>
    <col min="11522" max="11522" width="8.875" style="1617"/>
    <col min="11523" max="11525" width="12.875" style="1617" customWidth="1"/>
    <col min="11526" max="11526" width="47.5" style="1617" customWidth="1"/>
    <col min="11527" max="11527" width="13" style="1617" customWidth="1"/>
    <col min="11528" max="11529" width="8.875" style="1617"/>
    <col min="11530" max="11530" width="5.75" style="1617" customWidth="1"/>
    <col min="11531" max="11531" width="11.75" style="1617" customWidth="1"/>
    <col min="11532" max="11533" width="10.75" style="1617" customWidth="1"/>
    <col min="11534" max="11534" width="10" style="1617" customWidth="1"/>
    <col min="11535" max="11536" width="10.5" style="1617" customWidth="1"/>
    <col min="11537" max="11537" width="10" style="1617" customWidth="1"/>
    <col min="11538" max="11538" width="10.125" style="1617" customWidth="1"/>
    <col min="11539" max="11539" width="10" style="1617" customWidth="1"/>
    <col min="11540" max="11540" width="26.125" style="1617" customWidth="1"/>
    <col min="11541" max="11776" width="8.875" style="1617"/>
    <col min="11777" max="11777" width="9.5" style="1617" customWidth="1"/>
    <col min="11778" max="11778" width="8.875" style="1617"/>
    <col min="11779" max="11781" width="12.875" style="1617" customWidth="1"/>
    <col min="11782" max="11782" width="47.5" style="1617" customWidth="1"/>
    <col min="11783" max="11783" width="13" style="1617" customWidth="1"/>
    <col min="11784" max="11785" width="8.875" style="1617"/>
    <col min="11786" max="11786" width="5.75" style="1617" customWidth="1"/>
    <col min="11787" max="11787" width="11.75" style="1617" customWidth="1"/>
    <col min="11788" max="11789" width="10.75" style="1617" customWidth="1"/>
    <col min="11790" max="11790" width="10" style="1617" customWidth="1"/>
    <col min="11791" max="11792" width="10.5" style="1617" customWidth="1"/>
    <col min="11793" max="11793" width="10" style="1617" customWidth="1"/>
    <col min="11794" max="11794" width="10.125" style="1617" customWidth="1"/>
    <col min="11795" max="11795" width="10" style="1617" customWidth="1"/>
    <col min="11796" max="11796" width="26.125" style="1617" customWidth="1"/>
    <col min="11797" max="12032" width="8.875" style="1617"/>
    <col min="12033" max="12033" width="9.5" style="1617" customWidth="1"/>
    <col min="12034" max="12034" width="8.875" style="1617"/>
    <col min="12035" max="12037" width="12.875" style="1617" customWidth="1"/>
    <col min="12038" max="12038" width="47.5" style="1617" customWidth="1"/>
    <col min="12039" max="12039" width="13" style="1617" customWidth="1"/>
    <col min="12040" max="12041" width="8.875" style="1617"/>
    <col min="12042" max="12042" width="5.75" style="1617" customWidth="1"/>
    <col min="12043" max="12043" width="11.75" style="1617" customWidth="1"/>
    <col min="12044" max="12045" width="10.75" style="1617" customWidth="1"/>
    <col min="12046" max="12046" width="10" style="1617" customWidth="1"/>
    <col min="12047" max="12048" width="10.5" style="1617" customWidth="1"/>
    <col min="12049" max="12049" width="10" style="1617" customWidth="1"/>
    <col min="12050" max="12050" width="10.125" style="1617" customWidth="1"/>
    <col min="12051" max="12051" width="10" style="1617" customWidth="1"/>
    <col min="12052" max="12052" width="26.125" style="1617" customWidth="1"/>
    <col min="12053" max="12288" width="8.875" style="1617"/>
    <col min="12289" max="12289" width="9.5" style="1617" customWidth="1"/>
    <col min="12290" max="12290" width="8.875" style="1617"/>
    <col min="12291" max="12293" width="12.875" style="1617" customWidth="1"/>
    <col min="12294" max="12294" width="47.5" style="1617" customWidth="1"/>
    <col min="12295" max="12295" width="13" style="1617" customWidth="1"/>
    <col min="12296" max="12297" width="8.875" style="1617"/>
    <col min="12298" max="12298" width="5.75" style="1617" customWidth="1"/>
    <col min="12299" max="12299" width="11.75" style="1617" customWidth="1"/>
    <col min="12300" max="12301" width="10.75" style="1617" customWidth="1"/>
    <col min="12302" max="12302" width="10" style="1617" customWidth="1"/>
    <col min="12303" max="12304" width="10.5" style="1617" customWidth="1"/>
    <col min="12305" max="12305" width="10" style="1617" customWidth="1"/>
    <col min="12306" max="12306" width="10.125" style="1617" customWidth="1"/>
    <col min="12307" max="12307" width="10" style="1617" customWidth="1"/>
    <col min="12308" max="12308" width="26.125" style="1617" customWidth="1"/>
    <col min="12309" max="12544" width="8.875" style="1617"/>
    <col min="12545" max="12545" width="9.5" style="1617" customWidth="1"/>
    <col min="12546" max="12546" width="8.875" style="1617"/>
    <col min="12547" max="12549" width="12.875" style="1617" customWidth="1"/>
    <col min="12550" max="12550" width="47.5" style="1617" customWidth="1"/>
    <col min="12551" max="12551" width="13" style="1617" customWidth="1"/>
    <col min="12552" max="12553" width="8.875" style="1617"/>
    <col min="12554" max="12554" width="5.75" style="1617" customWidth="1"/>
    <col min="12555" max="12555" width="11.75" style="1617" customWidth="1"/>
    <col min="12556" max="12557" width="10.75" style="1617" customWidth="1"/>
    <col min="12558" max="12558" width="10" style="1617" customWidth="1"/>
    <col min="12559" max="12560" width="10.5" style="1617" customWidth="1"/>
    <col min="12561" max="12561" width="10" style="1617" customWidth="1"/>
    <col min="12562" max="12562" width="10.125" style="1617" customWidth="1"/>
    <col min="12563" max="12563" width="10" style="1617" customWidth="1"/>
    <col min="12564" max="12564" width="26.125" style="1617" customWidth="1"/>
    <col min="12565" max="12800" width="8.875" style="1617"/>
    <col min="12801" max="12801" width="9.5" style="1617" customWidth="1"/>
    <col min="12802" max="12802" width="8.875" style="1617"/>
    <col min="12803" max="12805" width="12.875" style="1617" customWidth="1"/>
    <col min="12806" max="12806" width="47.5" style="1617" customWidth="1"/>
    <col min="12807" max="12807" width="13" style="1617" customWidth="1"/>
    <col min="12808" max="12809" width="8.875" style="1617"/>
    <col min="12810" max="12810" width="5.75" style="1617" customWidth="1"/>
    <col min="12811" max="12811" width="11.75" style="1617" customWidth="1"/>
    <col min="12812" max="12813" width="10.75" style="1617" customWidth="1"/>
    <col min="12814" max="12814" width="10" style="1617" customWidth="1"/>
    <col min="12815" max="12816" width="10.5" style="1617" customWidth="1"/>
    <col min="12817" max="12817" width="10" style="1617" customWidth="1"/>
    <col min="12818" max="12818" width="10.125" style="1617" customWidth="1"/>
    <col min="12819" max="12819" width="10" style="1617" customWidth="1"/>
    <col min="12820" max="12820" width="26.125" style="1617" customWidth="1"/>
    <col min="12821" max="13056" width="8.875" style="1617"/>
    <col min="13057" max="13057" width="9.5" style="1617" customWidth="1"/>
    <col min="13058" max="13058" width="8.875" style="1617"/>
    <col min="13059" max="13061" width="12.875" style="1617" customWidth="1"/>
    <col min="13062" max="13062" width="47.5" style="1617" customWidth="1"/>
    <col min="13063" max="13063" width="13" style="1617" customWidth="1"/>
    <col min="13064" max="13065" width="8.875" style="1617"/>
    <col min="13066" max="13066" width="5.75" style="1617" customWidth="1"/>
    <col min="13067" max="13067" width="11.75" style="1617" customWidth="1"/>
    <col min="13068" max="13069" width="10.75" style="1617" customWidth="1"/>
    <col min="13070" max="13070" width="10" style="1617" customWidth="1"/>
    <col min="13071" max="13072" width="10.5" style="1617" customWidth="1"/>
    <col min="13073" max="13073" width="10" style="1617" customWidth="1"/>
    <col min="13074" max="13074" width="10.125" style="1617" customWidth="1"/>
    <col min="13075" max="13075" width="10" style="1617" customWidth="1"/>
    <col min="13076" max="13076" width="26.125" style="1617" customWidth="1"/>
    <col min="13077" max="13312" width="8.875" style="1617"/>
    <col min="13313" max="13313" width="9.5" style="1617" customWidth="1"/>
    <col min="13314" max="13314" width="8.875" style="1617"/>
    <col min="13315" max="13317" width="12.875" style="1617" customWidth="1"/>
    <col min="13318" max="13318" width="47.5" style="1617" customWidth="1"/>
    <col min="13319" max="13319" width="13" style="1617" customWidth="1"/>
    <col min="13320" max="13321" width="8.875" style="1617"/>
    <col min="13322" max="13322" width="5.75" style="1617" customWidth="1"/>
    <col min="13323" max="13323" width="11.75" style="1617" customWidth="1"/>
    <col min="13324" max="13325" width="10.75" style="1617" customWidth="1"/>
    <col min="13326" max="13326" width="10" style="1617" customWidth="1"/>
    <col min="13327" max="13328" width="10.5" style="1617" customWidth="1"/>
    <col min="13329" max="13329" width="10" style="1617" customWidth="1"/>
    <col min="13330" max="13330" width="10.125" style="1617" customWidth="1"/>
    <col min="13331" max="13331" width="10" style="1617" customWidth="1"/>
    <col min="13332" max="13332" width="26.125" style="1617" customWidth="1"/>
    <col min="13333" max="13568" width="8.875" style="1617"/>
    <col min="13569" max="13569" width="9.5" style="1617" customWidth="1"/>
    <col min="13570" max="13570" width="8.875" style="1617"/>
    <col min="13571" max="13573" width="12.875" style="1617" customWidth="1"/>
    <col min="13574" max="13574" width="47.5" style="1617" customWidth="1"/>
    <col min="13575" max="13575" width="13" style="1617" customWidth="1"/>
    <col min="13576" max="13577" width="8.875" style="1617"/>
    <col min="13578" max="13578" width="5.75" style="1617" customWidth="1"/>
    <col min="13579" max="13579" width="11.75" style="1617" customWidth="1"/>
    <col min="13580" max="13581" width="10.75" style="1617" customWidth="1"/>
    <col min="13582" max="13582" width="10" style="1617" customWidth="1"/>
    <col min="13583" max="13584" width="10.5" style="1617" customWidth="1"/>
    <col min="13585" max="13585" width="10" style="1617" customWidth="1"/>
    <col min="13586" max="13586" width="10.125" style="1617" customWidth="1"/>
    <col min="13587" max="13587" width="10" style="1617" customWidth="1"/>
    <col min="13588" max="13588" width="26.125" style="1617" customWidth="1"/>
    <col min="13589" max="13824" width="8.875" style="1617"/>
    <col min="13825" max="13825" width="9.5" style="1617" customWidth="1"/>
    <col min="13826" max="13826" width="8.875" style="1617"/>
    <col min="13827" max="13829" width="12.875" style="1617" customWidth="1"/>
    <col min="13830" max="13830" width="47.5" style="1617" customWidth="1"/>
    <col min="13831" max="13831" width="13" style="1617" customWidth="1"/>
    <col min="13832" max="13833" width="8.875" style="1617"/>
    <col min="13834" max="13834" width="5.75" style="1617" customWidth="1"/>
    <col min="13835" max="13835" width="11.75" style="1617" customWidth="1"/>
    <col min="13836" max="13837" width="10.75" style="1617" customWidth="1"/>
    <col min="13838" max="13838" width="10" style="1617" customWidth="1"/>
    <col min="13839" max="13840" width="10.5" style="1617" customWidth="1"/>
    <col min="13841" max="13841" width="10" style="1617" customWidth="1"/>
    <col min="13842" max="13842" width="10.125" style="1617" customWidth="1"/>
    <col min="13843" max="13843" width="10" style="1617" customWidth="1"/>
    <col min="13844" max="13844" width="26.125" style="1617" customWidth="1"/>
    <col min="13845" max="14080" width="8.875" style="1617"/>
    <col min="14081" max="14081" width="9.5" style="1617" customWidth="1"/>
    <col min="14082" max="14082" width="8.875" style="1617"/>
    <col min="14083" max="14085" width="12.875" style="1617" customWidth="1"/>
    <col min="14086" max="14086" width="47.5" style="1617" customWidth="1"/>
    <col min="14087" max="14087" width="13" style="1617" customWidth="1"/>
    <col min="14088" max="14089" width="8.875" style="1617"/>
    <col min="14090" max="14090" width="5.75" style="1617" customWidth="1"/>
    <col min="14091" max="14091" width="11.75" style="1617" customWidth="1"/>
    <col min="14092" max="14093" width="10.75" style="1617" customWidth="1"/>
    <col min="14094" max="14094" width="10" style="1617" customWidth="1"/>
    <col min="14095" max="14096" width="10.5" style="1617" customWidth="1"/>
    <col min="14097" max="14097" width="10" style="1617" customWidth="1"/>
    <col min="14098" max="14098" width="10.125" style="1617" customWidth="1"/>
    <col min="14099" max="14099" width="10" style="1617" customWidth="1"/>
    <col min="14100" max="14100" width="26.125" style="1617" customWidth="1"/>
    <col min="14101" max="14336" width="8.875" style="1617"/>
    <col min="14337" max="14337" width="9.5" style="1617" customWidth="1"/>
    <col min="14338" max="14338" width="8.875" style="1617"/>
    <col min="14339" max="14341" width="12.875" style="1617" customWidth="1"/>
    <col min="14342" max="14342" width="47.5" style="1617" customWidth="1"/>
    <col min="14343" max="14343" width="13" style="1617" customWidth="1"/>
    <col min="14344" max="14345" width="8.875" style="1617"/>
    <col min="14346" max="14346" width="5.75" style="1617" customWidth="1"/>
    <col min="14347" max="14347" width="11.75" style="1617" customWidth="1"/>
    <col min="14348" max="14349" width="10.75" style="1617" customWidth="1"/>
    <col min="14350" max="14350" width="10" style="1617" customWidth="1"/>
    <col min="14351" max="14352" width="10.5" style="1617" customWidth="1"/>
    <col min="14353" max="14353" width="10" style="1617" customWidth="1"/>
    <col min="14354" max="14354" width="10.125" style="1617" customWidth="1"/>
    <col min="14355" max="14355" width="10" style="1617" customWidth="1"/>
    <col min="14356" max="14356" width="26.125" style="1617" customWidth="1"/>
    <col min="14357" max="14592" width="8.875" style="1617"/>
    <col min="14593" max="14593" width="9.5" style="1617" customWidth="1"/>
    <col min="14594" max="14594" width="8.875" style="1617"/>
    <col min="14595" max="14597" width="12.875" style="1617" customWidth="1"/>
    <col min="14598" max="14598" width="47.5" style="1617" customWidth="1"/>
    <col min="14599" max="14599" width="13" style="1617" customWidth="1"/>
    <col min="14600" max="14601" width="8.875" style="1617"/>
    <col min="14602" max="14602" width="5.75" style="1617" customWidth="1"/>
    <col min="14603" max="14603" width="11.75" style="1617" customWidth="1"/>
    <col min="14604" max="14605" width="10.75" style="1617" customWidth="1"/>
    <col min="14606" max="14606" width="10" style="1617" customWidth="1"/>
    <col min="14607" max="14608" width="10.5" style="1617" customWidth="1"/>
    <col min="14609" max="14609" width="10" style="1617" customWidth="1"/>
    <col min="14610" max="14610" width="10.125" style="1617" customWidth="1"/>
    <col min="14611" max="14611" width="10" style="1617" customWidth="1"/>
    <col min="14612" max="14612" width="26.125" style="1617" customWidth="1"/>
    <col min="14613" max="14848" width="8.875" style="1617"/>
    <col min="14849" max="14849" width="9.5" style="1617" customWidth="1"/>
    <col min="14850" max="14850" width="8.875" style="1617"/>
    <col min="14851" max="14853" width="12.875" style="1617" customWidth="1"/>
    <col min="14854" max="14854" width="47.5" style="1617" customWidth="1"/>
    <col min="14855" max="14855" width="13" style="1617" customWidth="1"/>
    <col min="14856" max="14857" width="8.875" style="1617"/>
    <col min="14858" max="14858" width="5.75" style="1617" customWidth="1"/>
    <col min="14859" max="14859" width="11.75" style="1617" customWidth="1"/>
    <col min="14860" max="14861" width="10.75" style="1617" customWidth="1"/>
    <col min="14862" max="14862" width="10" style="1617" customWidth="1"/>
    <col min="14863" max="14864" width="10.5" style="1617" customWidth="1"/>
    <col min="14865" max="14865" width="10" style="1617" customWidth="1"/>
    <col min="14866" max="14866" width="10.125" style="1617" customWidth="1"/>
    <col min="14867" max="14867" width="10" style="1617" customWidth="1"/>
    <col min="14868" max="14868" width="26.125" style="1617" customWidth="1"/>
    <col min="14869" max="15104" width="8.875" style="1617"/>
    <col min="15105" max="15105" width="9.5" style="1617" customWidth="1"/>
    <col min="15106" max="15106" width="8.875" style="1617"/>
    <col min="15107" max="15109" width="12.875" style="1617" customWidth="1"/>
    <col min="15110" max="15110" width="47.5" style="1617" customWidth="1"/>
    <col min="15111" max="15111" width="13" style="1617" customWidth="1"/>
    <col min="15112" max="15113" width="8.875" style="1617"/>
    <col min="15114" max="15114" width="5.75" style="1617" customWidth="1"/>
    <col min="15115" max="15115" width="11.75" style="1617" customWidth="1"/>
    <col min="15116" max="15117" width="10.75" style="1617" customWidth="1"/>
    <col min="15118" max="15118" width="10" style="1617" customWidth="1"/>
    <col min="15119" max="15120" width="10.5" style="1617" customWidth="1"/>
    <col min="15121" max="15121" width="10" style="1617" customWidth="1"/>
    <col min="15122" max="15122" width="10.125" style="1617" customWidth="1"/>
    <col min="15123" max="15123" width="10" style="1617" customWidth="1"/>
    <col min="15124" max="15124" width="26.125" style="1617" customWidth="1"/>
    <col min="15125" max="15360" width="8.875" style="1617"/>
    <col min="15361" max="15361" width="9.5" style="1617" customWidth="1"/>
    <col min="15362" max="15362" width="8.875" style="1617"/>
    <col min="15363" max="15365" width="12.875" style="1617" customWidth="1"/>
    <col min="15366" max="15366" width="47.5" style="1617" customWidth="1"/>
    <col min="15367" max="15367" width="13" style="1617" customWidth="1"/>
    <col min="15368" max="15369" width="8.875" style="1617"/>
    <col min="15370" max="15370" width="5.75" style="1617" customWidth="1"/>
    <col min="15371" max="15371" width="11.75" style="1617" customWidth="1"/>
    <col min="15372" max="15373" width="10.75" style="1617" customWidth="1"/>
    <col min="15374" max="15374" width="10" style="1617" customWidth="1"/>
    <col min="15375" max="15376" width="10.5" style="1617" customWidth="1"/>
    <col min="15377" max="15377" width="10" style="1617" customWidth="1"/>
    <col min="15378" max="15378" width="10.125" style="1617" customWidth="1"/>
    <col min="15379" max="15379" width="10" style="1617" customWidth="1"/>
    <col min="15380" max="15380" width="26.125" style="1617" customWidth="1"/>
    <col min="15381" max="15616" width="8.875" style="1617"/>
    <col min="15617" max="15617" width="9.5" style="1617" customWidth="1"/>
    <col min="15618" max="15618" width="8.875" style="1617"/>
    <col min="15619" max="15621" width="12.875" style="1617" customWidth="1"/>
    <col min="15622" max="15622" width="47.5" style="1617" customWidth="1"/>
    <col min="15623" max="15623" width="13" style="1617" customWidth="1"/>
    <col min="15624" max="15625" width="8.875" style="1617"/>
    <col min="15626" max="15626" width="5.75" style="1617" customWidth="1"/>
    <col min="15627" max="15627" width="11.75" style="1617" customWidth="1"/>
    <col min="15628" max="15629" width="10.75" style="1617" customWidth="1"/>
    <col min="15630" max="15630" width="10" style="1617" customWidth="1"/>
    <col min="15631" max="15632" width="10.5" style="1617" customWidth="1"/>
    <col min="15633" max="15633" width="10" style="1617" customWidth="1"/>
    <col min="15634" max="15634" width="10.125" style="1617" customWidth="1"/>
    <col min="15635" max="15635" width="10" style="1617" customWidth="1"/>
    <col min="15636" max="15636" width="26.125" style="1617" customWidth="1"/>
    <col min="15637" max="15872" width="8.875" style="1617"/>
    <col min="15873" max="15873" width="9.5" style="1617" customWidth="1"/>
    <col min="15874" max="15874" width="8.875" style="1617"/>
    <col min="15875" max="15877" width="12.875" style="1617" customWidth="1"/>
    <col min="15878" max="15878" width="47.5" style="1617" customWidth="1"/>
    <col min="15879" max="15879" width="13" style="1617" customWidth="1"/>
    <col min="15880" max="15881" width="8.875" style="1617"/>
    <col min="15882" max="15882" width="5.75" style="1617" customWidth="1"/>
    <col min="15883" max="15883" width="11.75" style="1617" customWidth="1"/>
    <col min="15884" max="15885" width="10.75" style="1617" customWidth="1"/>
    <col min="15886" max="15886" width="10" style="1617" customWidth="1"/>
    <col min="15887" max="15888" width="10.5" style="1617" customWidth="1"/>
    <col min="15889" max="15889" width="10" style="1617" customWidth="1"/>
    <col min="15890" max="15890" width="10.125" style="1617" customWidth="1"/>
    <col min="15891" max="15891" width="10" style="1617" customWidth="1"/>
    <col min="15892" max="15892" width="26.125" style="1617" customWidth="1"/>
    <col min="15893" max="16128" width="8.875" style="1617"/>
    <col min="16129" max="16129" width="9.5" style="1617" customWidth="1"/>
    <col min="16130" max="16130" width="8.875" style="1617"/>
    <col min="16131" max="16133" width="12.875" style="1617" customWidth="1"/>
    <col min="16134" max="16134" width="47.5" style="1617" customWidth="1"/>
    <col min="16135" max="16135" width="13" style="1617" customWidth="1"/>
    <col min="16136" max="16137" width="8.875" style="1617"/>
    <col min="16138" max="16138" width="5.75" style="1617" customWidth="1"/>
    <col min="16139" max="16139" width="11.75" style="1617" customWidth="1"/>
    <col min="16140" max="16141" width="10.75" style="1617" customWidth="1"/>
    <col min="16142" max="16142" width="10" style="1617" customWidth="1"/>
    <col min="16143" max="16144" width="10.5" style="1617" customWidth="1"/>
    <col min="16145" max="16145" width="10" style="1617" customWidth="1"/>
    <col min="16146" max="16146" width="10.125" style="1617" customWidth="1"/>
    <col min="16147" max="16147" width="10" style="1617" customWidth="1"/>
    <col min="16148" max="16148" width="26.125" style="1617" customWidth="1"/>
    <col min="16149" max="16384" width="8.875" style="1617"/>
  </cols>
  <sheetData>
    <row r="1" spans="1:22" ht="21" customHeight="1">
      <c r="A1" s="1622" t="s">
        <v>1289</v>
      </c>
      <c r="B1" s="1623"/>
      <c r="C1" s="1624"/>
      <c r="D1" s="1624"/>
      <c r="E1" s="1683"/>
      <c r="F1" s="1684"/>
      <c r="G1" s="1685"/>
      <c r="J1" s="1727" t="s">
        <v>1290</v>
      </c>
      <c r="K1" s="1728"/>
      <c r="L1" s="1728"/>
      <c r="M1" s="1728"/>
      <c r="N1" s="1728"/>
      <c r="O1" s="1728"/>
      <c r="P1" s="1728"/>
      <c r="Q1" s="1728"/>
      <c r="R1" s="1767"/>
      <c r="S1" s="1768"/>
      <c r="T1" s="1768"/>
      <c r="U1" s="1768"/>
    </row>
    <row r="2" spans="1:22" s="1615" customFormat="1" ht="13.15" customHeight="1">
      <c r="A2" s="1625" t="s">
        <v>1087</v>
      </c>
      <c r="B2" s="1626">
        <f ca="1">C40</f>
        <v>81945</v>
      </c>
      <c r="C2" s="1624" t="s">
        <v>1088</v>
      </c>
      <c r="D2" s="1624"/>
      <c r="E2" s="1686"/>
      <c r="F2" s="1687"/>
      <c r="G2" s="1688"/>
      <c r="H2" s="1689"/>
      <c r="I2" s="1729"/>
      <c r="J2" s="3420" t="s">
        <v>1291</v>
      </c>
      <c r="K2" s="3421"/>
      <c r="L2" s="1730" t="s">
        <v>1292</v>
      </c>
      <c r="M2" s="1730" t="s">
        <v>1293</v>
      </c>
      <c r="N2" s="1730" t="s">
        <v>1294</v>
      </c>
      <c r="O2" s="1730" t="s">
        <v>1295</v>
      </c>
      <c r="P2" s="1730" t="s">
        <v>1296</v>
      </c>
      <c r="Q2" s="1769" t="s">
        <v>1297</v>
      </c>
      <c r="R2" s="1770" t="s">
        <v>1298</v>
      </c>
      <c r="S2" s="1768"/>
      <c r="T2" s="1768"/>
      <c r="U2" s="1768"/>
      <c r="V2" s="1729"/>
    </row>
    <row r="3" spans="1:22" s="1615" customFormat="1" ht="13.15" customHeight="1">
      <c r="A3" s="1627" t="s">
        <v>1089</v>
      </c>
      <c r="B3" s="1628">
        <f ca="1">ROUND(B2*10000/B4,0)</f>
        <v>28247</v>
      </c>
      <c r="C3" s="1624" t="s">
        <v>1090</v>
      </c>
      <c r="D3" s="1624"/>
      <c r="E3" s="1686"/>
      <c r="F3" s="1687"/>
      <c r="G3" s="1688"/>
      <c r="H3" s="1689"/>
      <c r="I3" s="1729"/>
      <c r="J3" s="3422" t="s">
        <v>1299</v>
      </c>
      <c r="K3" s="3423"/>
      <c r="L3" s="1731"/>
      <c r="M3" s="1731"/>
      <c r="N3" s="1731"/>
      <c r="O3" s="1731"/>
      <c r="P3" s="1731"/>
      <c r="Q3" s="1771"/>
      <c r="R3" s="1772">
        <f>SUM(L3:Q3)</f>
        <v>0</v>
      </c>
      <c r="S3" s="1768"/>
      <c r="T3" s="1768"/>
      <c r="U3" s="1768"/>
      <c r="V3" s="1729"/>
    </row>
    <row r="4" spans="1:22" s="1615" customFormat="1" ht="13.15" customHeight="1">
      <c r="A4" s="1629" t="s">
        <v>477</v>
      </c>
      <c r="B4" s="1630">
        <f>'数据-汇总表'!E19</f>
        <v>29009.8</v>
      </c>
      <c r="C4" s="1624"/>
      <c r="D4" s="1624"/>
      <c r="E4" s="1686"/>
      <c r="F4" s="1687"/>
      <c r="G4" s="1688"/>
      <c r="H4" s="1689"/>
      <c r="I4" s="1729"/>
      <c r="J4" s="3422" t="s">
        <v>1300</v>
      </c>
      <c r="K4" s="3423"/>
      <c r="L4" s="1732"/>
      <c r="M4" s="1732"/>
      <c r="N4" s="1732"/>
      <c r="O4" s="1732"/>
      <c r="P4" s="1732"/>
      <c r="Q4" s="1773"/>
      <c r="R4" s="1774">
        <f>SUM(L4:Q4)</f>
        <v>0</v>
      </c>
      <c r="S4" s="1768"/>
      <c r="T4" s="1768"/>
      <c r="U4" s="1768"/>
      <c r="V4" s="1729"/>
    </row>
    <row r="5" spans="1:22" s="1615" customFormat="1" ht="13.15" customHeight="1">
      <c r="A5" s="1631" t="s">
        <v>1301</v>
      </c>
      <c r="B5" s="1632">
        <f>'数据-基础表'!A3</f>
        <v>8299.16</v>
      </c>
      <c r="C5" s="1624"/>
      <c r="D5" s="1633"/>
      <c r="E5" s="1687"/>
      <c r="F5" s="1687"/>
      <c r="G5" s="1688"/>
      <c r="H5" s="1689"/>
      <c r="I5" s="1729"/>
      <c r="J5" s="1733" t="s">
        <v>1302</v>
      </c>
      <c r="K5" s="1734"/>
      <c r="L5" s="1734"/>
      <c r="M5" s="1751"/>
      <c r="N5" s="1751"/>
      <c r="O5" s="1751"/>
      <c r="P5" s="1751"/>
      <c r="Q5" s="1751"/>
      <c r="R5" s="1770">
        <f>SUM(R14,R19,R24,R25,R27,R28)</f>
        <v>6256</v>
      </c>
      <c r="S5" s="1768"/>
      <c r="T5" s="1768" t="s">
        <v>1303</v>
      </c>
      <c r="U5" s="1768" t="e">
        <f>ROUND(R5*10000/365/R3,1)</f>
        <v>#DIV/0!</v>
      </c>
      <c r="V5" s="1729"/>
    </row>
    <row r="6" spans="1:22" s="1615" customFormat="1" ht="13.15" customHeight="1">
      <c r="A6" s="3424" t="s">
        <v>1304</v>
      </c>
      <c r="B6" s="3425"/>
      <c r="C6" s="3426"/>
      <c r="D6" s="1634">
        <f>ROUND(Sheet1!N3/10000,0)</f>
        <v>13037</v>
      </c>
      <c r="E6" s="1654"/>
      <c r="F6" s="1690"/>
      <c r="G6" s="1691"/>
      <c r="H6" s="1689"/>
      <c r="I6" s="1729"/>
      <c r="J6" s="3433">
        <v>1</v>
      </c>
      <c r="K6" s="3436" t="s">
        <v>1305</v>
      </c>
      <c r="L6" s="1736" t="s">
        <v>1306</v>
      </c>
      <c r="M6" s="1752" t="s">
        <v>1307</v>
      </c>
      <c r="N6" s="1752" t="s">
        <v>1308</v>
      </c>
      <c r="O6" s="1752" t="s">
        <v>1309</v>
      </c>
      <c r="P6" s="1752" t="s">
        <v>1310</v>
      </c>
      <c r="Q6" s="1752" t="s">
        <v>1311</v>
      </c>
      <c r="R6" s="1772" t="s">
        <v>1312</v>
      </c>
      <c r="S6" s="1768"/>
      <c r="T6" s="1768" t="s">
        <v>1313</v>
      </c>
      <c r="U6" s="1768"/>
      <c r="V6" s="1729"/>
    </row>
    <row r="7" spans="1:22" s="1615" customFormat="1" ht="13.15" customHeight="1">
      <c r="A7" s="1635" t="s">
        <v>1314</v>
      </c>
      <c r="B7" s="1636"/>
      <c r="C7" s="1637"/>
      <c r="D7" s="1638">
        <f ca="1">SUM(D9,D10,D11,D17,0)</f>
        <v>7492</v>
      </c>
      <c r="E7" s="1692">
        <f ca="1">E9+E10+E11+E17</f>
        <v>0.57463373475492829</v>
      </c>
      <c r="F7" s="1693"/>
      <c r="G7" s="1694"/>
      <c r="H7" s="1689"/>
      <c r="I7" s="1729"/>
      <c r="J7" s="3433"/>
      <c r="K7" s="3437"/>
      <c r="L7" s="1737" t="str">
        <f>Sheet1!E12</f>
        <v>标准间</v>
      </c>
      <c r="M7" s="1753">
        <v>257</v>
      </c>
      <c r="N7" s="1630">
        <v>532</v>
      </c>
      <c r="O7" s="1754">
        <v>1</v>
      </c>
      <c r="P7" s="1754">
        <v>0.57999999999999996</v>
      </c>
      <c r="Q7" s="1703">
        <v>365</v>
      </c>
      <c r="R7" s="1775">
        <f>ROUND(M7*N7*O7*P7*Q7/10000,0)</f>
        <v>2894</v>
      </c>
      <c r="S7" s="1768"/>
      <c r="T7" s="1768" t="s">
        <v>1315</v>
      </c>
      <c r="U7" s="1768"/>
      <c r="V7" s="1729"/>
    </row>
    <row r="8" spans="1:22" s="1615" customFormat="1" ht="13.15" customHeight="1">
      <c r="A8" s="1639" t="s">
        <v>1316</v>
      </c>
      <c r="B8" s="3427" t="s">
        <v>1317</v>
      </c>
      <c r="C8" s="3428"/>
      <c r="D8" s="1642" t="s">
        <v>1318</v>
      </c>
      <c r="E8" s="1695" t="s">
        <v>1319</v>
      </c>
      <c r="F8" s="1696" t="s">
        <v>1320</v>
      </c>
      <c r="G8" s="1697"/>
      <c r="H8" s="1689"/>
      <c r="I8" s="1729"/>
      <c r="J8" s="3433"/>
      <c r="K8" s="3437"/>
      <c r="L8" s="1737" t="str">
        <f>Sheet1!E13</f>
        <v>商务房</v>
      </c>
      <c r="M8" s="1753"/>
      <c r="N8" s="1630">
        <f>Sheet1!G29</f>
        <v>698</v>
      </c>
      <c r="O8" s="1754">
        <v>1</v>
      </c>
      <c r="P8" s="1754"/>
      <c r="Q8" s="1703">
        <v>365</v>
      </c>
      <c r="R8" s="1775">
        <f>ROUND(M8*N8*O8*P8*Q8/10000,0)</f>
        <v>0</v>
      </c>
      <c r="S8" s="1768"/>
      <c r="T8" s="1768" t="s">
        <v>1321</v>
      </c>
      <c r="U8" s="1768"/>
      <c r="V8" s="1729"/>
    </row>
    <row r="9" spans="1:22" s="1615" customFormat="1" ht="13.15" customHeight="1">
      <c r="A9" s="1639">
        <v>1</v>
      </c>
      <c r="B9" s="3427" t="s">
        <v>1322</v>
      </c>
      <c r="C9" s="3428"/>
      <c r="D9" s="1642">
        <f>ROUND(D6*E9,0)</f>
        <v>1956</v>
      </c>
      <c r="E9" s="1698">
        <v>0.15</v>
      </c>
      <c r="F9" s="1699" t="s">
        <v>1323</v>
      </c>
      <c r="G9" s="1691"/>
      <c r="H9" s="1689"/>
      <c r="I9" s="1729"/>
      <c r="J9" s="3433"/>
      <c r="K9" s="3437"/>
      <c r="L9" s="1737" t="str">
        <f>Sheet1!E14</f>
        <v>豪华房</v>
      </c>
      <c r="M9" s="1753"/>
      <c r="N9" s="1630">
        <f>Sheet1!G30</f>
        <v>798</v>
      </c>
      <c r="O9" s="1754">
        <v>1</v>
      </c>
      <c r="P9" s="1754"/>
      <c r="Q9" s="1703">
        <v>365</v>
      </c>
      <c r="R9" s="1775">
        <f t="shared" ref="R9:R13" si="0">ROUND(M9*N9*O9*P9*Q9/10000,0)</f>
        <v>0</v>
      </c>
      <c r="S9" s="1768"/>
      <c r="T9" s="1768"/>
      <c r="U9" s="1768"/>
      <c r="V9" s="1729"/>
    </row>
    <row r="10" spans="1:22" s="1615" customFormat="1" ht="13.15" customHeight="1">
      <c r="A10" s="1639">
        <v>2</v>
      </c>
      <c r="B10" s="3427" t="s">
        <v>1324</v>
      </c>
      <c r="C10" s="3428"/>
      <c r="D10" s="1642">
        <f>ROUND(D6*E10,0)</f>
        <v>3911</v>
      </c>
      <c r="E10" s="1698">
        <v>0.3</v>
      </c>
      <c r="F10" s="1699" t="s">
        <v>1325</v>
      </c>
      <c r="G10" s="1691"/>
      <c r="H10" s="1689"/>
      <c r="I10" s="1729"/>
      <c r="J10" s="3433"/>
      <c r="K10" s="3437"/>
      <c r="L10" s="1737" t="str">
        <f>Sheet1!E15</f>
        <v>商务套间</v>
      </c>
      <c r="M10" s="1753"/>
      <c r="N10" s="1630">
        <f>Sheet1!G31</f>
        <v>898</v>
      </c>
      <c r="O10" s="1754">
        <v>1</v>
      </c>
      <c r="P10" s="1754"/>
      <c r="Q10" s="1703">
        <v>365</v>
      </c>
      <c r="R10" s="1775">
        <f t="shared" si="0"/>
        <v>0</v>
      </c>
      <c r="S10" s="1768"/>
      <c r="T10" s="1768"/>
      <c r="U10" s="1768"/>
      <c r="V10" s="1729"/>
    </row>
    <row r="11" spans="1:22" s="1615" customFormat="1" ht="13.15" customHeight="1">
      <c r="A11" s="1639">
        <v>3</v>
      </c>
      <c r="B11" s="3427" t="s">
        <v>1326</v>
      </c>
      <c r="C11" s="3428"/>
      <c r="D11" s="1642">
        <f ca="1">D12+D14+D15+D16</f>
        <v>973</v>
      </c>
      <c r="E11" s="1700">
        <f ca="1">D11/D6</f>
        <v>7.463373475492828E-2</v>
      </c>
      <c r="F11" s="1696"/>
      <c r="G11" s="1697"/>
      <c r="H11" s="1689"/>
      <c r="I11" s="1729"/>
      <c r="J11" s="3433"/>
      <c r="K11" s="3437"/>
      <c r="L11" s="1737"/>
      <c r="M11" s="1753"/>
      <c r="N11" s="1630"/>
      <c r="O11" s="1754"/>
      <c r="P11" s="1754"/>
      <c r="Q11" s="1703">
        <v>365</v>
      </c>
      <c r="R11" s="1775">
        <f t="shared" si="0"/>
        <v>0</v>
      </c>
      <c r="S11" s="1768"/>
      <c r="T11" s="1768"/>
      <c r="U11" s="1768"/>
      <c r="V11" s="1729"/>
    </row>
    <row r="12" spans="1:22" s="1615" customFormat="1" ht="13.15" customHeight="1">
      <c r="A12" s="1643" t="s">
        <v>1327</v>
      </c>
      <c r="B12" s="3429" t="s">
        <v>1328</v>
      </c>
      <c r="C12" s="3430"/>
      <c r="D12" s="1646">
        <f ca="1">ROUND(D13*1.2%*(1-30%),0)</f>
        <v>241</v>
      </c>
      <c r="E12" s="1701">
        <v>1.2E-2</v>
      </c>
      <c r="F12" s="1696" t="s">
        <v>1329</v>
      </c>
      <c r="G12" s="1697"/>
      <c r="H12" s="1689"/>
      <c r="I12" s="1729"/>
      <c r="J12" s="3433"/>
      <c r="K12" s="3437"/>
      <c r="L12" s="1737"/>
      <c r="M12" s="1753"/>
      <c r="N12" s="1630"/>
      <c r="O12" s="1754"/>
      <c r="P12" s="1754"/>
      <c r="Q12" s="1703">
        <v>365</v>
      </c>
      <c r="R12" s="1775">
        <f t="shared" si="0"/>
        <v>0</v>
      </c>
      <c r="S12" s="1768"/>
      <c r="T12" s="1768"/>
      <c r="U12" s="1768"/>
      <c r="V12" s="1729"/>
    </row>
    <row r="13" spans="1:22" s="1615" customFormat="1" ht="13.15" customHeight="1">
      <c r="A13" s="1643"/>
      <c r="B13" s="1644"/>
      <c r="C13" s="1647" t="s">
        <v>1330</v>
      </c>
      <c r="D13" s="1648">
        <f ca="1">成本法!C49</f>
        <v>28710</v>
      </c>
      <c r="E13" s="1702"/>
      <c r="F13" s="1696"/>
      <c r="G13" s="1697"/>
      <c r="H13" s="1689"/>
      <c r="I13" s="1729"/>
      <c r="J13" s="3433"/>
      <c r="K13" s="3437"/>
      <c r="L13" s="1737"/>
      <c r="M13" s="1753"/>
      <c r="N13" s="1630"/>
      <c r="O13" s="1754"/>
      <c r="P13" s="1754"/>
      <c r="Q13" s="1703">
        <v>365</v>
      </c>
      <c r="R13" s="1775">
        <f t="shared" si="0"/>
        <v>0</v>
      </c>
      <c r="S13" s="1768"/>
      <c r="T13" s="1768"/>
      <c r="U13" s="1768"/>
      <c r="V13" s="1729"/>
    </row>
    <row r="14" spans="1:22" s="1615" customFormat="1" ht="13.15" customHeight="1">
      <c r="A14" s="1643" t="s">
        <v>1331</v>
      </c>
      <c r="B14" s="3429" t="s">
        <v>1332</v>
      </c>
      <c r="C14" s="3430"/>
      <c r="D14" s="1646">
        <f>ROUND(E14*B5/10000,0)</f>
        <v>2</v>
      </c>
      <c r="E14" s="1703">
        <v>3</v>
      </c>
      <c r="F14" s="1696" t="s">
        <v>1333</v>
      </c>
      <c r="G14" s="1697"/>
      <c r="H14" s="1689"/>
      <c r="I14" s="1729"/>
      <c r="J14" s="3433"/>
      <c r="K14" s="3438"/>
      <c r="L14" s="1738" t="s">
        <v>1334</v>
      </c>
      <c r="M14" s="1755">
        <f>SUM(M7:M13)</f>
        <v>257</v>
      </c>
      <c r="N14" s="1755">
        <f>ROUND((N7*M7+N8*M8+N9*M9+N10*M10+N11*M11+N12*M12+N13*M13)/M14,0)</f>
        <v>532</v>
      </c>
      <c r="O14" s="1756"/>
      <c r="P14" s="1756"/>
      <c r="Q14" s="1776"/>
      <c r="R14" s="1770">
        <f>SUM(R7:R13)</f>
        <v>2894</v>
      </c>
      <c r="S14" s="1768"/>
      <c r="T14" s="1768"/>
      <c r="U14" s="1768"/>
      <c r="V14" s="1729"/>
    </row>
    <row r="15" spans="1:22" s="1615" customFormat="1" ht="13.15" customHeight="1">
      <c r="A15" s="1643" t="s">
        <v>1335</v>
      </c>
      <c r="B15" s="3429" t="s">
        <v>1336</v>
      </c>
      <c r="C15" s="3430"/>
      <c r="D15" s="1646">
        <f>ROUND(D6*E15,0)</f>
        <v>730</v>
      </c>
      <c r="E15" s="1701">
        <v>5.6000000000000001E-2</v>
      </c>
      <c r="F15" s="1696" t="s">
        <v>1337</v>
      </c>
      <c r="G15" s="1691"/>
      <c r="H15" s="1689"/>
      <c r="I15" s="1729"/>
      <c r="J15" s="3433">
        <v>2</v>
      </c>
      <c r="K15" s="3436" t="s">
        <v>1338</v>
      </c>
      <c r="L15" s="1737" t="s">
        <v>1339</v>
      </c>
      <c r="M15" s="1753" t="s">
        <v>1340</v>
      </c>
      <c r="N15" s="1753" t="s">
        <v>1341</v>
      </c>
      <c r="O15" s="1754" t="s">
        <v>1342</v>
      </c>
      <c r="P15" s="1754" t="s">
        <v>1311</v>
      </c>
      <c r="Q15" s="1630" t="s">
        <v>124</v>
      </c>
      <c r="R15" s="1777" t="s">
        <v>1312</v>
      </c>
      <c r="S15" s="1768"/>
      <c r="T15" s="1768"/>
      <c r="U15" s="1768"/>
      <c r="V15" s="1729"/>
    </row>
    <row r="16" spans="1:22" s="1615" customFormat="1" ht="13.15" customHeight="1">
      <c r="A16" s="1643" t="s">
        <v>1343</v>
      </c>
      <c r="B16" s="3429" t="s">
        <v>1344</v>
      </c>
      <c r="C16" s="3430"/>
      <c r="D16" s="1649">
        <f>D6*E16</f>
        <v>0</v>
      </c>
      <c r="E16" s="1704"/>
      <c r="F16" s="1699" t="s">
        <v>1345</v>
      </c>
      <c r="G16" s="1691"/>
      <c r="H16" s="1689"/>
      <c r="I16" s="1729"/>
      <c r="J16" s="3433"/>
      <c r="K16" s="3437"/>
      <c r="L16" s="1737" t="s">
        <v>1346</v>
      </c>
      <c r="M16" s="1753">
        <v>128</v>
      </c>
      <c r="N16" s="1753">
        <v>200</v>
      </c>
      <c r="O16" s="1754">
        <v>0.7</v>
      </c>
      <c r="P16" s="1703">
        <v>365</v>
      </c>
      <c r="Q16" s="1630"/>
      <c r="R16" s="1778">
        <f>ROUND(M16*N16*O16*P16/10000,0)</f>
        <v>654</v>
      </c>
      <c r="S16" s="1768"/>
      <c r="T16" s="1768"/>
      <c r="U16" s="1768"/>
      <c r="V16" s="1729"/>
    </row>
    <row r="17" spans="1:22" s="1615" customFormat="1" ht="13.15" customHeight="1">
      <c r="A17" s="1650">
        <v>4</v>
      </c>
      <c r="B17" s="3431" t="s">
        <v>1347</v>
      </c>
      <c r="C17" s="3432"/>
      <c r="D17" s="1651">
        <f>ROUND(D6*E17,0)</f>
        <v>652</v>
      </c>
      <c r="E17" s="1705">
        <v>0.05</v>
      </c>
      <c r="F17" s="1706" t="s">
        <v>1348</v>
      </c>
      <c r="G17" s="1691"/>
      <c r="H17" s="1689"/>
      <c r="I17" s="1729"/>
      <c r="J17" s="3433"/>
      <c r="K17" s="3437"/>
      <c r="L17" s="1737" t="s">
        <v>1349</v>
      </c>
      <c r="M17" s="1753">
        <v>132</v>
      </c>
      <c r="N17" s="1753">
        <v>300</v>
      </c>
      <c r="O17" s="1754">
        <v>0.7</v>
      </c>
      <c r="P17" s="1703">
        <v>365</v>
      </c>
      <c r="Q17" s="1630"/>
      <c r="R17" s="1777">
        <f>ROUND(M17*N17*O17*P17/10000,0)</f>
        <v>1012</v>
      </c>
      <c r="S17" s="1768"/>
      <c r="T17" s="1768"/>
      <c r="U17" s="1768"/>
      <c r="V17" s="1729"/>
    </row>
    <row r="18" spans="1:22" s="1615" customFormat="1" ht="13.15" customHeight="1">
      <c r="A18" s="1635" t="s">
        <v>1350</v>
      </c>
      <c r="B18" s="1636"/>
      <c r="C18" s="1636"/>
      <c r="D18" s="1652">
        <f>ROUND(D6*E18,0)</f>
        <v>1304</v>
      </c>
      <c r="E18" s="1707">
        <v>0.1</v>
      </c>
      <c r="F18" s="1708" t="s">
        <v>1351</v>
      </c>
      <c r="G18" s="1691"/>
      <c r="H18" s="1689"/>
      <c r="I18" s="1729"/>
      <c r="J18" s="3433"/>
      <c r="K18" s="3437"/>
      <c r="L18" s="1737" t="s">
        <v>1352</v>
      </c>
      <c r="M18" s="1753">
        <v>200</v>
      </c>
      <c r="N18" s="1753">
        <v>100</v>
      </c>
      <c r="O18" s="1754">
        <v>0.8</v>
      </c>
      <c r="P18" s="1703">
        <v>365</v>
      </c>
      <c r="Q18" s="1630"/>
      <c r="R18" s="1777">
        <f>ROUND(M18*N18*O18*P18/10000,0)</f>
        <v>584</v>
      </c>
      <c r="S18" s="1768"/>
      <c r="T18" s="1768"/>
      <c r="U18" s="1768"/>
      <c r="V18" s="1729"/>
    </row>
    <row r="19" spans="1:22" s="1615" customFormat="1" ht="13.15" customHeight="1">
      <c r="A19" s="1653" t="s">
        <v>1353</v>
      </c>
      <c r="B19" s="1654"/>
      <c r="C19" s="1654"/>
      <c r="D19" s="1654"/>
      <c r="E19" s="1654"/>
      <c r="F19" s="1690"/>
      <c r="G19" s="1697"/>
      <c r="H19" s="1689"/>
      <c r="I19" s="1729"/>
      <c r="J19" s="3433"/>
      <c r="K19" s="3438"/>
      <c r="L19" s="1738" t="s">
        <v>1334</v>
      </c>
      <c r="M19" s="1755"/>
      <c r="N19" s="1755">
        <f>SUM(N16:N18)</f>
        <v>600</v>
      </c>
      <c r="O19" s="1756"/>
      <c r="P19" s="1757" t="s">
        <v>1354</v>
      </c>
      <c r="Q19" s="1754">
        <v>0</v>
      </c>
      <c r="R19" s="1779">
        <f>ROUND(IF(P19="按比例",R14*Q19,SUM(R16:R18)),0)</f>
        <v>2250</v>
      </c>
      <c r="S19" s="1768"/>
      <c r="T19" s="1768"/>
      <c r="U19" s="1768"/>
      <c r="V19" s="1729"/>
    </row>
    <row r="20" spans="1:22" s="1615" customFormat="1" ht="13.15" customHeight="1">
      <c r="A20" s="1635"/>
      <c r="B20" s="1636"/>
      <c r="C20" s="1636"/>
      <c r="D20" s="1636"/>
      <c r="E20" s="1636"/>
      <c r="F20" s="1709"/>
      <c r="G20" s="1697"/>
      <c r="H20" s="1689"/>
      <c r="I20" s="1729"/>
      <c r="J20" s="3433">
        <v>3</v>
      </c>
      <c r="K20" s="3436" t="s">
        <v>1355</v>
      </c>
      <c r="L20" s="1737" t="s">
        <v>1356</v>
      </c>
      <c r="M20" s="1753" t="s">
        <v>1357</v>
      </c>
      <c r="N20" s="1758" t="s">
        <v>1358</v>
      </c>
      <c r="O20" s="1754" t="s">
        <v>1359</v>
      </c>
      <c r="P20" s="1703" t="s">
        <v>1311</v>
      </c>
      <c r="Q20" s="1630" t="s">
        <v>124</v>
      </c>
      <c r="R20" s="1777" t="s">
        <v>1312</v>
      </c>
      <c r="S20" s="1749"/>
      <c r="T20" s="1749"/>
      <c r="U20" s="1749"/>
      <c r="V20" s="1729"/>
    </row>
    <row r="21" spans="1:22" s="1615" customFormat="1" ht="13.15" customHeight="1">
      <c r="A21" s="1635"/>
      <c r="B21" s="1636"/>
      <c r="C21" s="1640" t="s">
        <v>1360</v>
      </c>
      <c r="D21" s="1655" t="s">
        <v>1361</v>
      </c>
      <c r="E21" s="1641" t="s">
        <v>1362</v>
      </c>
      <c r="F21" s="1709"/>
      <c r="G21" s="1697"/>
      <c r="H21" s="1689"/>
      <c r="I21" s="1729"/>
      <c r="J21" s="3433"/>
      <c r="K21" s="3437"/>
      <c r="L21" s="1737" t="s">
        <v>1363</v>
      </c>
      <c r="M21" s="1753">
        <v>3</v>
      </c>
      <c r="N21" s="1753">
        <v>33000</v>
      </c>
      <c r="O21" s="1754">
        <v>0.2</v>
      </c>
      <c r="P21" s="1703">
        <v>365</v>
      </c>
      <c r="Q21" s="1630"/>
      <c r="R21" s="1780">
        <f>ROUND(M21*N21*O21*P21/10000,0)</f>
        <v>723</v>
      </c>
      <c r="S21" s="1749"/>
      <c r="T21" s="1749"/>
      <c r="U21" s="1749"/>
      <c r="V21" s="1729"/>
    </row>
    <row r="22" spans="1:22" s="1615" customFormat="1" ht="13.15" customHeight="1">
      <c r="A22" s="1635"/>
      <c r="B22" s="1636"/>
      <c r="C22" s="1656" t="s">
        <v>1364</v>
      </c>
      <c r="D22" s="1657" t="s">
        <v>1365</v>
      </c>
      <c r="E22" s="1710" t="s">
        <v>1366</v>
      </c>
      <c r="F22" s="1709"/>
      <c r="G22" s="1711"/>
      <c r="H22" s="1689"/>
      <c r="I22" s="1729"/>
      <c r="J22" s="3433"/>
      <c r="K22" s="3437"/>
      <c r="L22" s="1737" t="s">
        <v>1367</v>
      </c>
      <c r="M22" s="1753">
        <v>1</v>
      </c>
      <c r="N22" s="1753">
        <v>6000</v>
      </c>
      <c r="O22" s="1754">
        <v>0.3</v>
      </c>
      <c r="P22" s="1703">
        <v>365</v>
      </c>
      <c r="Q22" s="1630"/>
      <c r="R22" s="1780">
        <f>ROUND(M22*N22*O22*P22/10000,0)</f>
        <v>66</v>
      </c>
      <c r="S22" s="1749"/>
      <c r="T22" s="1749"/>
      <c r="U22" s="1749"/>
      <c r="V22" s="1729"/>
    </row>
    <row r="23" spans="1:22" s="1615" customFormat="1" ht="13.15" customHeight="1">
      <c r="A23" s="1658">
        <v>1</v>
      </c>
      <c r="B23" s="1659" t="s">
        <v>1368</v>
      </c>
      <c r="C23" s="1660">
        <f>D6</f>
        <v>13037</v>
      </c>
      <c r="D23" s="1661">
        <f>C23*(1+D24)</f>
        <v>13037</v>
      </c>
      <c r="E23" s="1712">
        <f>D23*(1+E24)</f>
        <v>13037</v>
      </c>
      <c r="F23" s="1713"/>
      <c r="G23" s="1714"/>
      <c r="H23" s="1689"/>
      <c r="I23" s="1729"/>
      <c r="J23" s="3433"/>
      <c r="K23" s="3437"/>
      <c r="L23" s="1737" t="s">
        <v>1369</v>
      </c>
      <c r="M23" s="1753">
        <v>11</v>
      </c>
      <c r="N23" s="1753">
        <v>2275</v>
      </c>
      <c r="O23" s="1754">
        <v>0.3</v>
      </c>
      <c r="P23" s="1703">
        <v>365</v>
      </c>
      <c r="Q23" s="1630"/>
      <c r="R23" s="1780">
        <f>ROUND(M23*N23*O23*P23/10000,0)</f>
        <v>274</v>
      </c>
      <c r="S23" s="1768"/>
      <c r="T23" s="1768"/>
      <c r="U23" s="1768"/>
      <c r="V23" s="1729"/>
    </row>
    <row r="24" spans="1:22" s="1615" customFormat="1" ht="13.15" customHeight="1">
      <c r="A24" s="1662"/>
      <c r="B24" s="1663" t="s">
        <v>1370</v>
      </c>
      <c r="C24" s="1664"/>
      <c r="D24" s="1665"/>
      <c r="E24" s="1715"/>
      <c r="F24" s="1716"/>
      <c r="G24" s="1714"/>
      <c r="H24" s="1689"/>
      <c r="I24" s="1729"/>
      <c r="J24" s="3433"/>
      <c r="K24" s="3438"/>
      <c r="L24" s="1738" t="s">
        <v>1334</v>
      </c>
      <c r="M24" s="1755">
        <f>SUM(M21:M23)</f>
        <v>15</v>
      </c>
      <c r="N24" s="1755"/>
      <c r="O24" s="1756"/>
      <c r="P24" s="1757" t="s">
        <v>1354</v>
      </c>
      <c r="Q24" s="1754">
        <v>0</v>
      </c>
      <c r="R24" s="1779">
        <f>ROUND(IF(P24="按比例",R14*Q24,SUM(R21:R23)),0)</f>
        <v>1063</v>
      </c>
      <c r="S24" s="1768"/>
      <c r="T24" s="1768"/>
      <c r="U24" s="1768"/>
      <c r="V24" s="1729"/>
    </row>
    <row r="25" spans="1:22" s="1616" customFormat="1" ht="13.15" customHeight="1">
      <c r="A25" s="1662"/>
      <c r="B25" s="1663"/>
      <c r="C25" s="1664"/>
      <c r="D25" s="1665"/>
      <c r="E25" s="1715"/>
      <c r="F25" s="1716"/>
      <c r="G25" s="1711"/>
      <c r="H25" s="1689"/>
      <c r="I25" s="1729"/>
      <c r="J25" s="1735">
        <v>4</v>
      </c>
      <c r="K25" s="1739" t="s">
        <v>1371</v>
      </c>
      <c r="L25" s="1740"/>
      <c r="M25" s="1740"/>
      <c r="N25" s="1740"/>
      <c r="O25" s="1740"/>
      <c r="P25" s="1759"/>
      <c r="Q25" s="1781"/>
      <c r="R25" s="1779">
        <f>ROUND(R14*Q25,0)</f>
        <v>0</v>
      </c>
      <c r="S25" s="1768"/>
      <c r="T25" s="1768"/>
      <c r="U25" s="1768"/>
      <c r="V25" s="1743"/>
    </row>
    <row r="26" spans="1:22" s="1616" customFormat="1" ht="13.15" customHeight="1">
      <c r="A26" s="1658">
        <v>2</v>
      </c>
      <c r="B26" s="1659" t="s">
        <v>1372</v>
      </c>
      <c r="C26" s="1660">
        <f ca="1">D7</f>
        <v>7492</v>
      </c>
      <c r="D26" s="1661">
        <f>D23*D27</f>
        <v>0</v>
      </c>
      <c r="E26" s="1712">
        <f>E23*E27</f>
        <v>0</v>
      </c>
      <c r="F26" s="1713"/>
      <c r="G26" s="1714"/>
      <c r="H26" s="1689"/>
      <c r="I26" s="1729"/>
      <c r="J26" s="3434">
        <v>5</v>
      </c>
      <c r="K26" s="1741" t="s">
        <v>1373</v>
      </c>
      <c r="L26" s="1742"/>
      <c r="M26" s="1760"/>
      <c r="N26" s="1761" t="s">
        <v>361</v>
      </c>
      <c r="O26" s="1761" t="s">
        <v>1374</v>
      </c>
      <c r="P26" s="1762" t="s">
        <v>1375</v>
      </c>
      <c r="Q26" s="1762" t="s">
        <v>1376</v>
      </c>
      <c r="R26" s="1772" t="s">
        <v>1312</v>
      </c>
      <c r="S26" s="1782"/>
      <c r="T26" s="1782"/>
      <c r="U26" s="1782"/>
      <c r="V26" s="1743"/>
    </row>
    <row r="27" spans="1:22" s="1615" customFormat="1" ht="13.15" customHeight="1">
      <c r="A27" s="1662"/>
      <c r="B27" s="1663" t="s">
        <v>1377</v>
      </c>
      <c r="C27" s="1666">
        <f ca="1">E7</f>
        <v>0.57463373475492829</v>
      </c>
      <c r="D27" s="1665"/>
      <c r="E27" s="1715"/>
      <c r="F27" s="1716"/>
      <c r="G27" s="1714"/>
      <c r="H27" s="1717"/>
      <c r="I27" s="1743"/>
      <c r="J27" s="3435"/>
      <c r="K27" s="1744"/>
      <c r="L27" s="1745"/>
      <c r="M27" s="1763"/>
      <c r="N27" s="1764">
        <v>120</v>
      </c>
      <c r="O27" s="1764">
        <v>11.87</v>
      </c>
      <c r="P27" s="1764">
        <v>365</v>
      </c>
      <c r="Q27" s="1783">
        <v>0.05</v>
      </c>
      <c r="R27" s="1779">
        <f>ROUND(O27*N27*P27*(1-Q27)/10000,0)</f>
        <v>49</v>
      </c>
      <c r="S27" s="1768"/>
      <c r="T27" s="1768"/>
      <c r="U27" s="1768"/>
      <c r="V27" s="1729"/>
    </row>
    <row r="28" spans="1:22" s="1616" customFormat="1" ht="13.15" customHeight="1">
      <c r="A28" s="1662"/>
      <c r="B28" s="1663"/>
      <c r="C28" s="1666"/>
      <c r="D28" s="1665"/>
      <c r="E28" s="1715" t="s">
        <v>1378</v>
      </c>
      <c r="F28" s="1716"/>
      <c r="G28" s="1711"/>
      <c r="H28" s="1717"/>
      <c r="I28" s="1743"/>
      <c r="J28" s="1746">
        <v>6</v>
      </c>
      <c r="K28" s="1747" t="s">
        <v>1379</v>
      </c>
      <c r="L28" s="1748" t="s">
        <v>1380</v>
      </c>
      <c r="M28" s="1765"/>
      <c r="N28" s="1748" t="s">
        <v>1381</v>
      </c>
      <c r="O28" s="1766"/>
      <c r="P28" s="1748" t="s">
        <v>1382</v>
      </c>
      <c r="Q28" s="1784">
        <v>1.4999999999999999E-2</v>
      </c>
      <c r="R28" s="1785"/>
      <c r="S28" s="1749"/>
      <c r="T28" s="1749"/>
      <c r="U28" s="1749"/>
      <c r="V28" s="1743"/>
    </row>
    <row r="29" spans="1:22" s="1616" customFormat="1" ht="13.15" customHeight="1">
      <c r="A29" s="1658">
        <v>3</v>
      </c>
      <c r="B29" s="1659" t="s">
        <v>1383</v>
      </c>
      <c r="C29" s="1660">
        <f>C23*C30</f>
        <v>1303.7</v>
      </c>
      <c r="D29" s="1661">
        <f>D23*C30</f>
        <v>1303.7</v>
      </c>
      <c r="E29" s="1712">
        <f>E23*C30</f>
        <v>1303.7</v>
      </c>
      <c r="F29" s="1713"/>
      <c r="G29" s="1714"/>
      <c r="H29" s="1689"/>
      <c r="I29" s="1729"/>
      <c r="J29" s="1749"/>
      <c r="K29" s="1749"/>
      <c r="L29" s="1749"/>
      <c r="M29" s="1749"/>
      <c r="N29" s="1749"/>
      <c r="O29" s="1749"/>
      <c r="P29" s="1749"/>
      <c r="Q29" s="1749"/>
      <c r="R29" s="1749"/>
      <c r="S29" s="1749"/>
      <c r="T29" s="1749"/>
      <c r="U29" s="1749"/>
      <c r="V29" s="1743"/>
    </row>
    <row r="30" spans="1:22" s="1615" customFormat="1" ht="13.15" customHeight="1">
      <c r="A30" s="1662"/>
      <c r="B30" s="1663" t="s">
        <v>1377</v>
      </c>
      <c r="C30" s="1666">
        <f>E18</f>
        <v>0.1</v>
      </c>
      <c r="D30" s="1667"/>
      <c r="E30" s="1702"/>
      <c r="F30" s="1716"/>
      <c r="G30" s="1714"/>
      <c r="H30" s="1717"/>
      <c r="I30" s="1743"/>
      <c r="J30" s="1749"/>
      <c r="K30" s="1749"/>
      <c r="L30" s="1749"/>
      <c r="M30" s="1749"/>
      <c r="N30" s="1749"/>
      <c r="O30" s="1749"/>
      <c r="P30" s="1749"/>
      <c r="Q30" s="1749"/>
      <c r="R30" s="1749"/>
      <c r="S30" s="1749"/>
      <c r="T30" s="1749"/>
      <c r="U30" s="1768"/>
      <c r="V30" s="1729"/>
    </row>
    <row r="31" spans="1:22" s="1616" customFormat="1" ht="13.15" customHeight="1">
      <c r="A31" s="1662"/>
      <c r="B31" s="1663"/>
      <c r="C31" s="1668"/>
      <c r="D31" s="1667"/>
      <c r="E31" s="1702"/>
      <c r="F31" s="1716"/>
      <c r="G31" s="1711"/>
      <c r="H31" s="1717"/>
      <c r="I31" s="1743"/>
      <c r="J31" s="1727" t="s">
        <v>1384</v>
      </c>
      <c r="K31" s="1728"/>
      <c r="L31" s="1728"/>
      <c r="M31" s="1728"/>
      <c r="N31" s="1728"/>
      <c r="O31" s="1728"/>
      <c r="P31" s="1728"/>
      <c r="Q31" s="1728"/>
      <c r="R31" s="1767"/>
      <c r="S31" s="1749"/>
      <c r="T31" s="1768"/>
      <c r="U31" s="1768"/>
      <c r="V31" s="1743"/>
    </row>
    <row r="32" spans="1:22" s="1616" customFormat="1" ht="13.15" customHeight="1">
      <c r="A32" s="1658">
        <v>4</v>
      </c>
      <c r="B32" s="1659" t="s">
        <v>1385</v>
      </c>
      <c r="C32" s="1660">
        <f ca="1">C23-C26-C29</f>
        <v>4241.3</v>
      </c>
      <c r="D32" s="1661">
        <f>D23-D26-D29</f>
        <v>11733.3</v>
      </c>
      <c r="E32" s="1712">
        <f>E23-E26-E29</f>
        <v>11733.3</v>
      </c>
      <c r="F32" s="1713"/>
      <c r="G32" s="1711"/>
      <c r="H32" s="1689"/>
      <c r="I32" s="1729"/>
      <c r="J32" s="3420" t="s">
        <v>1291</v>
      </c>
      <c r="K32" s="3421"/>
      <c r="L32" s="1730" t="s">
        <v>1292</v>
      </c>
      <c r="M32" s="1730" t="s">
        <v>1293</v>
      </c>
      <c r="N32" s="1730" t="s">
        <v>1294</v>
      </c>
      <c r="O32" s="1730" t="s">
        <v>1295</v>
      </c>
      <c r="P32" s="1730" t="s">
        <v>1296</v>
      </c>
      <c r="Q32" s="1769" t="s">
        <v>1297</v>
      </c>
      <c r="R32" s="1786" t="s">
        <v>1298</v>
      </c>
      <c r="S32" s="1749"/>
      <c r="T32" s="1768"/>
      <c r="U32" s="1768"/>
      <c r="V32" s="1743"/>
    </row>
    <row r="33" spans="1:23" s="1615" customFormat="1" ht="13.15" customHeight="1">
      <c r="A33" s="1658"/>
      <c r="B33" s="1659"/>
      <c r="C33" s="1660"/>
      <c r="D33" s="1669"/>
      <c r="E33" s="1645"/>
      <c r="F33" s="1713"/>
      <c r="G33" s="1711"/>
      <c r="H33" s="1717"/>
      <c r="I33" s="1743"/>
      <c r="J33" s="3422" t="s">
        <v>1299</v>
      </c>
      <c r="K33" s="3423"/>
      <c r="L33" s="1731"/>
      <c r="M33" s="1731"/>
      <c r="N33" s="1731"/>
      <c r="O33" s="1731"/>
      <c r="P33" s="1731"/>
      <c r="Q33" s="1771"/>
      <c r="R33" s="1787">
        <f>SUM(L33:Q33)</f>
        <v>0</v>
      </c>
      <c r="S33" s="1749"/>
      <c r="T33" s="1768"/>
      <c r="U33" s="1768"/>
      <c r="V33" s="1729"/>
    </row>
    <row r="34" spans="1:23" s="1615" customFormat="1" ht="13.15" customHeight="1">
      <c r="A34" s="1658">
        <v>5</v>
      </c>
      <c r="B34" s="1659" t="s">
        <v>1386</v>
      </c>
      <c r="C34" s="1670">
        <f>'数据-取费表'!I6</f>
        <v>5.5E-2</v>
      </c>
      <c r="D34" s="1671">
        <f>C34</f>
        <v>5.5E-2</v>
      </c>
      <c r="E34" s="1718">
        <f>C34</f>
        <v>5.5E-2</v>
      </c>
      <c r="F34" s="1713"/>
      <c r="G34" s="1711"/>
      <c r="H34" s="1717"/>
      <c r="I34" s="1743"/>
      <c r="J34" s="3422" t="s">
        <v>1300</v>
      </c>
      <c r="K34" s="3423"/>
      <c r="L34" s="1732"/>
      <c r="M34" s="1732"/>
      <c r="N34" s="1732"/>
      <c r="O34" s="1732"/>
      <c r="P34" s="1732"/>
      <c r="Q34" s="1773"/>
      <c r="R34" s="1788">
        <f>SUM(L34:Q34)</f>
        <v>0</v>
      </c>
      <c r="S34" s="1749"/>
      <c r="T34" s="1768"/>
      <c r="U34" s="1768" t="e">
        <f>ROUND(R35*10000/365/R33,1)</f>
        <v>#DIV/0!</v>
      </c>
      <c r="V34" s="1729"/>
    </row>
    <row r="35" spans="1:23" s="1615" customFormat="1" ht="13.15" customHeight="1">
      <c r="A35" s="1658">
        <v>6</v>
      </c>
      <c r="B35" s="1659" t="s">
        <v>1387</v>
      </c>
      <c r="C35" s="1672">
        <v>0.03</v>
      </c>
      <c r="D35" s="1673"/>
      <c r="E35" s="1719"/>
      <c r="F35" s="1713"/>
      <c r="G35" s="1720"/>
      <c r="H35" s="1689"/>
      <c r="I35" s="1743"/>
      <c r="J35" s="1733" t="s">
        <v>1302</v>
      </c>
      <c r="K35" s="1734"/>
      <c r="L35" s="1734"/>
      <c r="M35" s="1751"/>
      <c r="N35" s="1751"/>
      <c r="O35" s="1751"/>
      <c r="P35" s="1751"/>
      <c r="Q35" s="1751"/>
      <c r="R35" s="1789">
        <f>R40+R41+R43</f>
        <v>0</v>
      </c>
      <c r="S35" s="1749"/>
      <c r="T35" s="1768" t="s">
        <v>1303</v>
      </c>
      <c r="U35" s="1768"/>
      <c r="V35" s="1729"/>
    </row>
    <row r="36" spans="1:23" s="1615" customFormat="1" ht="13.15" customHeight="1">
      <c r="A36" s="1658">
        <v>7</v>
      </c>
      <c r="B36" s="1674" t="s">
        <v>1388</v>
      </c>
      <c r="C36" s="1675">
        <f>项目基本情况!E15</f>
        <v>27.51</v>
      </c>
      <c r="D36" s="1676"/>
      <c r="E36" s="1721"/>
      <c r="F36" s="1722">
        <f>C36+D36+E36</f>
        <v>27.51</v>
      </c>
      <c r="G36" s="1711"/>
      <c r="H36" s="1689"/>
      <c r="I36" s="1729"/>
      <c r="J36" s="3433">
        <v>1</v>
      </c>
      <c r="K36" s="3436" t="s">
        <v>1389</v>
      </c>
      <c r="L36" s="1736"/>
      <c r="M36" s="1752"/>
      <c r="N36" s="1752"/>
      <c r="O36" s="1752"/>
      <c r="P36" s="1752"/>
      <c r="Q36" s="1752"/>
      <c r="R36" s="1772" t="s">
        <v>1312</v>
      </c>
      <c r="S36" s="1749"/>
      <c r="T36" s="1768" t="s">
        <v>1313</v>
      </c>
      <c r="U36" s="1768"/>
      <c r="V36" s="1729"/>
    </row>
    <row r="37" spans="1:23" s="1615" customFormat="1" ht="13.15" customHeight="1">
      <c r="A37" s="1658"/>
      <c r="B37" s="1659"/>
      <c r="C37" s="1659"/>
      <c r="D37" s="1659"/>
      <c r="E37" s="1659"/>
      <c r="F37" s="1713"/>
      <c r="G37" s="1711"/>
      <c r="H37" s="1689"/>
      <c r="I37" s="1729"/>
      <c r="J37" s="3433"/>
      <c r="K37" s="3437"/>
      <c r="L37" s="1737"/>
      <c r="M37" s="1753"/>
      <c r="N37" s="1630"/>
      <c r="O37" s="1754"/>
      <c r="P37" s="1754"/>
      <c r="Q37" s="1703"/>
      <c r="R37" s="1775"/>
      <c r="S37" s="1749"/>
      <c r="T37" s="1768" t="s">
        <v>1315</v>
      </c>
      <c r="U37" s="1768"/>
      <c r="V37" s="1729"/>
    </row>
    <row r="38" spans="1:23" s="1615" customFormat="1" ht="13.15" customHeight="1">
      <c r="A38" s="1658">
        <v>8</v>
      </c>
      <c r="B38" s="1659"/>
      <c r="C38" s="1642">
        <f ca="1">ROUND(C32*(1-((1+C35)/(1+C34))^C36)/(C34-C35),0)</f>
        <v>81945</v>
      </c>
      <c r="D38" s="1642">
        <f>IF(D23=0,0,ROUND(D32*(1-((1+D35)/(1+D34))^D36)/(D34-D35),0))</f>
        <v>0</v>
      </c>
      <c r="E38" s="1642">
        <f>IF(E23=0,0,ROUND(E32*(1-((1+E35)/(1+E34))^E36)/(E34-E35),0))</f>
        <v>0</v>
      </c>
      <c r="F38" s="1713"/>
      <c r="G38" s="1711"/>
      <c r="H38" s="1689"/>
      <c r="I38" s="1729"/>
      <c r="J38" s="3433"/>
      <c r="K38" s="3437"/>
      <c r="L38" s="1737"/>
      <c r="M38" s="1753"/>
      <c r="N38" s="1630"/>
      <c r="O38" s="1754"/>
      <c r="P38" s="1754"/>
      <c r="Q38" s="1703"/>
      <c r="R38" s="1775"/>
      <c r="S38" s="1749"/>
      <c r="T38" s="1768" t="s">
        <v>1321</v>
      </c>
      <c r="U38" s="1768"/>
      <c r="V38" s="1729"/>
    </row>
    <row r="39" spans="1:23" s="1615" customFormat="1" ht="13.15" customHeight="1">
      <c r="A39" s="1658">
        <v>9</v>
      </c>
      <c r="B39" s="1659" t="s">
        <v>1390</v>
      </c>
      <c r="C39" s="1646">
        <f ca="1">C38</f>
        <v>81945</v>
      </c>
      <c r="D39" s="1659">
        <f>D38/(1+D34)^C36</f>
        <v>0</v>
      </c>
      <c r="E39" s="1659">
        <f>E38/(1+E34)^(C36+D36)</f>
        <v>0</v>
      </c>
      <c r="F39" s="1713"/>
      <c r="G39" s="1723"/>
      <c r="H39" s="1689"/>
      <c r="I39" s="1729"/>
      <c r="J39" s="3433"/>
      <c r="K39" s="3437"/>
      <c r="L39" s="1737"/>
      <c r="M39" s="1753"/>
      <c r="N39" s="1630"/>
      <c r="O39" s="1754"/>
      <c r="P39" s="1754"/>
      <c r="Q39" s="1703"/>
      <c r="R39" s="1775"/>
      <c r="S39" s="1749"/>
      <c r="T39" s="1768"/>
      <c r="U39" s="1768"/>
      <c r="V39" s="1729"/>
    </row>
    <row r="40" spans="1:23" s="1615" customFormat="1" ht="13.15" customHeight="1">
      <c r="A40" s="1677">
        <v>10</v>
      </c>
      <c r="B40" s="1659" t="s">
        <v>1391</v>
      </c>
      <c r="C40" s="1678">
        <f ca="1">C39+D39+E39</f>
        <v>81945</v>
      </c>
      <c r="D40" s="1679"/>
      <c r="E40" s="1679"/>
      <c r="F40" s="1724"/>
      <c r="G40" s="1711"/>
      <c r="H40" s="1689"/>
      <c r="I40" s="1729"/>
      <c r="J40" s="3433"/>
      <c r="K40" s="3438"/>
      <c r="L40" s="1738" t="s">
        <v>1334</v>
      </c>
      <c r="M40" s="1755"/>
      <c r="N40" s="1755"/>
      <c r="O40" s="1756"/>
      <c r="P40" s="1756"/>
      <c r="Q40" s="1776"/>
      <c r="R40" s="1770">
        <f>SUM(R37:R39)</f>
        <v>0</v>
      </c>
      <c r="S40" s="1749"/>
      <c r="T40" s="1768"/>
      <c r="U40" s="1768"/>
      <c r="V40" s="1729"/>
    </row>
    <row r="41" spans="1:23" s="1615" customFormat="1" ht="13.15" customHeight="1">
      <c r="A41" s="1680">
        <v>11</v>
      </c>
      <c r="B41" s="1681" t="s">
        <v>1392</v>
      </c>
      <c r="C41" s="1681">
        <f ca="1">ROUND(C40*10000/B4,0)</f>
        <v>28247</v>
      </c>
      <c r="D41" s="1682"/>
      <c r="E41" s="1682"/>
      <c r="F41" s="1725"/>
      <c r="G41" s="1726"/>
      <c r="H41" s="1689"/>
      <c r="I41" s="1729"/>
      <c r="J41" s="1735">
        <v>2</v>
      </c>
      <c r="K41" s="1739" t="s">
        <v>1371</v>
      </c>
      <c r="L41" s="1740"/>
      <c r="M41" s="1740"/>
      <c r="N41" s="1740"/>
      <c r="O41" s="1740"/>
      <c r="P41" s="1759"/>
      <c r="Q41" s="1781"/>
      <c r="R41" s="1779">
        <f>ROUND(R40*Q41,0)</f>
        <v>0</v>
      </c>
      <c r="S41" s="1749"/>
      <c r="T41" s="1768"/>
      <c r="U41" s="1782"/>
      <c r="V41" s="1729"/>
    </row>
    <row r="42" spans="1:23" s="1615" customFormat="1" ht="13.15" customHeight="1">
      <c r="G42" s="1726"/>
      <c r="H42" s="1689"/>
      <c r="I42" s="1729"/>
      <c r="J42" s="3434">
        <v>3</v>
      </c>
      <c r="K42" s="1741" t="s">
        <v>1373</v>
      </c>
      <c r="L42" s="1742"/>
      <c r="M42" s="1760"/>
      <c r="N42" s="1761" t="s">
        <v>361</v>
      </c>
      <c r="O42" s="1761" t="s">
        <v>1374</v>
      </c>
      <c r="P42" s="1762" t="s">
        <v>1375</v>
      </c>
      <c r="Q42" s="1762" t="s">
        <v>1376</v>
      </c>
      <c r="R42" s="1772" t="s">
        <v>1312</v>
      </c>
      <c r="S42" s="1782"/>
      <c r="T42" s="1782"/>
      <c r="U42" s="1768"/>
      <c r="V42" s="1729"/>
    </row>
    <row r="43" spans="1:23" ht="13.15" customHeight="1">
      <c r="A43" s="1615"/>
      <c r="B43" s="1615"/>
      <c r="C43" s="1615"/>
      <c r="D43" s="1615"/>
      <c r="E43" s="1615"/>
      <c r="F43" s="1615"/>
      <c r="I43" s="1619"/>
      <c r="J43" s="3435"/>
      <c r="K43" s="1744"/>
      <c r="L43" s="1745"/>
      <c r="M43" s="1763"/>
      <c r="N43" s="1753"/>
      <c r="O43" s="1753"/>
      <c r="P43" s="1753"/>
      <c r="Q43" s="1781"/>
      <c r="R43" s="1779">
        <f>ROUND(O43*N43*P43*(1-Q43)/10000,0)</f>
        <v>0</v>
      </c>
      <c r="S43" s="1749"/>
      <c r="T43" s="1768"/>
      <c r="V43" s="1621"/>
      <c r="W43" s="1790"/>
    </row>
    <row r="44" spans="1:23" ht="13.15" customHeight="1">
      <c r="J44" s="1746">
        <v>6</v>
      </c>
      <c r="K44" s="1747" t="s">
        <v>1379</v>
      </c>
      <c r="L44" s="1750" t="s">
        <v>1380</v>
      </c>
      <c r="M44" s="1765"/>
      <c r="N44" s="1750" t="s">
        <v>1381</v>
      </c>
      <c r="O44" s="1765"/>
      <c r="P44" s="1750" t="s">
        <v>1382</v>
      </c>
      <c r="Q44" s="1784">
        <v>1.4999999999999999E-2</v>
      </c>
      <c r="R44" s="1785"/>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1393</v>
      </c>
      <c r="B1" s="1592"/>
      <c r="C1" s="1592"/>
      <c r="D1" s="1592"/>
      <c r="E1" s="1607"/>
      <c r="F1" s="1608"/>
      <c r="G1" s="1606"/>
      <c r="H1" s="1606"/>
      <c r="I1" s="1606"/>
      <c r="J1" s="1606"/>
      <c r="K1" s="1606"/>
      <c r="L1" s="1606"/>
      <c r="M1" s="1606"/>
      <c r="N1" s="1606"/>
      <c r="O1" s="1606"/>
      <c r="P1" s="1606"/>
      <c r="Q1" s="1606"/>
      <c r="R1" s="1606"/>
      <c r="S1" s="1606"/>
    </row>
    <row r="2" spans="1:22" ht="15.75">
      <c r="A2" s="1593" t="s">
        <v>924</v>
      </c>
      <c r="B2" s="1594">
        <f ca="1">SUMIF(B6:B13,"&lt;&gt;#ref!",B6:B13)</f>
        <v>-6068</v>
      </c>
      <c r="C2" s="1595" t="s">
        <v>1394</v>
      </c>
      <c r="D2" s="1596" t="s">
        <v>1395</v>
      </c>
      <c r="E2" s="1609">
        <f>SUM(E6:E13)</f>
        <v>29009.8</v>
      </c>
      <c r="F2" s="1608"/>
      <c r="G2" s="1606"/>
      <c r="H2" s="1606"/>
      <c r="I2" s="1606"/>
      <c r="J2" s="1606"/>
      <c r="K2" s="1606"/>
      <c r="L2" s="1606"/>
      <c r="M2" s="1606"/>
      <c r="N2" s="1606"/>
      <c r="O2" s="1606"/>
      <c r="P2" s="1606"/>
      <c r="Q2" s="1606"/>
      <c r="R2" s="1606"/>
      <c r="S2" s="1606"/>
    </row>
    <row r="3" spans="1:22" ht="15.75">
      <c r="A3" s="1593" t="s">
        <v>926</v>
      </c>
      <c r="B3" s="1597">
        <f ca="1">ROUND(B2*10000/E2,0)</f>
        <v>-2092</v>
      </c>
      <c r="C3" s="1595" t="s">
        <v>1396</v>
      </c>
      <c r="D3" s="1598"/>
      <c r="E3" s="1610"/>
      <c r="F3" s="1608"/>
      <c r="G3" s="1606"/>
      <c r="H3" s="1606"/>
      <c r="I3" s="1606"/>
      <c r="J3" s="1606"/>
      <c r="K3" s="1606"/>
      <c r="L3" s="1606"/>
      <c r="M3" s="1606"/>
      <c r="N3" s="1606"/>
      <c r="O3" s="1606"/>
      <c r="P3" s="1606"/>
      <c r="Q3" s="1606"/>
      <c r="R3" s="1606"/>
      <c r="S3" s="1606"/>
    </row>
    <row r="4" spans="1:22" ht="15.75">
      <c r="A4" s="1599"/>
      <c r="B4" s="1598"/>
      <c r="C4" s="1598"/>
      <c r="D4" s="1598"/>
      <c r="E4" s="1610"/>
      <c r="F4" s="1608"/>
      <c r="G4" s="1606"/>
      <c r="H4" s="1606"/>
      <c r="I4" s="1606"/>
      <c r="J4" s="1606"/>
      <c r="K4" s="1606"/>
      <c r="L4" s="1606"/>
      <c r="M4" s="1606"/>
      <c r="N4" s="1606"/>
      <c r="O4" s="1606"/>
      <c r="P4" s="1606"/>
      <c r="Q4" s="1606"/>
      <c r="R4" s="1606"/>
      <c r="S4" s="1606"/>
    </row>
    <row r="5" spans="1:22" ht="15">
      <c r="A5" s="1600" t="s">
        <v>1397</v>
      </c>
      <c r="B5" s="3439" t="s">
        <v>1398</v>
      </c>
      <c r="C5" s="3440"/>
      <c r="D5" s="1601"/>
      <c r="E5" s="1611" t="s">
        <v>1399</v>
      </c>
      <c r="F5" s="1612" t="s">
        <v>1400</v>
      </c>
      <c r="G5" s="1606"/>
      <c r="H5" s="1606"/>
      <c r="I5" s="1606"/>
      <c r="J5" s="1606"/>
      <c r="K5" s="1606"/>
      <c r="L5" s="1606"/>
      <c r="M5" s="1606"/>
      <c r="N5" s="1606"/>
      <c r="O5" s="1606"/>
      <c r="P5" s="1606"/>
      <c r="Q5" s="1606"/>
      <c r="R5" s="1606"/>
      <c r="S5" s="1606"/>
    </row>
    <row r="6" spans="1:22">
      <c r="A6" s="1602" t="str">
        <f>'数据-取费表'!AN6</f>
        <v>收益法</v>
      </c>
      <c r="B6" s="503">
        <f ca="1">IF(F6="是",'数据-取费表'!AO6,0)</f>
        <v>-6068</v>
      </c>
      <c r="C6" s="1595" t="s">
        <v>1394</v>
      </c>
      <c r="D6" s="1598"/>
      <c r="E6" s="1613">
        <f>IF(OR(A6=0,F6="否"),0,'数据-取费表'!K6+'数据-取费表'!S6)</f>
        <v>29009.8</v>
      </c>
      <c r="F6" s="1614" t="s">
        <v>1401</v>
      </c>
      <c r="G6" s="1606"/>
      <c r="H6" s="1606"/>
      <c r="I6" s="1606"/>
      <c r="J6" s="1606"/>
      <c r="K6" s="1606"/>
      <c r="L6" s="1606"/>
      <c r="M6" s="1606"/>
      <c r="N6" s="1606"/>
      <c r="O6" s="1606"/>
      <c r="P6" s="1606"/>
      <c r="Q6" s="1606"/>
      <c r="R6" s="1606"/>
      <c r="S6" s="1606"/>
    </row>
    <row r="7" spans="1:22">
      <c r="A7" s="1602">
        <f>'数据-取费表'!AN7</f>
        <v>0</v>
      </c>
      <c r="B7" s="503" t="e">
        <f ca="1">IF(F7="是",'数据-取费表'!AO7,0)</f>
        <v>#REF!</v>
      </c>
      <c r="C7" s="1595" t="s">
        <v>1394</v>
      </c>
      <c r="D7" s="1598"/>
      <c r="E7" s="1613">
        <f>IF(OR(A7=0,F7="否"),0,'数据-取费表'!K7+'数据-取费表'!S7)</f>
        <v>0</v>
      </c>
      <c r="F7" s="1614" t="s">
        <v>1401</v>
      </c>
      <c r="G7" s="1606"/>
      <c r="H7" s="1606"/>
      <c r="I7" s="1606"/>
      <c r="J7" s="1606"/>
      <c r="K7" s="1606"/>
      <c r="L7" s="1606"/>
      <c r="M7" s="1606"/>
      <c r="N7" s="1606"/>
      <c r="O7" s="1606"/>
      <c r="P7" s="1606"/>
      <c r="Q7" s="1606"/>
      <c r="R7" s="1606"/>
      <c r="S7" s="1606"/>
    </row>
    <row r="8" spans="1:22">
      <c r="A8" s="1602">
        <f>'数据-取费表'!AN8</f>
        <v>0</v>
      </c>
      <c r="B8" s="503" t="e">
        <f ca="1">IF(F8="是",'数据-取费表'!AO8,0)</f>
        <v>#REF!</v>
      </c>
      <c r="C8" s="1595" t="s">
        <v>1394</v>
      </c>
      <c r="D8" s="1598"/>
      <c r="E8" s="1613">
        <f>IF(OR(A8=0,F8="否"),0,'数据-取费表'!K8+'数据-取费表'!S8)</f>
        <v>0</v>
      </c>
      <c r="F8" s="1614" t="s">
        <v>1401</v>
      </c>
      <c r="G8" s="1606"/>
      <c r="H8" s="1606"/>
      <c r="I8" s="1606"/>
      <c r="J8" s="1606"/>
      <c r="K8" s="1606"/>
      <c r="L8" s="1606"/>
      <c r="M8" s="1606"/>
      <c r="N8" s="1606"/>
      <c r="O8" s="1606"/>
      <c r="P8" s="1606"/>
      <c r="Q8" s="1606"/>
      <c r="R8" s="1606"/>
      <c r="S8" s="1606"/>
    </row>
    <row r="9" spans="1:22">
      <c r="A9" s="1602">
        <f>'数据-取费表'!AN9</f>
        <v>0</v>
      </c>
      <c r="B9" s="503" t="e">
        <f ca="1">IF(F9="是",'数据-取费表'!AO9,0)</f>
        <v>#REF!</v>
      </c>
      <c r="C9" s="1595" t="s">
        <v>1394</v>
      </c>
      <c r="D9" s="1598"/>
      <c r="E9" s="1613">
        <f>IF(OR(A9=0,F9="否"),0,'数据-取费表'!K9+'数据-取费表'!S9)</f>
        <v>0</v>
      </c>
      <c r="F9" s="1614" t="s">
        <v>1401</v>
      </c>
      <c r="G9" s="1606"/>
      <c r="H9" s="1606"/>
      <c r="I9" s="1606"/>
      <c r="J9" s="1606"/>
      <c r="K9" s="1606"/>
      <c r="L9" s="1606"/>
      <c r="M9" s="1606"/>
      <c r="N9" s="1606"/>
      <c r="O9" s="1606"/>
      <c r="P9" s="1606"/>
      <c r="Q9" s="1606"/>
      <c r="R9" s="1606"/>
      <c r="S9" s="1606"/>
    </row>
    <row r="10" spans="1:22">
      <c r="A10" s="1602">
        <f>'数据-取费表'!AN10</f>
        <v>0</v>
      </c>
      <c r="B10" s="503" t="e">
        <f ca="1">IF(F10="是",'数据-取费表'!AO10,0)</f>
        <v>#REF!</v>
      </c>
      <c r="C10" s="1595" t="s">
        <v>1394</v>
      </c>
      <c r="D10" s="1598"/>
      <c r="E10" s="1613">
        <f>IF(OR(A10=0,F10="否"),0,'数据-取费表'!K10+'数据-取费表'!S10)</f>
        <v>0</v>
      </c>
      <c r="F10" s="1614" t="s">
        <v>1401</v>
      </c>
      <c r="G10" s="1606"/>
      <c r="H10" s="1606"/>
      <c r="I10" s="1606"/>
      <c r="J10" s="1606"/>
      <c r="K10" s="1606"/>
      <c r="L10" s="1606"/>
      <c r="M10" s="1606"/>
      <c r="N10" s="1606"/>
      <c r="O10" s="1606"/>
      <c r="P10" s="1606"/>
      <c r="Q10" s="1606"/>
      <c r="R10" s="1606"/>
      <c r="S10" s="1606"/>
    </row>
    <row r="11" spans="1:22">
      <c r="A11" s="1602">
        <f>'数据-取费表'!AN11</f>
        <v>0</v>
      </c>
      <c r="B11" s="503" t="e">
        <f ca="1">IF(F11="是",'数据-取费表'!AO11,0)</f>
        <v>#REF!</v>
      </c>
      <c r="C11" s="1595" t="s">
        <v>1394</v>
      </c>
      <c r="D11" s="1598"/>
      <c r="E11" s="1613">
        <f>IF(OR(A11=0,F11="否"),0,'数据-取费表'!K11+'数据-取费表'!S11)</f>
        <v>0</v>
      </c>
      <c r="F11" s="1614" t="s">
        <v>1401</v>
      </c>
      <c r="G11" s="1606"/>
      <c r="H11" s="1606"/>
      <c r="I11" s="1606"/>
      <c r="J11" s="1606"/>
      <c r="K11" s="1606"/>
      <c r="L11" s="1606"/>
      <c r="M11" s="1606"/>
      <c r="N11" s="1606"/>
      <c r="O11" s="1606"/>
      <c r="P11" s="1606"/>
      <c r="Q11" s="1606"/>
      <c r="R11" s="1606"/>
      <c r="S11" s="1606"/>
    </row>
    <row r="12" spans="1:22">
      <c r="A12" s="1602">
        <f>'数据-取费表'!AN12</f>
        <v>0</v>
      </c>
      <c r="B12" s="503" t="e">
        <f ca="1">IF(F12="是",'数据-取费表'!AO12,0)</f>
        <v>#REF!</v>
      </c>
      <c r="C12" s="1595" t="s">
        <v>1394</v>
      </c>
      <c r="D12" s="1598"/>
      <c r="E12" s="1613">
        <f>IF(OR(A12=0,F12="否"),0,'数据-取费表'!K12+'数据-取费表'!S12)</f>
        <v>0</v>
      </c>
      <c r="F12" s="1614" t="s">
        <v>1401</v>
      </c>
      <c r="G12" s="1606"/>
      <c r="H12" s="1606"/>
      <c r="I12" s="1606"/>
      <c r="J12" s="1606"/>
      <c r="K12" s="1606"/>
      <c r="L12" s="1606"/>
      <c r="M12" s="1606"/>
      <c r="N12" s="1606"/>
      <c r="O12" s="1606"/>
      <c r="P12" s="1606"/>
      <c r="Q12" s="1606"/>
      <c r="R12" s="1606"/>
      <c r="S12" s="1606"/>
    </row>
    <row r="13" spans="1:22">
      <c r="A13" s="1603">
        <f>'数据-取费表'!AN13</f>
        <v>0</v>
      </c>
      <c r="B13" s="503" t="e">
        <f ca="1">IF(F13="是",'数据-取费表'!AO13,0)</f>
        <v>#REF!</v>
      </c>
      <c r="C13" s="1604" t="s">
        <v>1394</v>
      </c>
      <c r="D13" s="1605"/>
      <c r="E13" s="1613">
        <f>IF(OR(A13=0,F13="否"),0,'数据-取费表'!K13+'数据-取费表'!S13)</f>
        <v>0</v>
      </c>
      <c r="F13" s="1614" t="s">
        <v>1401</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88" t="s">
        <v>1403</v>
      </c>
      <c r="C1" s="1352" t="s">
        <v>1404</v>
      </c>
      <c r="D1" s="1293"/>
      <c r="E1" s="1515"/>
      <c r="F1" s="1324" t="s">
        <v>1405</v>
      </c>
      <c r="G1" s="1325" t="s">
        <v>1406</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924</v>
      </c>
      <c r="B2" s="1295" t="e">
        <f ca="1">IF(C2="——",ROUND(C49*D3/10000,0),ROUND(C49*D3/10000,0)-D2)</f>
        <v>#DIV/0!</v>
      </c>
      <c r="C2" s="1296"/>
      <c r="D2" s="1467" t="e">
        <f ca="1">SUMIF(INDIRECT("'"&amp;F2&amp;"'"&amp;"!A:A"),"承租人权益价值",INDIRECT("'"&amp;F2&amp;"'"&amp;"!c:c"))</f>
        <v>#REF!</v>
      </c>
      <c r="E2" s="1326" t="s">
        <v>925</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926</v>
      </c>
      <c r="B3" s="1298" t="e">
        <f ca="1">IF(C2="——",C49,ROUND(B2*10000/D3,0))</f>
        <v>#DIV/0!</v>
      </c>
      <c r="C3" s="1297" t="s">
        <v>1407</v>
      </c>
      <c r="D3" s="1298">
        <f>IF(D1="",'数据-汇总表'!E3,SUMIF('数据-汇总表'!$C19:$C33,D1,'数据-汇总表'!$E19:$E33))</f>
        <v>29009.8</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5">
      <c r="A4" s="928" t="s">
        <v>1408</v>
      </c>
      <c r="B4" s="929"/>
      <c r="C4" s="3441" t="s">
        <v>1409</v>
      </c>
      <c r="D4" s="3442"/>
      <c r="E4" s="3443" t="s">
        <v>1410</v>
      </c>
      <c r="F4" s="3444"/>
      <c r="G4" s="3441" t="s">
        <v>1411</v>
      </c>
      <c r="H4" s="3442"/>
      <c r="I4" s="3441" t="s">
        <v>1412</v>
      </c>
      <c r="J4" s="3442"/>
      <c r="K4" s="1523" t="s">
        <v>1413</v>
      </c>
      <c r="L4" s="1075"/>
      <c r="M4" s="1110"/>
      <c r="N4" s="1110"/>
      <c r="O4" s="1110"/>
      <c r="P4" s="3474" t="s">
        <v>1414</v>
      </c>
      <c r="Q4" s="3475"/>
      <c r="R4" s="3480" t="s">
        <v>1410</v>
      </c>
      <c r="S4" s="3481"/>
      <c r="T4" s="3480" t="s">
        <v>1411</v>
      </c>
      <c r="U4" s="3481"/>
      <c r="V4" s="3486" t="s">
        <v>1412</v>
      </c>
      <c r="W4" s="3486"/>
      <c r="X4" s="1130"/>
      <c r="Y4" s="3480" t="s">
        <v>1414</v>
      </c>
      <c r="Z4" s="3481"/>
      <c r="AA4" s="3471" t="s">
        <v>1410</v>
      </c>
      <c r="AB4" s="3471" t="s">
        <v>1411</v>
      </c>
      <c r="AC4" s="3471" t="s">
        <v>1412</v>
      </c>
    </row>
    <row r="5" spans="1:29" ht="15">
      <c r="A5" s="930"/>
      <c r="B5" s="931"/>
      <c r="C5" s="3445" t="s">
        <v>1415</v>
      </c>
      <c r="D5" s="3446"/>
      <c r="E5" s="3447" t="s">
        <v>1416</v>
      </c>
      <c r="F5" s="3448"/>
      <c r="G5" s="3445" t="s">
        <v>1417</v>
      </c>
      <c r="H5" s="3446"/>
      <c r="I5" s="3445" t="s">
        <v>1418</v>
      </c>
      <c r="J5" s="3446"/>
      <c r="K5" s="1524"/>
      <c r="L5" s="1075"/>
      <c r="M5" s="1110"/>
      <c r="N5" s="1110"/>
      <c r="O5" s="1110"/>
      <c r="P5" s="3476"/>
      <c r="Q5" s="3477"/>
      <c r="R5" s="3482"/>
      <c r="S5" s="3483"/>
      <c r="T5" s="3482"/>
      <c r="U5" s="3483"/>
      <c r="V5" s="3486"/>
      <c r="W5" s="3486"/>
      <c r="X5" s="1130"/>
      <c r="Y5" s="3482"/>
      <c r="Z5" s="3483"/>
      <c r="AA5" s="3472"/>
      <c r="AB5" s="3472"/>
      <c r="AC5" s="3472"/>
    </row>
    <row r="6" spans="1:29" ht="15">
      <c r="A6" s="932"/>
      <c r="B6" s="933"/>
      <c r="C6" s="3449" t="s">
        <v>1419</v>
      </c>
      <c r="D6" s="3450"/>
      <c r="E6" s="3451" t="s">
        <v>1419</v>
      </c>
      <c r="F6" s="3452"/>
      <c r="G6" s="3449" t="s">
        <v>1419</v>
      </c>
      <c r="H6" s="3450"/>
      <c r="I6" s="3449" t="s">
        <v>1419</v>
      </c>
      <c r="J6" s="3450"/>
      <c r="K6" s="1524" t="s">
        <v>1420</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53" t="s">
        <v>1422</v>
      </c>
      <c r="Q7" s="3454"/>
      <c r="R7" s="1121" t="s">
        <v>1423</v>
      </c>
      <c r="S7" s="1122">
        <f t="shared" ref="S7:S15" si="0">F7</f>
        <v>0</v>
      </c>
      <c r="T7" s="1121" t="s">
        <v>1423</v>
      </c>
      <c r="U7" s="1122">
        <f t="shared" ref="U7:U15" si="1">H7</f>
        <v>0</v>
      </c>
      <c r="V7" s="1121" t="s">
        <v>1423</v>
      </c>
      <c r="W7" s="1122">
        <f t="shared" ref="W7:W15" si="2">J7</f>
        <v>0</v>
      </c>
      <c r="X7" s="1131"/>
      <c r="Y7" s="3453" t="s">
        <v>1422</v>
      </c>
      <c r="Z7" s="3455"/>
      <c r="AA7" s="1134" t="e">
        <f>D7/F7</f>
        <v>#DIV/0!</v>
      </c>
      <c r="AB7" s="1134" t="e">
        <f>D7/H7</f>
        <v>#DIV/0!</v>
      </c>
      <c r="AC7" s="1134" t="e">
        <f>D7/J7</f>
        <v>#DIV/0!</v>
      </c>
    </row>
    <row r="8" spans="1:29" s="911" customFormat="1" ht="15">
      <c r="A8" s="934" t="s">
        <v>1424</v>
      </c>
      <c r="B8" s="935"/>
      <c r="C8" s="938" t="s">
        <v>1425</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19" si="3">D8/F8</f>
        <v>#DIV/0!</v>
      </c>
      <c r="AB8" s="1134" t="e">
        <f t="shared" ref="AB8:AB19" si="4">D8/H8</f>
        <v>#DIV/0!</v>
      </c>
      <c r="AC8" s="1134" t="e">
        <f t="shared" ref="AC8:AC19" si="5">D8/J8</f>
        <v>#DIV/0!</v>
      </c>
    </row>
    <row r="9" spans="1:29" s="911" customFormat="1">
      <c r="A9" s="939" t="s">
        <v>1427</v>
      </c>
      <c r="B9" s="940" t="s">
        <v>1428</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58" t="s">
        <v>1429</v>
      </c>
      <c r="Q9" s="1124" t="str">
        <f t="shared" ref="Q9:Q15" si="6">B9</f>
        <v>用途</v>
      </c>
      <c r="R9" s="1121" t="s">
        <v>1423</v>
      </c>
      <c r="S9" s="1122">
        <f t="shared" si="0"/>
        <v>100</v>
      </c>
      <c r="T9" s="1121" t="s">
        <v>1423</v>
      </c>
      <c r="U9" s="1122">
        <f t="shared" si="1"/>
        <v>100</v>
      </c>
      <c r="V9" s="1121" t="s">
        <v>1423</v>
      </c>
      <c r="W9" s="1122">
        <f t="shared" si="2"/>
        <v>100</v>
      </c>
      <c r="X9" s="1131"/>
      <c r="Y9" s="3411" t="s">
        <v>1430</v>
      </c>
      <c r="Z9" s="1135" t="str">
        <f t="shared" ref="Z9:Z15" si="7">Q9</f>
        <v>用途</v>
      </c>
      <c r="AA9" s="1134">
        <f t="shared" si="3"/>
        <v>1</v>
      </c>
      <c r="AB9" s="1134">
        <f t="shared" si="4"/>
        <v>1</v>
      </c>
      <c r="AC9" s="1134">
        <f t="shared" si="5"/>
        <v>1</v>
      </c>
    </row>
    <row r="10" spans="1:29" s="912" customFormat="1" ht="27">
      <c r="A10" s="943"/>
      <c r="B10" s="944" t="s">
        <v>1431</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58"/>
      <c r="Q10" s="1124" t="str">
        <f t="shared" si="6"/>
        <v>土地使用年限（年）</v>
      </c>
      <c r="R10" s="1121" t="s">
        <v>1423</v>
      </c>
      <c r="S10" s="1122">
        <f t="shared" si="0"/>
        <v>100</v>
      </c>
      <c r="T10" s="1121" t="s">
        <v>1423</v>
      </c>
      <c r="U10" s="1122">
        <f t="shared" si="1"/>
        <v>100</v>
      </c>
      <c r="V10" s="1121" t="s">
        <v>1423</v>
      </c>
      <c r="W10" s="1122">
        <f t="shared" si="2"/>
        <v>100</v>
      </c>
      <c r="X10" s="1131"/>
      <c r="Y10" s="3411"/>
      <c r="Z10" s="1135" t="str">
        <f t="shared" si="7"/>
        <v>土地使用年限（年）</v>
      </c>
      <c r="AA10" s="1134">
        <f t="shared" si="3"/>
        <v>1</v>
      </c>
      <c r="AB10" s="1134">
        <f t="shared" si="4"/>
        <v>1</v>
      </c>
      <c r="AC10" s="1134">
        <f t="shared" si="5"/>
        <v>1</v>
      </c>
    </row>
    <row r="11" spans="1:29" ht="15">
      <c r="A11" s="947"/>
      <c r="B11" s="944" t="s">
        <v>1432</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58"/>
      <c r="Q11" s="1124" t="str">
        <f t="shared" si="6"/>
        <v>容积率</v>
      </c>
      <c r="R11" s="1121" t="s">
        <v>1423</v>
      </c>
      <c r="S11" s="1122" t="e">
        <f t="shared" si="0"/>
        <v>#N/A</v>
      </c>
      <c r="T11" s="1121" t="s">
        <v>1423</v>
      </c>
      <c r="U11" s="1122" t="e">
        <f t="shared" si="1"/>
        <v>#N/A</v>
      </c>
      <c r="V11" s="1121" t="s">
        <v>1423</v>
      </c>
      <c r="W11" s="1122" t="e">
        <f t="shared" si="2"/>
        <v>#N/A</v>
      </c>
      <c r="X11" s="1131"/>
      <c r="Y11" s="3411"/>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58"/>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58"/>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58"/>
      <c r="Q14" s="1124">
        <f t="shared" si="6"/>
        <v>111</v>
      </c>
      <c r="R14" s="1121" t="s">
        <v>1423</v>
      </c>
      <c r="S14" s="1122">
        <f t="shared" si="0"/>
        <v>100</v>
      </c>
      <c r="T14" s="1121" t="s">
        <v>1423</v>
      </c>
      <c r="U14" s="1122">
        <f t="shared" si="1"/>
        <v>100</v>
      </c>
      <c r="V14" s="1121" t="s">
        <v>1423</v>
      </c>
      <c r="W14" s="1122">
        <f t="shared" si="2"/>
        <v>100</v>
      </c>
      <c r="X14" s="1131"/>
      <c r="Y14" s="3411"/>
      <c r="Z14" s="1135">
        <f t="shared" si="7"/>
        <v>111</v>
      </c>
      <c r="AA14" s="1134">
        <f t="shared" si="3"/>
        <v>1</v>
      </c>
      <c r="AB14" s="1134">
        <f t="shared" si="4"/>
        <v>1</v>
      </c>
      <c r="AC14" s="1134">
        <f t="shared" si="5"/>
        <v>1</v>
      </c>
    </row>
    <row r="15" spans="1:29" ht="99.75">
      <c r="A15" s="958" t="s">
        <v>1433</v>
      </c>
      <c r="B15" s="1257" t="s">
        <v>1434</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59" t="s">
        <v>1435</v>
      </c>
      <c r="Q15" s="651" t="str">
        <f t="shared" si="6"/>
        <v>居住社区成熟度</v>
      </c>
      <c r="R15" s="1125" t="s">
        <v>1423</v>
      </c>
      <c r="S15" s="1126">
        <f t="shared" si="0"/>
        <v>100</v>
      </c>
      <c r="T15" s="1125" t="s">
        <v>1423</v>
      </c>
      <c r="U15" s="1126">
        <f t="shared" si="1"/>
        <v>100</v>
      </c>
      <c r="V15" s="1125" t="s">
        <v>1423</v>
      </c>
      <c r="W15" s="1126">
        <f t="shared" si="2"/>
        <v>100</v>
      </c>
      <c r="X15" s="1130"/>
      <c r="Y15" s="3464" t="s">
        <v>1435</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0"/>
      <c r="Q16" s="651"/>
      <c r="R16" s="1125"/>
      <c r="S16" s="1126"/>
      <c r="T16" s="1125"/>
      <c r="U16" s="1126"/>
      <c r="V16" s="1125"/>
      <c r="W16" s="1126"/>
      <c r="X16" s="1130"/>
      <c r="Y16" s="3465"/>
      <c r="Z16" s="1099"/>
      <c r="AA16" s="1136">
        <v>1</v>
      </c>
      <c r="AB16" s="1136">
        <v>1</v>
      </c>
      <c r="AC16" s="1136">
        <v>1</v>
      </c>
    </row>
    <row r="17" spans="1:29" ht="85.5">
      <c r="A17" s="947"/>
      <c r="B17" s="1260" t="s">
        <v>1436</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0"/>
      <c r="Q17" s="651" t="str">
        <f>B17</f>
        <v>交通便捷度</v>
      </c>
      <c r="R17" s="1125" t="s">
        <v>1423</v>
      </c>
      <c r="S17" s="1126">
        <f>F17</f>
        <v>100</v>
      </c>
      <c r="T17" s="1125" t="s">
        <v>1423</v>
      </c>
      <c r="U17" s="1126">
        <f>H17</f>
        <v>100</v>
      </c>
      <c r="V17" s="1125" t="s">
        <v>1423</v>
      </c>
      <c r="W17" s="1126">
        <f>J17</f>
        <v>100</v>
      </c>
      <c r="X17" s="1130"/>
      <c r="Y17" s="3465"/>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0"/>
      <c r="Q18" s="651"/>
      <c r="R18" s="1125"/>
      <c r="S18" s="1126"/>
      <c r="T18" s="1125"/>
      <c r="U18" s="1126"/>
      <c r="V18" s="1125"/>
      <c r="W18" s="1126"/>
      <c r="X18" s="1130"/>
      <c r="Y18" s="3465"/>
      <c r="Z18" s="1099"/>
      <c r="AA18" s="1136">
        <v>1</v>
      </c>
      <c r="AB18" s="1136">
        <v>1</v>
      </c>
      <c r="AC18" s="1136">
        <v>1</v>
      </c>
    </row>
    <row r="19" spans="1:29" ht="42.75">
      <c r="A19" s="947"/>
      <c r="B19" s="1260" t="s">
        <v>1437</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0"/>
      <c r="Q19" s="651" t="str">
        <f>B19</f>
        <v>公共配套设施</v>
      </c>
      <c r="R19" s="1125" t="s">
        <v>1423</v>
      </c>
      <c r="S19" s="1126">
        <f>F19</f>
        <v>100</v>
      </c>
      <c r="T19" s="1125" t="s">
        <v>1423</v>
      </c>
      <c r="U19" s="1126">
        <f>H19</f>
        <v>100</v>
      </c>
      <c r="V19" s="1125" t="s">
        <v>1423</v>
      </c>
      <c r="W19" s="1126">
        <f>J19</f>
        <v>100</v>
      </c>
      <c r="X19" s="1130"/>
      <c r="Y19" s="3465"/>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0"/>
      <c r="Q20" s="651"/>
      <c r="R20" s="1125"/>
      <c r="S20" s="1126"/>
      <c r="T20" s="1125"/>
      <c r="U20" s="1126"/>
      <c r="V20" s="1125"/>
      <c r="W20" s="1126"/>
      <c r="X20" s="1130"/>
      <c r="Y20" s="3465"/>
      <c r="Z20" s="1099"/>
      <c r="AA20" s="1136">
        <v>1</v>
      </c>
      <c r="AB20" s="1136">
        <v>1</v>
      </c>
      <c r="AC20" s="1136">
        <v>1</v>
      </c>
    </row>
    <row r="21" spans="1:29" ht="28.5">
      <c r="A21" s="947"/>
      <c r="B21" s="1262" t="s">
        <v>1438</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0"/>
      <c r="Q21" s="651" t="str">
        <f>B21</f>
        <v>基础设施水平</v>
      </c>
      <c r="R21" s="1125" t="s">
        <v>1423</v>
      </c>
      <c r="S21" s="1126">
        <f>F21</f>
        <v>100</v>
      </c>
      <c r="T21" s="1125" t="s">
        <v>1423</v>
      </c>
      <c r="U21" s="1126">
        <f>H21</f>
        <v>100</v>
      </c>
      <c r="V21" s="1125" t="s">
        <v>1423</v>
      </c>
      <c r="W21" s="1126">
        <f>J21</f>
        <v>100</v>
      </c>
      <c r="X21" s="1130"/>
      <c r="Y21" s="3465"/>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0"/>
      <c r="Q22" s="651"/>
      <c r="R22" s="1125"/>
      <c r="S22" s="1126"/>
      <c r="T22" s="1125"/>
      <c r="U22" s="1126"/>
      <c r="V22" s="1125"/>
      <c r="W22" s="1126"/>
      <c r="X22" s="1130"/>
      <c r="Y22" s="3465"/>
      <c r="Z22" s="1099"/>
      <c r="AA22" s="1136">
        <v>1</v>
      </c>
      <c r="AB22" s="1136">
        <v>1</v>
      </c>
      <c r="AC22" s="1136">
        <v>1</v>
      </c>
    </row>
    <row r="23" spans="1:29" ht="57">
      <c r="A23" s="947"/>
      <c r="B23" s="1260" t="s">
        <v>1439</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0"/>
      <c r="Q23" s="651" t="str">
        <f>B23</f>
        <v>自然及人文环境</v>
      </c>
      <c r="R23" s="1125" t="s">
        <v>1423</v>
      </c>
      <c r="S23" s="1126">
        <f>F23</f>
        <v>100</v>
      </c>
      <c r="T23" s="1125" t="s">
        <v>1423</v>
      </c>
      <c r="U23" s="1126">
        <f>H23</f>
        <v>100</v>
      </c>
      <c r="V23" s="1125" t="s">
        <v>1423</v>
      </c>
      <c r="W23" s="1126">
        <f>J23</f>
        <v>100</v>
      </c>
      <c r="X23" s="1130"/>
      <c r="Y23" s="3465"/>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0"/>
      <c r="Q24" s="651"/>
      <c r="R24" s="1125"/>
      <c r="S24" s="1126"/>
      <c r="T24" s="1125"/>
      <c r="U24" s="1126"/>
      <c r="V24" s="1125"/>
      <c r="W24" s="1126"/>
      <c r="X24" s="1130"/>
      <c r="Y24" s="3465"/>
      <c r="Z24" s="1099"/>
      <c r="AA24" s="1136">
        <v>1</v>
      </c>
      <c r="AB24" s="1136">
        <v>1</v>
      </c>
      <c r="AC24" s="1136">
        <v>1</v>
      </c>
    </row>
    <row r="25" spans="1:29" ht="15">
      <c r="A25" s="947"/>
      <c r="B25" s="944" t="s">
        <v>1440</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0"/>
      <c r="Q25" s="651" t="str">
        <f t="shared" ref="Q25:Q46" si="11">B25</f>
        <v>楼层-1</v>
      </c>
      <c r="R25" s="1125" t="s">
        <v>1423</v>
      </c>
      <c r="S25" s="1126">
        <f t="shared" ref="S25:S46" si="12">F25</f>
        <v>100</v>
      </c>
      <c r="T25" s="1125" t="s">
        <v>1423</v>
      </c>
      <c r="U25" s="1126">
        <f t="shared" ref="U25:U46" si="13">H25</f>
        <v>100</v>
      </c>
      <c r="V25" s="1125" t="s">
        <v>1423</v>
      </c>
      <c r="W25" s="1126">
        <f t="shared" ref="W25:W46" si="14">J25</f>
        <v>100</v>
      </c>
      <c r="X25" s="1130"/>
      <c r="Y25" s="3465"/>
      <c r="Z25" s="1099" t="str">
        <f>Q25</f>
        <v>楼层-1</v>
      </c>
      <c r="AA25" s="1136">
        <f t="shared" ref="AA25:AA46" si="15">D25/F25</f>
        <v>1</v>
      </c>
      <c r="AB25" s="1136">
        <f t="shared" ref="AB25:AB46" si="16">D25/H25</f>
        <v>1</v>
      </c>
      <c r="AC25" s="1136">
        <f t="shared" ref="AC25:AC46" si="17">D25/J25</f>
        <v>1</v>
      </c>
    </row>
    <row r="26" spans="1:29" ht="15">
      <c r="A26" s="947"/>
      <c r="B26" s="944" t="s">
        <v>1441</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0"/>
      <c r="Q26" s="651" t="str">
        <f t="shared" si="11"/>
        <v>朝向</v>
      </c>
      <c r="R26" s="1125" t="s">
        <v>1423</v>
      </c>
      <c r="S26" s="1126">
        <f t="shared" si="12"/>
        <v>100</v>
      </c>
      <c r="T26" s="1125" t="s">
        <v>1423</v>
      </c>
      <c r="U26" s="1126">
        <f t="shared" si="13"/>
        <v>100</v>
      </c>
      <c r="V26" s="1125" t="s">
        <v>1423</v>
      </c>
      <c r="W26" s="1126">
        <f t="shared" si="14"/>
        <v>100</v>
      </c>
      <c r="X26" s="1130"/>
      <c r="Y26" s="3465"/>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0"/>
      <c r="Q27" s="1124">
        <f t="shared" si="11"/>
        <v>111</v>
      </c>
      <c r="R27" s="1121" t="s">
        <v>1423</v>
      </c>
      <c r="S27" s="1122">
        <f t="shared" si="12"/>
        <v>100</v>
      </c>
      <c r="T27" s="1121" t="s">
        <v>1423</v>
      </c>
      <c r="U27" s="1122">
        <f t="shared" si="13"/>
        <v>100</v>
      </c>
      <c r="V27" s="1121" t="s">
        <v>1423</v>
      </c>
      <c r="W27" s="1122">
        <f t="shared" si="14"/>
        <v>100</v>
      </c>
      <c r="X27" s="1131"/>
      <c r="Y27" s="3465"/>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0"/>
      <c r="Q28" s="651">
        <f t="shared" si="11"/>
        <v>111</v>
      </c>
      <c r="R28" s="1125" t="s">
        <v>1423</v>
      </c>
      <c r="S28" s="1126">
        <f t="shared" si="12"/>
        <v>100</v>
      </c>
      <c r="T28" s="1125" t="s">
        <v>1423</v>
      </c>
      <c r="U28" s="1126">
        <f t="shared" si="13"/>
        <v>100</v>
      </c>
      <c r="V28" s="1125" t="s">
        <v>1423</v>
      </c>
      <c r="W28" s="1126">
        <f t="shared" si="14"/>
        <v>100</v>
      </c>
      <c r="X28" s="1130"/>
      <c r="Y28" s="3465"/>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0"/>
      <c r="Q29" s="651">
        <f t="shared" si="11"/>
        <v>111</v>
      </c>
      <c r="R29" s="1125" t="s">
        <v>1423</v>
      </c>
      <c r="S29" s="1126">
        <f t="shared" si="12"/>
        <v>100</v>
      </c>
      <c r="T29" s="1125" t="s">
        <v>1423</v>
      </c>
      <c r="U29" s="1126">
        <f t="shared" si="13"/>
        <v>100</v>
      </c>
      <c r="V29" s="1125" t="s">
        <v>1423</v>
      </c>
      <c r="W29" s="1126">
        <f t="shared" si="14"/>
        <v>100</v>
      </c>
      <c r="X29" s="1130"/>
      <c r="Y29" s="3465"/>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0"/>
      <c r="Q30" s="651">
        <f t="shared" si="11"/>
        <v>111</v>
      </c>
      <c r="R30" s="1125" t="s">
        <v>1423</v>
      </c>
      <c r="S30" s="1126">
        <f t="shared" si="12"/>
        <v>100</v>
      </c>
      <c r="T30" s="1125" t="s">
        <v>1423</v>
      </c>
      <c r="U30" s="1126">
        <f t="shared" si="13"/>
        <v>100</v>
      </c>
      <c r="V30" s="1125" t="s">
        <v>1423</v>
      </c>
      <c r="W30" s="1126">
        <f t="shared" si="14"/>
        <v>100</v>
      </c>
      <c r="X30" s="1130"/>
      <c r="Y30" s="3465"/>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0"/>
      <c r="Q31" s="651">
        <f t="shared" si="11"/>
        <v>111</v>
      </c>
      <c r="R31" s="1125" t="s">
        <v>1423</v>
      </c>
      <c r="S31" s="1126">
        <f t="shared" si="12"/>
        <v>100</v>
      </c>
      <c r="T31" s="1125" t="s">
        <v>1423</v>
      </c>
      <c r="U31" s="1126">
        <f t="shared" si="13"/>
        <v>100</v>
      </c>
      <c r="V31" s="1125" t="s">
        <v>1423</v>
      </c>
      <c r="W31" s="1126">
        <f t="shared" si="14"/>
        <v>100</v>
      </c>
      <c r="X31" s="1130"/>
      <c r="Y31" s="3465"/>
      <c r="Z31" s="1099">
        <f t="shared" si="18"/>
        <v>111</v>
      </c>
      <c r="AA31" s="1136">
        <f t="shared" si="15"/>
        <v>1</v>
      </c>
      <c r="AB31" s="1136">
        <f t="shared" si="16"/>
        <v>1</v>
      </c>
      <c r="AC31" s="1136">
        <f t="shared" si="17"/>
        <v>1</v>
      </c>
    </row>
    <row r="32" spans="1:29" ht="15">
      <c r="A32" s="958" t="s">
        <v>1442</v>
      </c>
      <c r="B32" s="940" t="s">
        <v>1443</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1" t="s">
        <v>1444</v>
      </c>
      <c r="Q32" s="651" t="str">
        <f t="shared" si="11"/>
        <v>建筑类型</v>
      </c>
      <c r="R32" s="1125" t="s">
        <v>1423</v>
      </c>
      <c r="S32" s="1126">
        <f t="shared" si="12"/>
        <v>100</v>
      </c>
      <c r="T32" s="1125" t="s">
        <v>1423</v>
      </c>
      <c r="U32" s="1126">
        <f t="shared" si="13"/>
        <v>100</v>
      </c>
      <c r="V32" s="1125" t="s">
        <v>1423</v>
      </c>
      <c r="W32" s="1126">
        <f t="shared" si="14"/>
        <v>100</v>
      </c>
      <c r="X32" s="1130"/>
      <c r="Y32" s="3466" t="s">
        <v>1444</v>
      </c>
      <c r="Z32" s="1099" t="str">
        <f t="shared" si="18"/>
        <v>建筑类型</v>
      </c>
      <c r="AA32" s="1136">
        <f t="shared" si="15"/>
        <v>1</v>
      </c>
      <c r="AB32" s="1136">
        <f t="shared" si="16"/>
        <v>1</v>
      </c>
      <c r="AC32" s="1136">
        <f t="shared" si="17"/>
        <v>1</v>
      </c>
    </row>
    <row r="33" spans="1:29" s="913" customFormat="1" ht="15">
      <c r="A33" s="992"/>
      <c r="B33" s="944" t="s">
        <v>1445</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62"/>
      <c r="Q33" s="1354" t="str">
        <f t="shared" si="11"/>
        <v>项目建筑规模</v>
      </c>
      <c r="R33" s="1127" t="s">
        <v>1423</v>
      </c>
      <c r="S33" s="1128" t="e">
        <f t="shared" si="12"/>
        <v>#N/A</v>
      </c>
      <c r="T33" s="1127" t="s">
        <v>1423</v>
      </c>
      <c r="U33" s="1128" t="e">
        <f t="shared" si="13"/>
        <v>#N/A</v>
      </c>
      <c r="V33" s="1127" t="s">
        <v>1423</v>
      </c>
      <c r="W33" s="1128" t="e">
        <f t="shared" si="14"/>
        <v>#N/A</v>
      </c>
      <c r="X33" s="1132"/>
      <c r="Y33" s="3466"/>
      <c r="Z33" s="1137" t="str">
        <f t="shared" si="18"/>
        <v>项目建筑规模</v>
      </c>
      <c r="AA33" s="1136" t="e">
        <f t="shared" si="15"/>
        <v>#N/A</v>
      </c>
      <c r="AB33" s="1136" t="e">
        <f t="shared" si="16"/>
        <v>#N/A</v>
      </c>
      <c r="AC33" s="1136" t="e">
        <f t="shared" si="17"/>
        <v>#N/A</v>
      </c>
    </row>
    <row r="34" spans="1:29" ht="15">
      <c r="A34" s="987"/>
      <c r="B34" s="944" t="s">
        <v>1446</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62"/>
      <c r="Q34" s="651" t="str">
        <f t="shared" si="11"/>
        <v>建筑结构</v>
      </c>
      <c r="R34" s="1125" t="s">
        <v>1423</v>
      </c>
      <c r="S34" s="1126">
        <f t="shared" si="12"/>
        <v>100</v>
      </c>
      <c r="T34" s="1125" t="s">
        <v>1423</v>
      </c>
      <c r="U34" s="1126">
        <f t="shared" si="13"/>
        <v>100</v>
      </c>
      <c r="V34" s="1125" t="s">
        <v>1423</v>
      </c>
      <c r="W34" s="1126">
        <f t="shared" si="14"/>
        <v>100</v>
      </c>
      <c r="X34" s="1130"/>
      <c r="Y34" s="3466"/>
      <c r="Z34" s="1099" t="str">
        <f t="shared" si="18"/>
        <v>建筑结构</v>
      </c>
      <c r="AA34" s="1136">
        <f t="shared" si="15"/>
        <v>1</v>
      </c>
      <c r="AB34" s="1136">
        <f t="shared" si="16"/>
        <v>1</v>
      </c>
      <c r="AC34" s="1136">
        <f t="shared" si="17"/>
        <v>1</v>
      </c>
    </row>
    <row r="35" spans="1:29" ht="15">
      <c r="A35" s="987"/>
      <c r="B35" s="944" t="s">
        <v>1447</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62"/>
      <c r="Q35" s="651" t="str">
        <f t="shared" si="11"/>
        <v>建筑品质</v>
      </c>
      <c r="R35" s="1125" t="s">
        <v>1423</v>
      </c>
      <c r="S35" s="1126">
        <f t="shared" si="12"/>
        <v>100</v>
      </c>
      <c r="T35" s="1125" t="s">
        <v>1423</v>
      </c>
      <c r="U35" s="1126">
        <f t="shared" si="13"/>
        <v>100</v>
      </c>
      <c r="V35" s="1125" t="s">
        <v>1423</v>
      </c>
      <c r="W35" s="1126">
        <f t="shared" si="14"/>
        <v>100</v>
      </c>
      <c r="X35" s="1130"/>
      <c r="Y35" s="3466"/>
      <c r="Z35" s="1099" t="str">
        <f t="shared" si="18"/>
        <v>建筑品质</v>
      </c>
      <c r="AA35" s="1136">
        <f t="shared" si="15"/>
        <v>1</v>
      </c>
      <c r="AB35" s="1136">
        <f t="shared" si="16"/>
        <v>1</v>
      </c>
      <c r="AC35" s="1136">
        <f t="shared" si="17"/>
        <v>1</v>
      </c>
    </row>
    <row r="36" spans="1:29" ht="15">
      <c r="A36" s="987"/>
      <c r="B36" s="944" t="s">
        <v>1448</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62"/>
      <c r="Q36" s="651" t="str">
        <f t="shared" si="11"/>
        <v>公共部分装修</v>
      </c>
      <c r="R36" s="1125" t="s">
        <v>1423</v>
      </c>
      <c r="S36" s="1126">
        <f t="shared" si="12"/>
        <v>100</v>
      </c>
      <c r="T36" s="1125" t="s">
        <v>1423</v>
      </c>
      <c r="U36" s="1126">
        <f t="shared" si="13"/>
        <v>100</v>
      </c>
      <c r="V36" s="1125" t="s">
        <v>1423</v>
      </c>
      <c r="W36" s="1126">
        <f t="shared" si="14"/>
        <v>100</v>
      </c>
      <c r="X36" s="1130"/>
      <c r="Y36" s="3466"/>
      <c r="Z36" s="1099" t="str">
        <f t="shared" si="18"/>
        <v>公共部分装修</v>
      </c>
      <c r="AA36" s="1136">
        <f t="shared" si="15"/>
        <v>1</v>
      </c>
      <c r="AB36" s="1136">
        <f t="shared" si="16"/>
        <v>1</v>
      </c>
      <c r="AC36" s="1136">
        <f t="shared" si="17"/>
        <v>1</v>
      </c>
    </row>
    <row r="37" spans="1:29" s="911" customFormat="1" ht="15">
      <c r="A37" s="989"/>
      <c r="B37" s="944" t="s">
        <v>573</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62"/>
      <c r="Q37" s="1124" t="str">
        <f t="shared" si="11"/>
        <v>成新度</v>
      </c>
      <c r="R37" s="1121" t="s">
        <v>1423</v>
      </c>
      <c r="S37" s="1122" t="e">
        <f t="shared" si="12"/>
        <v>#N/A</v>
      </c>
      <c r="T37" s="1121" t="s">
        <v>1423</v>
      </c>
      <c r="U37" s="1122" t="e">
        <f t="shared" si="13"/>
        <v>#N/A</v>
      </c>
      <c r="V37" s="1121" t="s">
        <v>1423</v>
      </c>
      <c r="W37" s="1122" t="e">
        <f t="shared" si="14"/>
        <v>#N/A</v>
      </c>
      <c r="X37" s="1131"/>
      <c r="Y37" s="3466"/>
      <c r="Z37" s="1135" t="str">
        <f t="shared" si="18"/>
        <v>成新度</v>
      </c>
      <c r="AA37" s="1134" t="e">
        <f t="shared" si="15"/>
        <v>#N/A</v>
      </c>
      <c r="AB37" s="1134" t="e">
        <f t="shared" si="16"/>
        <v>#N/A</v>
      </c>
      <c r="AC37" s="1134" t="e">
        <f t="shared" si="17"/>
        <v>#N/A</v>
      </c>
    </row>
    <row r="38" spans="1:29" ht="15">
      <c r="A38" s="987"/>
      <c r="B38" s="944" t="s">
        <v>1449</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62" t="s">
        <v>1444</v>
      </c>
      <c r="Q38" s="651" t="str">
        <f t="shared" si="11"/>
        <v>物业管理</v>
      </c>
      <c r="R38" s="1125" t="s">
        <v>1423</v>
      </c>
      <c r="S38" s="1126">
        <f t="shared" si="12"/>
        <v>100</v>
      </c>
      <c r="T38" s="1125" t="s">
        <v>1423</v>
      </c>
      <c r="U38" s="1126">
        <f t="shared" si="13"/>
        <v>100</v>
      </c>
      <c r="V38" s="1125" t="s">
        <v>1423</v>
      </c>
      <c r="W38" s="1126">
        <f t="shared" si="14"/>
        <v>100</v>
      </c>
      <c r="X38" s="1130"/>
      <c r="Y38" s="3466" t="s">
        <v>1444</v>
      </c>
      <c r="Z38" s="1099" t="str">
        <f t="shared" si="18"/>
        <v>物业管理</v>
      </c>
      <c r="AA38" s="1136">
        <f t="shared" si="15"/>
        <v>1</v>
      </c>
      <c r="AB38" s="1136">
        <f t="shared" si="16"/>
        <v>1</v>
      </c>
      <c r="AC38" s="1136">
        <f t="shared" si="17"/>
        <v>1</v>
      </c>
    </row>
    <row r="39" spans="1:29" ht="15">
      <c r="A39" s="987"/>
      <c r="B39" s="944" t="s">
        <v>1450</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62"/>
      <c r="Q39" s="651" t="str">
        <f t="shared" si="11"/>
        <v>市政基础设施</v>
      </c>
      <c r="R39" s="1125" t="s">
        <v>1423</v>
      </c>
      <c r="S39" s="1126">
        <f t="shared" si="12"/>
        <v>100</v>
      </c>
      <c r="T39" s="1125" t="s">
        <v>1423</v>
      </c>
      <c r="U39" s="1126">
        <f t="shared" si="13"/>
        <v>100</v>
      </c>
      <c r="V39" s="1125" t="s">
        <v>1423</v>
      </c>
      <c r="W39" s="1126">
        <f t="shared" si="14"/>
        <v>100</v>
      </c>
      <c r="X39" s="1130"/>
      <c r="Y39" s="3466"/>
      <c r="Z39" s="1099" t="str">
        <f t="shared" si="18"/>
        <v>市政基础设施</v>
      </c>
      <c r="AA39" s="1136">
        <f t="shared" si="15"/>
        <v>1</v>
      </c>
      <c r="AB39" s="1136">
        <f t="shared" si="16"/>
        <v>1</v>
      </c>
      <c r="AC39" s="1136">
        <f t="shared" si="17"/>
        <v>1</v>
      </c>
    </row>
    <row r="40" spans="1:29" ht="15">
      <c r="A40" s="987"/>
      <c r="B40" s="944" t="s">
        <v>1451</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62"/>
      <c r="Q40" s="651" t="str">
        <f t="shared" si="11"/>
        <v>房型</v>
      </c>
      <c r="R40" s="1125" t="s">
        <v>1423</v>
      </c>
      <c r="S40" s="1126">
        <f t="shared" si="12"/>
        <v>100</v>
      </c>
      <c r="T40" s="1125" t="s">
        <v>1423</v>
      </c>
      <c r="U40" s="1126">
        <f t="shared" si="13"/>
        <v>100</v>
      </c>
      <c r="V40" s="1125" t="s">
        <v>1423</v>
      </c>
      <c r="W40" s="1126">
        <f t="shared" si="14"/>
        <v>100</v>
      </c>
      <c r="X40" s="1130"/>
      <c r="Y40" s="3466"/>
      <c r="Z40" s="1099" t="str">
        <f t="shared" si="18"/>
        <v>房型</v>
      </c>
      <c r="AA40" s="1136">
        <f t="shared" si="15"/>
        <v>1</v>
      </c>
      <c r="AB40" s="1136">
        <f t="shared" si="16"/>
        <v>1</v>
      </c>
      <c r="AC40" s="1136">
        <f t="shared" si="17"/>
        <v>1</v>
      </c>
    </row>
    <row r="41" spans="1:29" s="913" customFormat="1" ht="28.5">
      <c r="A41" s="992"/>
      <c r="B41" s="944" t="s">
        <v>1452</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62"/>
      <c r="Q41" s="1354" t="str">
        <f t="shared" si="11"/>
        <v>单套/主力户型建筑面积</v>
      </c>
      <c r="R41" s="1127" t="s">
        <v>1423</v>
      </c>
      <c r="S41" s="1128">
        <f t="shared" si="12"/>
        <v>100</v>
      </c>
      <c r="T41" s="1127" t="s">
        <v>1423</v>
      </c>
      <c r="U41" s="1128">
        <f t="shared" si="13"/>
        <v>100</v>
      </c>
      <c r="V41" s="1127" t="s">
        <v>1423</v>
      </c>
      <c r="W41" s="1128">
        <f t="shared" si="14"/>
        <v>100</v>
      </c>
      <c r="X41" s="1132"/>
      <c r="Y41" s="3466"/>
      <c r="Z41" s="1137" t="str">
        <f t="shared" si="18"/>
        <v>单套/主力户型建筑面积</v>
      </c>
      <c r="AA41" s="1136">
        <f t="shared" si="15"/>
        <v>1</v>
      </c>
      <c r="AB41" s="1136">
        <f t="shared" si="16"/>
        <v>1</v>
      </c>
      <c r="AC41" s="1136">
        <f t="shared" si="17"/>
        <v>1</v>
      </c>
    </row>
    <row r="42" spans="1:29" ht="15">
      <c r="A42" s="987"/>
      <c r="B42" s="944" t="s">
        <v>1453</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62"/>
      <c r="Q42" s="651" t="str">
        <f t="shared" si="11"/>
        <v>内部装修</v>
      </c>
      <c r="R42" s="1125" t="s">
        <v>1423</v>
      </c>
      <c r="S42" s="1126">
        <f t="shared" si="12"/>
        <v>100</v>
      </c>
      <c r="T42" s="1125" t="s">
        <v>1423</v>
      </c>
      <c r="U42" s="1126">
        <f t="shared" si="13"/>
        <v>100</v>
      </c>
      <c r="V42" s="1125" t="s">
        <v>1423</v>
      </c>
      <c r="W42" s="1126">
        <f t="shared" si="14"/>
        <v>100</v>
      </c>
      <c r="X42" s="1130"/>
      <c r="Y42" s="3466"/>
      <c r="Z42" s="1099" t="str">
        <f t="shared" si="18"/>
        <v>内部装修</v>
      </c>
      <c r="AA42" s="1136">
        <f t="shared" si="15"/>
        <v>1</v>
      </c>
      <c r="AB42" s="1136">
        <f t="shared" si="16"/>
        <v>1</v>
      </c>
      <c r="AC42" s="1136">
        <f t="shared" si="17"/>
        <v>1</v>
      </c>
    </row>
    <row r="43" spans="1:29" ht="15">
      <c r="A43" s="987"/>
      <c r="B43" s="944" t="s">
        <v>1454</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62"/>
      <c r="Q43" s="651" t="str">
        <f t="shared" si="11"/>
        <v>内部装修维护情况</v>
      </c>
      <c r="R43" s="1125" t="s">
        <v>1423</v>
      </c>
      <c r="S43" s="1126">
        <f t="shared" si="12"/>
        <v>100</v>
      </c>
      <c r="T43" s="1125" t="s">
        <v>1423</v>
      </c>
      <c r="U43" s="1126">
        <f t="shared" si="13"/>
        <v>100</v>
      </c>
      <c r="V43" s="1125" t="s">
        <v>1423</v>
      </c>
      <c r="W43" s="1126">
        <f t="shared" si="14"/>
        <v>100</v>
      </c>
      <c r="X43" s="1130"/>
      <c r="Y43" s="3466"/>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62"/>
      <c r="Q44" s="1124">
        <f t="shared" si="11"/>
        <v>111</v>
      </c>
      <c r="R44" s="1121" t="s">
        <v>1423</v>
      </c>
      <c r="S44" s="1122">
        <f t="shared" si="12"/>
        <v>100</v>
      </c>
      <c r="T44" s="1121" t="s">
        <v>1423</v>
      </c>
      <c r="U44" s="1122">
        <f t="shared" si="13"/>
        <v>100</v>
      </c>
      <c r="V44" s="1121" t="s">
        <v>1423</v>
      </c>
      <c r="W44" s="1122">
        <f t="shared" si="14"/>
        <v>100</v>
      </c>
      <c r="X44" s="1131"/>
      <c r="Y44" s="3466"/>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62"/>
      <c r="Q45" s="651">
        <f t="shared" si="11"/>
        <v>111</v>
      </c>
      <c r="R45" s="1125" t="s">
        <v>1423</v>
      </c>
      <c r="S45" s="1126">
        <f t="shared" si="12"/>
        <v>100</v>
      </c>
      <c r="T45" s="1125" t="s">
        <v>1423</v>
      </c>
      <c r="U45" s="1126">
        <f t="shared" si="13"/>
        <v>100</v>
      </c>
      <c r="V45" s="1125" t="s">
        <v>1423</v>
      </c>
      <c r="W45" s="1126">
        <f t="shared" si="14"/>
        <v>100</v>
      </c>
      <c r="X45" s="1130"/>
      <c r="Y45" s="3466"/>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63"/>
      <c r="Q46" s="651">
        <f t="shared" si="11"/>
        <v>111</v>
      </c>
      <c r="R46" s="1125" t="s">
        <v>1423</v>
      </c>
      <c r="S46" s="1126">
        <f t="shared" si="12"/>
        <v>100</v>
      </c>
      <c r="T46" s="1125" t="s">
        <v>1423</v>
      </c>
      <c r="U46" s="1126">
        <f t="shared" si="13"/>
        <v>100</v>
      </c>
      <c r="V46" s="1125" t="s">
        <v>1423</v>
      </c>
      <c r="W46" s="1126">
        <f t="shared" si="14"/>
        <v>100</v>
      </c>
      <c r="X46" s="1130"/>
      <c r="Y46" s="3467"/>
      <c r="Z46" s="1099">
        <f t="shared" si="18"/>
        <v>111</v>
      </c>
      <c r="AA46" s="1136">
        <f t="shared" si="15"/>
        <v>1</v>
      </c>
      <c r="AB46" s="1136">
        <f t="shared" si="16"/>
        <v>1</v>
      </c>
      <c r="AC46" s="1136">
        <f t="shared" si="17"/>
        <v>1</v>
      </c>
    </row>
    <row r="47" spans="1:29" ht="15">
      <c r="A47" s="994" t="s">
        <v>1455</v>
      </c>
      <c r="B47" s="1310"/>
      <c r="C47" s="1311" t="s">
        <v>124</v>
      </c>
      <c r="D47" s="1312"/>
      <c r="E47" s="1342"/>
      <c r="F47" s="1343"/>
      <c r="G47" s="1344"/>
      <c r="H47" s="1345"/>
      <c r="I47" s="1342"/>
      <c r="J47" s="1345"/>
      <c r="K47" s="1531"/>
      <c r="L47" s="1092"/>
      <c r="M47" s="1005"/>
      <c r="N47" s="1110"/>
      <c r="O47" s="1005"/>
      <c r="P47" s="3456" t="str">
        <f>A47</f>
        <v>成交单价（元/平方米）</v>
      </c>
      <c r="Q47" s="3456"/>
      <c r="R47" s="3457">
        <f>E47</f>
        <v>0</v>
      </c>
      <c r="S47" s="3457"/>
      <c r="T47" s="3457">
        <f>G47</f>
        <v>0</v>
      </c>
      <c r="U47" s="3457"/>
      <c r="V47" s="3457">
        <f>I47</f>
        <v>0</v>
      </c>
      <c r="W47" s="3457"/>
      <c r="X47" s="1028"/>
      <c r="Y47" s="1138"/>
      <c r="Z47" s="1028"/>
      <c r="AA47" s="1028"/>
      <c r="AB47" s="1028"/>
      <c r="AC47" s="1028"/>
    </row>
    <row r="48" spans="1:29" ht="15">
      <c r="A48" s="998" t="s">
        <v>1456</v>
      </c>
      <c r="B48" s="1313"/>
      <c r="C48" s="1314" t="e">
        <f>R49</f>
        <v>#DIV/0!</v>
      </c>
      <c r="D48" s="1001" t="s">
        <v>1457</v>
      </c>
      <c r="E48" s="1346" t="e">
        <f>R48</f>
        <v>#DIV/0!</v>
      </c>
      <c r="F48" s="1050"/>
      <c r="G48" s="1314" t="e">
        <f>T48</f>
        <v>#DIV/0!</v>
      </c>
      <c r="H48" s="1050"/>
      <c r="I48" s="1346" t="e">
        <f>V48</f>
        <v>#DIV/0!</v>
      </c>
      <c r="J48" s="1050"/>
      <c r="K48" s="1532">
        <f>F48+H48+J48</f>
        <v>0</v>
      </c>
      <c r="L48" s="1092"/>
      <c r="M48" s="1005"/>
      <c r="N48" s="1005"/>
      <c r="O48" s="1005"/>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28"/>
      <c r="Y48" s="1028"/>
      <c r="Z48" s="1028"/>
      <c r="AA48" s="1028"/>
      <c r="AB48" s="1028"/>
      <c r="AC48" s="1028"/>
    </row>
    <row r="49" spans="1:29" ht="15">
      <c r="A49" s="1002" t="s">
        <v>1458</v>
      </c>
      <c r="B49" s="1003"/>
      <c r="C49" s="1512" t="e">
        <f>R49</f>
        <v>#DIV/0!</v>
      </c>
      <c r="D49" s="1315"/>
      <c r="E49" s="1315"/>
      <c r="F49" s="1315"/>
      <c r="G49" s="1315"/>
      <c r="H49" s="1315"/>
      <c r="I49" s="1315"/>
      <c r="J49" s="1315"/>
      <c r="K49" s="1533"/>
      <c r="L49" s="1092"/>
      <c r="M49" s="1005"/>
      <c r="N49" s="1005"/>
      <c r="O49" s="1005"/>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
      <c r="A57" s="1027" t="s">
        <v>1462</v>
      </c>
      <c r="B57" s="1028"/>
      <c r="C57" s="1029"/>
      <c r="D57" s="1029"/>
      <c r="E57" s="1029"/>
      <c r="F57" s="1069"/>
      <c r="G57" s="1069"/>
      <c r="H57" s="1029"/>
      <c r="I57" s="1029"/>
      <c r="J57" s="1029"/>
      <c r="K57" s="1285"/>
      <c r="L57" s="1286"/>
      <c r="M57" s="1119"/>
      <c r="N57" s="1119"/>
      <c r="O57" s="1119"/>
      <c r="P57" s="1538"/>
      <c r="Q57" s="1449"/>
    </row>
    <row r="58" spans="1:29" s="916" customFormat="1" ht="15">
      <c r="A58" s="1317" t="s">
        <v>1421</v>
      </c>
      <c r="B58" s="1318"/>
      <c r="C58" s="1513" t="str">
        <f>YEAR(C7)&amp;"-"&amp;MONTH(C7)</f>
        <v>2022-9</v>
      </c>
      <c r="D58" s="1320">
        <f>EDATE(C58,-1)</f>
        <v>44774</v>
      </c>
      <c r="E58" s="1320">
        <f>EDATE(D58,-1)</f>
        <v>44743</v>
      </c>
      <c r="F58" s="1320">
        <f t="shared" ref="F58:O58" si="19">EDATE(E58,-1)</f>
        <v>44713</v>
      </c>
      <c r="G58" s="1320">
        <f t="shared" si="19"/>
        <v>44682</v>
      </c>
      <c r="H58" s="1320">
        <f t="shared" si="19"/>
        <v>44652</v>
      </c>
      <c r="I58" s="1320">
        <f t="shared" si="19"/>
        <v>44621</v>
      </c>
      <c r="J58" s="1320">
        <f t="shared" si="19"/>
        <v>44593</v>
      </c>
      <c r="K58" s="1320">
        <f t="shared" si="19"/>
        <v>44562</v>
      </c>
      <c r="L58" s="1320">
        <f t="shared" si="19"/>
        <v>44531</v>
      </c>
      <c r="M58" s="1320">
        <f t="shared" si="19"/>
        <v>44501</v>
      </c>
      <c r="N58" s="1320">
        <f t="shared" si="19"/>
        <v>44470</v>
      </c>
      <c r="O58" s="1320">
        <f t="shared" si="19"/>
        <v>44440</v>
      </c>
      <c r="P58" s="1539"/>
    </row>
    <row r="59" spans="1:29" s="911" customFormat="1" ht="15">
      <c r="A59" s="1321"/>
      <c r="B59" s="1514"/>
      <c r="C59" s="1322">
        <v>100</v>
      </c>
      <c r="D59" s="1474"/>
      <c r="E59" s="1156"/>
      <c r="F59" s="1156"/>
      <c r="G59" s="1156"/>
      <c r="H59" s="1156"/>
      <c r="I59" s="1156"/>
      <c r="J59" s="1156"/>
      <c r="K59" s="1156"/>
      <c r="L59" s="1156"/>
      <c r="M59" s="1353"/>
      <c r="N59" s="1156"/>
      <c r="O59" s="1353"/>
      <c r="P59" s="1540"/>
    </row>
    <row r="60" spans="1:29" s="911" customFormat="1" ht="15">
      <c r="A60" s="1147" t="s">
        <v>1463</v>
      </c>
      <c r="B60" s="1148"/>
      <c r="C60" s="1149"/>
      <c r="D60" s="1150"/>
      <c r="E60" s="1150"/>
      <c r="F60" s="1150"/>
      <c r="G60" s="1150"/>
      <c r="H60" s="1150"/>
      <c r="I60" s="1150"/>
      <c r="J60" s="1150"/>
      <c r="K60" s="1150"/>
      <c r="L60" s="1150"/>
      <c r="M60" s="1218"/>
      <c r="N60" s="1150"/>
      <c r="O60" s="1218"/>
      <c r="P60" s="1540"/>
      <c r="Q60" s="1449"/>
    </row>
    <row r="61" spans="1:29" s="911" customFormat="1" ht="15">
      <c r="A61" s="1151" t="s">
        <v>1424</v>
      </c>
      <c r="B61" s="1152"/>
      <c r="C61" s="1153" t="s">
        <v>1425</v>
      </c>
      <c r="D61" s="1154"/>
      <c r="E61" s="1154"/>
      <c r="F61" s="1154"/>
      <c r="G61" s="1154"/>
      <c r="H61" s="1154"/>
      <c r="I61" s="1154"/>
      <c r="J61" s="1154"/>
      <c r="K61" s="1154"/>
      <c r="L61" s="1195"/>
      <c r="M61" s="1220"/>
      <c r="N61" s="1452"/>
      <c r="O61" s="1452"/>
      <c r="P61" s="1541"/>
      <c r="Q61" s="1449"/>
    </row>
    <row r="62" spans="1:29" s="911" customFormat="1" ht="15">
      <c r="A62" s="1151"/>
      <c r="B62" s="1152"/>
      <c r="C62" s="1474">
        <v>100</v>
      </c>
      <c r="D62" s="1156"/>
      <c r="E62" s="1156"/>
      <c r="F62" s="1156"/>
      <c r="G62" s="1156"/>
      <c r="H62" s="1156"/>
      <c r="I62" s="1156"/>
      <c r="J62" s="1156"/>
      <c r="K62" s="1156"/>
      <c r="L62" s="1156"/>
      <c r="M62" s="1223"/>
      <c r="N62" s="1452"/>
      <c r="O62" s="1452"/>
      <c r="P62" s="1540"/>
      <c r="Q62" s="1449"/>
    </row>
    <row r="63" spans="1:29">
      <c r="A63" s="1157" t="s">
        <v>1464</v>
      </c>
      <c r="B63" s="1158" t="s">
        <v>1428</v>
      </c>
      <c r="C63" s="1183">
        <f>C9</f>
        <v>0</v>
      </c>
      <c r="D63" s="1089"/>
      <c r="E63" s="1089"/>
      <c r="F63" s="1089"/>
      <c r="G63" s="1089"/>
      <c r="H63" s="1089"/>
      <c r="I63" s="1089"/>
      <c r="J63" s="1089"/>
      <c r="K63" s="1196"/>
      <c r="L63" s="1197"/>
      <c r="M63" s="1224"/>
      <c r="N63" s="1454"/>
      <c r="O63" s="1454"/>
      <c r="P63" s="1542"/>
      <c r="Q63" s="1449"/>
    </row>
    <row r="64" spans="1:29" ht="15">
      <c r="A64" s="1159"/>
      <c r="B64" s="1160"/>
      <c r="C64" s="1161">
        <v>100</v>
      </c>
      <c r="D64" s="1161"/>
      <c r="E64" s="1161"/>
      <c r="F64" s="1161"/>
      <c r="G64" s="1161"/>
      <c r="H64" s="1161"/>
      <c r="I64" s="1161"/>
      <c r="J64" s="1161"/>
      <c r="K64" s="1161"/>
      <c r="L64" s="1161"/>
      <c r="M64" s="1227"/>
      <c r="N64" s="1456"/>
      <c r="O64" s="1456"/>
      <c r="P64" s="1542"/>
      <c r="Q64" s="1449"/>
    </row>
    <row r="65" spans="1:17" ht="27">
      <c r="A65" s="1159"/>
      <c r="B65" s="1162" t="s">
        <v>1431</v>
      </c>
      <c r="C65" s="1163" t="s">
        <v>1465</v>
      </c>
      <c r="D65" s="1163" t="s">
        <v>1466</v>
      </c>
      <c r="E65" s="1163" t="s">
        <v>1467</v>
      </c>
      <c r="F65" s="1163" t="s">
        <v>1468</v>
      </c>
      <c r="G65" s="1163" t="s">
        <v>1469</v>
      </c>
      <c r="H65" s="1163" t="s">
        <v>1470</v>
      </c>
      <c r="I65" s="1163" t="s">
        <v>1471</v>
      </c>
      <c r="J65" s="1163"/>
      <c r="K65" s="1198"/>
      <c r="L65" s="1199"/>
      <c r="M65" s="1229"/>
      <c r="N65" s="1454"/>
      <c r="O65" s="1454"/>
      <c r="P65" s="1542"/>
      <c r="Q65" s="1449"/>
    </row>
    <row r="66" spans="1:17" ht="15">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5">
      <c r="A67" s="1159"/>
      <c r="B67" s="1166" t="s">
        <v>1432</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ht="15">
      <c r="A68" s="1159"/>
      <c r="B68" s="1168"/>
      <c r="C68" s="1036"/>
      <c r="D68" s="1036"/>
      <c r="E68" s="1036"/>
      <c r="F68" s="1036"/>
      <c r="G68" s="1036"/>
      <c r="H68" s="1036"/>
      <c r="I68" s="1036"/>
      <c r="J68" s="1036"/>
      <c r="K68" s="1200"/>
      <c r="L68" s="1201"/>
      <c r="M68" s="1231"/>
      <c r="N68" s="1454"/>
      <c r="O68" s="1454"/>
      <c r="P68" s="1542"/>
      <c r="Q68" s="1449"/>
    </row>
    <row r="69" spans="1:17" ht="15">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ht="15">
      <c r="A70" s="1169"/>
      <c r="B70" s="1162">
        <f>B12</f>
        <v>111</v>
      </c>
      <c r="C70" s="1170"/>
      <c r="D70" s="1170"/>
      <c r="E70" s="1170"/>
      <c r="F70" s="1170"/>
      <c r="G70" s="1170"/>
      <c r="H70" s="1187"/>
      <c r="I70" s="1187"/>
      <c r="J70" s="1187"/>
      <c r="K70" s="1187"/>
      <c r="L70" s="1202"/>
      <c r="M70" s="1232"/>
      <c r="N70" s="1457"/>
      <c r="O70" s="1457"/>
      <c r="P70" s="1548"/>
      <c r="Q70" s="1459"/>
    </row>
    <row r="71" spans="1:17" s="913" customFormat="1" ht="15">
      <c r="A71" s="1169"/>
      <c r="B71" s="1164"/>
      <c r="C71" s="1171"/>
      <c r="D71" s="1161"/>
      <c r="E71" s="1161"/>
      <c r="F71" s="1161"/>
      <c r="G71" s="1161"/>
      <c r="H71" s="1161"/>
      <c r="I71" s="1161"/>
      <c r="J71" s="1161"/>
      <c r="K71" s="1161"/>
      <c r="L71" s="1161"/>
      <c r="M71" s="1227"/>
      <c r="N71" s="1456"/>
      <c r="O71" s="1456"/>
      <c r="P71" s="1548"/>
      <c r="Q71" s="1459"/>
    </row>
    <row r="72" spans="1:17" s="913" customFormat="1" ht="15">
      <c r="A72" s="1169"/>
      <c r="B72" s="1162">
        <f>B13</f>
        <v>111</v>
      </c>
      <c r="C72" s="1170"/>
      <c r="D72" s="1170"/>
      <c r="E72" s="1170"/>
      <c r="F72" s="1170"/>
      <c r="G72" s="1170"/>
      <c r="H72" s="1187"/>
      <c r="I72" s="1187"/>
      <c r="J72" s="1187"/>
      <c r="K72" s="1187"/>
      <c r="L72" s="1202"/>
      <c r="M72" s="1232"/>
      <c r="N72" s="1457"/>
      <c r="O72" s="1457"/>
      <c r="P72" s="1549"/>
      <c r="Q72" s="1465"/>
    </row>
    <row r="73" spans="1:17" s="913" customFormat="1" ht="15">
      <c r="A73" s="1169"/>
      <c r="B73" s="1164"/>
      <c r="C73" s="1171"/>
      <c r="D73" s="1171"/>
      <c r="E73" s="1171"/>
      <c r="F73" s="1171"/>
      <c r="G73" s="1171"/>
      <c r="H73" s="1188"/>
      <c r="I73" s="1188"/>
      <c r="J73" s="1188"/>
      <c r="K73" s="1188"/>
      <c r="L73" s="1188"/>
      <c r="M73" s="1235"/>
      <c r="N73" s="1457"/>
      <c r="O73" s="1457"/>
      <c r="P73" s="1548"/>
      <c r="Q73" s="1459"/>
    </row>
    <row r="74" spans="1:17" s="913" customFormat="1" ht="15">
      <c r="A74" s="1169"/>
      <c r="B74" s="1166">
        <f>B14</f>
        <v>111</v>
      </c>
      <c r="C74" s="1170"/>
      <c r="D74" s="1170"/>
      <c r="E74" s="1170"/>
      <c r="F74" s="1170"/>
      <c r="G74" s="1154"/>
      <c r="H74" s="1189"/>
      <c r="I74" s="1189"/>
      <c r="J74" s="1189"/>
      <c r="K74" s="1189"/>
      <c r="L74" s="1203"/>
      <c r="M74" s="1236"/>
      <c r="N74" s="1457"/>
      <c r="O74" s="1457"/>
      <c r="P74" s="1550"/>
      <c r="Q74" s="1459"/>
    </row>
    <row r="75" spans="1:17" s="913" customFormat="1" ht="15">
      <c r="A75" s="1172"/>
      <c r="B75" s="1173"/>
      <c r="C75" s="1174"/>
      <c r="D75" s="1174"/>
      <c r="E75" s="1174"/>
      <c r="F75" s="1174"/>
      <c r="G75" s="1174"/>
      <c r="H75" s="1190"/>
      <c r="I75" s="1190"/>
      <c r="J75" s="1190"/>
      <c r="K75" s="1190"/>
      <c r="L75" s="1190"/>
      <c r="M75" s="1238"/>
      <c r="N75" s="1457"/>
      <c r="O75" s="1457"/>
      <c r="P75" s="1548"/>
      <c r="Q75" s="1459"/>
    </row>
    <row r="76" spans="1:17">
      <c r="A76" s="1157" t="s">
        <v>1433</v>
      </c>
      <c r="B76" s="1158" t="s">
        <v>1434</v>
      </c>
      <c r="C76" s="1175" t="s">
        <v>1472</v>
      </c>
      <c r="D76" s="1175" t="s">
        <v>1473</v>
      </c>
      <c r="E76" s="1175" t="s">
        <v>1474</v>
      </c>
      <c r="F76" s="1175" t="s">
        <v>1475</v>
      </c>
      <c r="G76" s="1175" t="s">
        <v>1476</v>
      </c>
      <c r="H76" s="1183"/>
      <c r="I76" s="1183"/>
      <c r="J76" s="1183"/>
      <c r="K76" s="1204"/>
      <c r="L76" s="1205"/>
      <c r="M76" s="1239"/>
      <c r="N76" s="1454"/>
      <c r="O76" s="1454"/>
      <c r="P76" s="1551"/>
      <c r="Q76" s="1449"/>
    </row>
    <row r="77" spans="1:17" ht="15">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5">
      <c r="A78" s="1159"/>
      <c r="B78" s="1162" t="s">
        <v>1436</v>
      </c>
      <c r="C78" s="1176" t="s">
        <v>1472</v>
      </c>
      <c r="D78" s="1176" t="s">
        <v>1473</v>
      </c>
      <c r="E78" s="1176" t="s">
        <v>1474</v>
      </c>
      <c r="F78" s="1176" t="s">
        <v>1475</v>
      </c>
      <c r="G78" s="1176" t="s">
        <v>1476</v>
      </c>
      <c r="H78" s="1163"/>
      <c r="I78" s="1163"/>
      <c r="J78" s="1163"/>
      <c r="K78" s="1198"/>
      <c r="L78" s="1199"/>
      <c r="M78" s="1229"/>
      <c r="N78" s="1454"/>
      <c r="O78" s="1454"/>
      <c r="P78" s="1542"/>
      <c r="Q78" s="1449"/>
    </row>
    <row r="79" spans="1:17" ht="15">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5">
      <c r="A80" s="1159"/>
      <c r="B80" s="1162" t="s">
        <v>1437</v>
      </c>
      <c r="C80" s="1176" t="s">
        <v>1472</v>
      </c>
      <c r="D80" s="1176" t="s">
        <v>1473</v>
      </c>
      <c r="E80" s="1176" t="s">
        <v>1474</v>
      </c>
      <c r="F80" s="1176" t="s">
        <v>1475</v>
      </c>
      <c r="G80" s="1176" t="s">
        <v>1476</v>
      </c>
      <c r="H80" s="1163"/>
      <c r="I80" s="1163"/>
      <c r="J80" s="1163"/>
      <c r="K80" s="1198"/>
      <c r="L80" s="1199"/>
      <c r="M80" s="1229"/>
      <c r="N80" s="1454"/>
      <c r="O80" s="1454"/>
      <c r="P80" s="1542"/>
      <c r="Q80" s="1449"/>
    </row>
    <row r="81" spans="1:17" ht="15">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5">
      <c r="A82" s="1159"/>
      <c r="B82" s="1166" t="s">
        <v>1438</v>
      </c>
      <c r="C82" s="1163" t="s">
        <v>1477</v>
      </c>
      <c r="D82" s="1163" t="s">
        <v>1478</v>
      </c>
      <c r="E82" s="1163" t="s">
        <v>1479</v>
      </c>
      <c r="F82" s="1163" t="s">
        <v>1480</v>
      </c>
      <c r="G82" s="1163" t="s">
        <v>1481</v>
      </c>
      <c r="H82" s="1163"/>
      <c r="I82" s="1163"/>
      <c r="J82" s="1163"/>
      <c r="K82" s="1163"/>
      <c r="L82" s="1163"/>
      <c r="M82" s="1363"/>
      <c r="N82" s="1456"/>
      <c r="O82" s="1456"/>
      <c r="P82" s="1542"/>
      <c r="Q82" s="1449"/>
    </row>
    <row r="83" spans="1:17" ht="15">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5">
      <c r="A84" s="1159"/>
      <c r="B84" s="1162" t="s">
        <v>1439</v>
      </c>
      <c r="C84" s="1176" t="s">
        <v>1472</v>
      </c>
      <c r="D84" s="1176" t="s">
        <v>1473</v>
      </c>
      <c r="E84" s="1176" t="s">
        <v>1474</v>
      </c>
      <c r="F84" s="1176" t="s">
        <v>1475</v>
      </c>
      <c r="G84" s="1176" t="s">
        <v>1476</v>
      </c>
      <c r="H84" s="1163"/>
      <c r="I84" s="1163"/>
      <c r="J84" s="1163"/>
      <c r="K84" s="1198"/>
      <c r="L84" s="1199"/>
      <c r="M84" s="1229"/>
      <c r="N84" s="1454"/>
      <c r="O84" s="1454"/>
      <c r="P84" s="1542"/>
      <c r="Q84" s="1449"/>
    </row>
    <row r="85" spans="1:17" ht="15">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5">
      <c r="A86" s="1177"/>
      <c r="B86" s="1162" t="s">
        <v>1440</v>
      </c>
      <c r="C86" s="1170"/>
      <c r="D86" s="1170"/>
      <c r="E86" s="1170"/>
      <c r="F86" s="1170"/>
      <c r="G86" s="1170"/>
      <c r="H86" s="1170"/>
      <c r="I86" s="1170"/>
      <c r="J86" s="1170"/>
      <c r="K86" s="1170"/>
      <c r="L86" s="1358"/>
      <c r="M86" s="1364"/>
      <c r="N86" s="1452"/>
      <c r="O86" s="1452"/>
      <c r="P86" s="1542"/>
      <c r="Q86" s="1449"/>
    </row>
    <row r="87" spans="1:17" s="911" customFormat="1" ht="15">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5">
      <c r="A88" s="1177"/>
      <c r="B88" s="1162" t="s">
        <v>1441</v>
      </c>
      <c r="C88" s="1170"/>
      <c r="D88" s="1170"/>
      <c r="E88" s="1170"/>
      <c r="F88" s="1483"/>
      <c r="G88" s="1170"/>
      <c r="H88" s="1170"/>
      <c r="I88" s="1170"/>
      <c r="J88" s="1170"/>
      <c r="K88" s="1170"/>
      <c r="L88" s="1170"/>
      <c r="M88" s="1364"/>
      <c r="N88" s="1452"/>
      <c r="O88" s="1452"/>
      <c r="P88" s="1542"/>
      <c r="Q88" s="1449"/>
    </row>
    <row r="89" spans="1:17" s="911" customFormat="1" ht="15">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ht="15">
      <c r="A90" s="1169"/>
      <c r="B90" s="1162">
        <f>B27</f>
        <v>111</v>
      </c>
      <c r="C90" s="1170"/>
      <c r="D90" s="1170"/>
      <c r="E90" s="1170"/>
      <c r="F90" s="1170"/>
      <c r="G90" s="1170"/>
      <c r="H90" s="1187"/>
      <c r="I90" s="1187"/>
      <c r="J90" s="1187"/>
      <c r="K90" s="1187"/>
      <c r="L90" s="1202"/>
      <c r="M90" s="1232"/>
      <c r="N90" s="1457"/>
      <c r="O90" s="1457"/>
      <c r="P90" s="1548"/>
      <c r="Q90" s="1459"/>
    </row>
    <row r="91" spans="1:17" s="913" customFormat="1" ht="15">
      <c r="A91" s="1169"/>
      <c r="B91" s="1164"/>
      <c r="C91" s="1171"/>
      <c r="D91" s="1171"/>
      <c r="E91" s="1171"/>
      <c r="F91" s="1171"/>
      <c r="G91" s="1171"/>
      <c r="H91" s="1188"/>
      <c r="I91" s="1188"/>
      <c r="J91" s="1188"/>
      <c r="K91" s="1188"/>
      <c r="L91" s="1188"/>
      <c r="M91" s="1235"/>
      <c r="N91" s="1457"/>
      <c r="O91" s="1457"/>
      <c r="P91" s="1548"/>
      <c r="Q91" s="1459"/>
    </row>
    <row r="92" spans="1:17" ht="15">
      <c r="A92" s="1159"/>
      <c r="B92" s="1162">
        <f>B28</f>
        <v>111</v>
      </c>
      <c r="C92" s="1170"/>
      <c r="D92" s="1170"/>
      <c r="E92" s="1170"/>
      <c r="F92" s="1170"/>
      <c r="G92" s="1180"/>
      <c r="H92" s="1180"/>
      <c r="I92" s="1180"/>
      <c r="J92" s="1180"/>
      <c r="K92" s="1208"/>
      <c r="L92" s="1209"/>
      <c r="M92" s="1245"/>
      <c r="N92" s="1454"/>
      <c r="O92" s="1454"/>
      <c r="P92" s="1542"/>
      <c r="Q92" s="1449"/>
    </row>
    <row r="93" spans="1:17" ht="15">
      <c r="A93" s="1159"/>
      <c r="B93" s="1164"/>
      <c r="C93" s="1171"/>
      <c r="D93" s="1161"/>
      <c r="E93" s="1161"/>
      <c r="F93" s="1161"/>
      <c r="G93" s="1161"/>
      <c r="H93" s="1161"/>
      <c r="I93" s="1161"/>
      <c r="J93" s="1161"/>
      <c r="K93" s="1161"/>
      <c r="L93" s="1161"/>
      <c r="M93" s="1227"/>
      <c r="N93" s="1456"/>
      <c r="O93" s="1456"/>
      <c r="P93" s="1542"/>
      <c r="Q93" s="1449"/>
    </row>
    <row r="94" spans="1:17" ht="15">
      <c r="A94" s="1159"/>
      <c r="B94" s="1162">
        <f>B29</f>
        <v>111</v>
      </c>
      <c r="C94" s="1170"/>
      <c r="D94" s="1170"/>
      <c r="E94" s="1170"/>
      <c r="F94" s="1170"/>
      <c r="G94" s="1180"/>
      <c r="H94" s="1180"/>
      <c r="I94" s="1180"/>
      <c r="J94" s="1180"/>
      <c r="K94" s="1208"/>
      <c r="L94" s="1209"/>
      <c r="M94" s="1245"/>
      <c r="N94" s="1454"/>
      <c r="O94" s="1454"/>
      <c r="P94" s="1542"/>
      <c r="Q94" s="1449"/>
    </row>
    <row r="95" spans="1:17" ht="15">
      <c r="A95" s="1159"/>
      <c r="B95" s="1164"/>
      <c r="C95" s="1171"/>
      <c r="D95" s="1171"/>
      <c r="E95" s="1171"/>
      <c r="F95" s="1171"/>
      <c r="G95" s="1161"/>
      <c r="H95" s="1161"/>
      <c r="I95" s="1161"/>
      <c r="J95" s="1161"/>
      <c r="K95" s="1161"/>
      <c r="L95" s="1161"/>
      <c r="M95" s="1227"/>
      <c r="N95" s="1456"/>
      <c r="O95" s="1456"/>
      <c r="P95" s="1542"/>
      <c r="Q95" s="1449"/>
    </row>
    <row r="96" spans="1:17" ht="15">
      <c r="A96" s="1159"/>
      <c r="B96" s="1162">
        <f>B30</f>
        <v>111</v>
      </c>
      <c r="C96" s="1170"/>
      <c r="D96" s="1170"/>
      <c r="E96" s="1170"/>
      <c r="F96" s="1170"/>
      <c r="G96" s="1180"/>
      <c r="H96" s="1180"/>
      <c r="I96" s="1180"/>
      <c r="J96" s="1180"/>
      <c r="K96" s="1208"/>
      <c r="L96" s="1209"/>
      <c r="M96" s="1245"/>
      <c r="N96" s="1454"/>
      <c r="O96" s="1454"/>
      <c r="P96" s="1542"/>
      <c r="Q96" s="1449"/>
    </row>
    <row r="97" spans="1:17" ht="15">
      <c r="A97" s="1159"/>
      <c r="B97" s="1164"/>
      <c r="C97" s="1174"/>
      <c r="D97" s="1174"/>
      <c r="E97" s="1174"/>
      <c r="F97" s="1174"/>
      <c r="G97" s="1161"/>
      <c r="H97" s="1161"/>
      <c r="I97" s="1161"/>
      <c r="J97" s="1161"/>
      <c r="K97" s="1161"/>
      <c r="L97" s="1161"/>
      <c r="M97" s="1227"/>
      <c r="N97" s="1456"/>
      <c r="O97" s="1456"/>
      <c r="P97" s="1542"/>
      <c r="Q97" s="1449"/>
    </row>
    <row r="98" spans="1:17" ht="15">
      <c r="A98" s="1159"/>
      <c r="B98" s="1166">
        <f>B31</f>
        <v>111</v>
      </c>
      <c r="C98" s="1193"/>
      <c r="D98" s="1193"/>
      <c r="E98" s="1193"/>
      <c r="F98" s="1193"/>
      <c r="G98" s="1193"/>
      <c r="H98" s="1193"/>
      <c r="I98" s="1193"/>
      <c r="J98" s="1193"/>
      <c r="K98" s="1210"/>
      <c r="L98" s="1211"/>
      <c r="M98" s="1246"/>
      <c r="N98" s="1454"/>
      <c r="O98" s="1454"/>
      <c r="P98" s="1542"/>
      <c r="Q98" s="1449"/>
    </row>
    <row r="99" spans="1:17" ht="15">
      <c r="A99" s="1460"/>
      <c r="B99" s="1173"/>
      <c r="C99" s="1184"/>
      <c r="D99" s="1184"/>
      <c r="E99" s="1184"/>
      <c r="F99" s="1184"/>
      <c r="G99" s="1184"/>
      <c r="H99" s="1184"/>
      <c r="I99" s="1184"/>
      <c r="J99" s="1184"/>
      <c r="K99" s="1184"/>
      <c r="L99" s="1184"/>
      <c r="M99" s="1247"/>
      <c r="N99" s="1456"/>
      <c r="O99" s="1456"/>
      <c r="P99" s="1542"/>
      <c r="Q99" s="1449"/>
    </row>
    <row r="100" spans="1:17">
      <c r="A100" s="1157" t="s">
        <v>1442</v>
      </c>
      <c r="B100" s="1158" t="s">
        <v>1443</v>
      </c>
      <c r="C100" s="1089"/>
      <c r="D100" s="1089"/>
      <c r="E100" s="1089"/>
      <c r="F100" s="1089"/>
      <c r="G100" s="1089"/>
      <c r="H100" s="1089"/>
      <c r="I100" s="1089"/>
      <c r="J100" s="1089"/>
      <c r="K100" s="1196"/>
      <c r="L100" s="1197"/>
      <c r="M100" s="1224"/>
      <c r="N100" s="1454"/>
      <c r="O100" s="1454"/>
      <c r="P100" s="1542"/>
      <c r="Q100" s="1449"/>
    </row>
    <row r="101" spans="1:17" ht="15">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5">
      <c r="A102" s="1159"/>
      <c r="B102" s="1162" t="s">
        <v>1445</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ht="15">
      <c r="A104" s="1169"/>
      <c r="B104" s="1164"/>
      <c r="C104" s="1171"/>
      <c r="D104" s="1161"/>
      <c r="E104" s="1161"/>
      <c r="F104" s="1161"/>
      <c r="G104" s="1161"/>
      <c r="H104" s="1161"/>
      <c r="I104" s="1161"/>
      <c r="J104" s="1161"/>
      <c r="K104" s="1161"/>
      <c r="L104" s="1161"/>
      <c r="M104" s="1161"/>
      <c r="N104" s="1456"/>
      <c r="O104" s="1456"/>
      <c r="P104" s="1548"/>
      <c r="Q104" s="1459"/>
    </row>
    <row r="105" spans="1:17">
      <c r="A105" s="1185"/>
      <c r="B105" s="1162" t="s">
        <v>1446</v>
      </c>
      <c r="C105" s="1170"/>
      <c r="D105" s="1170"/>
      <c r="E105" s="1180"/>
      <c r="F105" s="1180"/>
      <c r="G105" s="1180"/>
      <c r="H105" s="1180"/>
      <c r="I105" s="1180"/>
      <c r="J105" s="1180"/>
      <c r="K105" s="1208"/>
      <c r="L105" s="1209"/>
      <c r="M105" s="1245"/>
      <c r="N105" s="1454"/>
      <c r="O105" s="1454"/>
      <c r="P105" s="1542"/>
      <c r="Q105" s="1449"/>
    </row>
    <row r="106" spans="1:17" ht="15">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c r="A107" s="1185"/>
      <c r="B107" s="1162" t="s">
        <v>1447</v>
      </c>
      <c r="C107" s="1180"/>
      <c r="D107" s="1180"/>
      <c r="E107" s="1180"/>
      <c r="F107" s="1180"/>
      <c r="G107" s="1180"/>
      <c r="H107" s="1180"/>
      <c r="I107" s="1180"/>
      <c r="J107" s="1180"/>
      <c r="K107" s="1208"/>
      <c r="L107" s="1209"/>
      <c r="M107" s="1245"/>
      <c r="N107" s="1454"/>
      <c r="O107" s="1454"/>
      <c r="P107" s="1542"/>
      <c r="Q107" s="1449"/>
    </row>
    <row r="108" spans="1:17" ht="15">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c r="A109" s="1185"/>
      <c r="B109" s="1162" t="s">
        <v>1448</v>
      </c>
      <c r="C109" s="1170"/>
      <c r="D109" s="1170"/>
      <c r="E109" s="1170"/>
      <c r="F109" s="1180"/>
      <c r="G109" s="1180"/>
      <c r="H109" s="1180"/>
      <c r="I109" s="1180"/>
      <c r="J109" s="1180"/>
      <c r="K109" s="1208"/>
      <c r="L109" s="1209"/>
      <c r="M109" s="1245"/>
      <c r="N109" s="1454"/>
      <c r="O109" s="1454"/>
      <c r="P109" s="1542"/>
      <c r="Q109" s="1449"/>
    </row>
    <row r="110" spans="1:17" ht="15">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c r="A111" s="1181"/>
      <c r="B111" s="1162" t="s">
        <v>573</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ht="15">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c r="A114" s="1185"/>
      <c r="B114" s="1162" t="s">
        <v>1449</v>
      </c>
      <c r="C114" s="1170"/>
      <c r="D114" s="1170"/>
      <c r="E114" s="1180"/>
      <c r="F114" s="1180"/>
      <c r="G114" s="1180"/>
      <c r="H114" s="1180"/>
      <c r="I114" s="1180"/>
      <c r="J114" s="1180"/>
      <c r="K114" s="1208"/>
      <c r="L114" s="1209"/>
      <c r="M114" s="1245"/>
      <c r="N114" s="1454"/>
      <c r="O114" s="1454"/>
      <c r="P114" s="1542"/>
      <c r="Q114" s="1449"/>
    </row>
    <row r="115" spans="1:17" ht="15">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c r="A116" s="1185"/>
      <c r="B116" s="1162" t="s">
        <v>1450</v>
      </c>
      <c r="C116" s="1170"/>
      <c r="D116" s="1170"/>
      <c r="E116" s="1170"/>
      <c r="F116" s="1170"/>
      <c r="G116" s="1170"/>
      <c r="H116" s="1180"/>
      <c r="I116" s="1180"/>
      <c r="J116" s="1180"/>
      <c r="K116" s="1208"/>
      <c r="L116" s="1209"/>
      <c r="M116" s="1245"/>
      <c r="N116" s="1454"/>
      <c r="O116" s="1454"/>
      <c r="P116" s="1542"/>
      <c r="Q116" s="1449"/>
    </row>
    <row r="117" spans="1:17" ht="15">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c r="A118" s="1185"/>
      <c r="B118" s="1162" t="s">
        <v>1451</v>
      </c>
      <c r="C118" s="1180"/>
      <c r="D118" s="1180"/>
      <c r="E118" s="1180"/>
      <c r="F118" s="1180"/>
      <c r="G118" s="1180"/>
      <c r="H118" s="1180"/>
      <c r="I118" s="1180"/>
      <c r="J118" s="1180"/>
      <c r="K118" s="1208"/>
      <c r="L118" s="1209"/>
      <c r="M118" s="1245"/>
      <c r="N118" s="1454"/>
      <c r="O118" s="1454"/>
      <c r="P118" s="1542"/>
      <c r="Q118" s="1449"/>
    </row>
    <row r="119" spans="1:17" ht="15">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7.75">
      <c r="A120" s="1181"/>
      <c r="B120" s="1162" t="s">
        <v>1452</v>
      </c>
      <c r="C120" s="1170"/>
      <c r="D120" s="1170"/>
      <c r="E120" s="1170"/>
      <c r="F120" s="1170"/>
      <c r="G120" s="1170"/>
      <c r="H120" s="1170"/>
      <c r="I120" s="1170"/>
      <c r="J120" s="1170"/>
      <c r="K120" s="1170"/>
      <c r="L120" s="1358"/>
      <c r="M120" s="1364"/>
      <c r="N120" s="1457"/>
      <c r="O120" s="1457"/>
      <c r="P120" s="1548"/>
      <c r="Q120" s="1459"/>
    </row>
    <row r="121" spans="1:17" s="913" customFormat="1" ht="15">
      <c r="A121" s="1169"/>
      <c r="B121" s="1160"/>
      <c r="C121" s="1171"/>
      <c r="D121" s="1161"/>
      <c r="E121" s="1161"/>
      <c r="F121" s="1161"/>
      <c r="G121" s="1161"/>
      <c r="H121" s="1161"/>
      <c r="I121" s="1161"/>
      <c r="J121" s="1161"/>
      <c r="K121" s="1161"/>
      <c r="L121" s="1161"/>
      <c r="M121" s="1161"/>
      <c r="N121" s="1457"/>
      <c r="O121" s="1457"/>
      <c r="P121" s="1548"/>
      <c r="Q121" s="1459"/>
    </row>
    <row r="122" spans="1:17">
      <c r="A122" s="1185"/>
      <c r="B122" s="1162" t="s">
        <v>1453</v>
      </c>
      <c r="C122" s="1170"/>
      <c r="D122" s="1170"/>
      <c r="E122" s="1170"/>
      <c r="F122" s="1180"/>
      <c r="G122" s="1180"/>
      <c r="H122" s="1180"/>
      <c r="I122" s="1180"/>
      <c r="J122" s="1180"/>
      <c r="K122" s="1208"/>
      <c r="L122" s="1209"/>
      <c r="M122" s="1245"/>
      <c r="N122" s="1454"/>
      <c r="O122" s="1454"/>
      <c r="P122" s="1542"/>
      <c r="Q122" s="1449"/>
    </row>
    <row r="123" spans="1:17" ht="15">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c r="A124" s="1185"/>
      <c r="B124" s="1162" t="s">
        <v>1454</v>
      </c>
      <c r="C124" s="1176" t="s">
        <v>1472</v>
      </c>
      <c r="D124" s="1176" t="s">
        <v>1473</v>
      </c>
      <c r="E124" s="1176" t="s">
        <v>1474</v>
      </c>
      <c r="F124" s="1176" t="s">
        <v>1475</v>
      </c>
      <c r="G124" s="1176" t="s">
        <v>1476</v>
      </c>
      <c r="H124" s="1163"/>
      <c r="I124" s="1163"/>
      <c r="J124" s="1163"/>
      <c r="K124" s="1198"/>
      <c r="L124" s="1199"/>
      <c r="M124" s="1229"/>
      <c r="N124" s="1454"/>
      <c r="O124" s="1454"/>
      <c r="P124" s="1548"/>
      <c r="Q124" s="1449"/>
    </row>
    <row r="125" spans="1:17" ht="15">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ht="15">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ht="15">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ht="15">
      <c r="A131" s="1460"/>
      <c r="B131" s="1173"/>
      <c r="C131" s="1174"/>
      <c r="D131" s="1174"/>
      <c r="E131" s="1174"/>
      <c r="F131" s="1174"/>
      <c r="G131" s="1184"/>
      <c r="H131" s="1184"/>
      <c r="I131" s="1184"/>
      <c r="J131" s="1184"/>
      <c r="K131" s="1184"/>
      <c r="L131" s="1184"/>
      <c r="M131" s="1247"/>
      <c r="N131" s="1456"/>
      <c r="O131" s="1456"/>
      <c r="P131" s="1542"/>
      <c r="Q131" s="1449"/>
    </row>
    <row r="136" spans="1:17">
      <c r="B136" s="1553" t="s">
        <v>1482</v>
      </c>
    </row>
    <row r="137" spans="1:17" ht="15">
      <c r="B137" s="1554" t="s">
        <v>1483</v>
      </c>
      <c r="C137" s="1555"/>
      <c r="D137" s="1555"/>
      <c r="E137" s="1555"/>
      <c r="F137" s="1555"/>
      <c r="G137" s="1567"/>
      <c r="H137" s="1568"/>
      <c r="I137" s="1580" t="s">
        <v>1484</v>
      </c>
      <c r="J137" s="1555"/>
      <c r="K137" s="1581"/>
    </row>
    <row r="138" spans="1:17" ht="15">
      <c r="B138" s="1556"/>
      <c r="C138" s="1557" t="s">
        <v>1485</v>
      </c>
      <c r="D138" s="1557" t="s">
        <v>1486</v>
      </c>
      <c r="E138" s="1569" t="s">
        <v>1487</v>
      </c>
      <c r="F138" s="1570" t="s">
        <v>1488</v>
      </c>
      <c r="G138" s="1557" t="s">
        <v>1486</v>
      </c>
      <c r="H138" s="1571" t="s">
        <v>1487</v>
      </c>
      <c r="I138" s="1582"/>
      <c r="J138" s="1557" t="s">
        <v>1489</v>
      </c>
      <c r="K138" s="1571" t="s">
        <v>1490</v>
      </c>
    </row>
    <row r="139" spans="1:17" ht="15">
      <c r="B139" s="1558">
        <v>6</v>
      </c>
      <c r="C139" s="1559">
        <v>96</v>
      </c>
      <c r="D139" s="1560" t="s">
        <v>1491</v>
      </c>
      <c r="E139" s="1572">
        <v>100</v>
      </c>
      <c r="F139" s="1573">
        <v>102.5</v>
      </c>
      <c r="G139" s="1560" t="s">
        <v>1491</v>
      </c>
      <c r="H139" s="1574">
        <v>105</v>
      </c>
      <c r="I139" s="1583" t="s">
        <v>1492</v>
      </c>
      <c r="J139" s="1559">
        <v>20</v>
      </c>
      <c r="K139" s="1584">
        <f>C145/(J139-2)</f>
        <v>4.0555555555555596E-3</v>
      </c>
    </row>
    <row r="140" spans="1:17" ht="15">
      <c r="B140" s="1561">
        <v>5</v>
      </c>
      <c r="C140" s="1562">
        <v>100</v>
      </c>
      <c r="D140" s="1562"/>
      <c r="E140" s="1575"/>
      <c r="F140" s="1576">
        <v>102</v>
      </c>
      <c r="G140" s="1562"/>
      <c r="H140" s="1577"/>
      <c r="I140" s="1585" t="s">
        <v>1493</v>
      </c>
      <c r="J140" s="204">
        <f>ROUNDUP((J139-1)/2,0)</f>
        <v>10</v>
      </c>
      <c r="K140" s="1586">
        <v>100</v>
      </c>
    </row>
    <row r="141" spans="1:17" ht="15">
      <c r="B141" s="1561">
        <v>4</v>
      </c>
      <c r="C141" s="1562">
        <v>102</v>
      </c>
      <c r="D141" s="1562"/>
      <c r="E141" s="1575"/>
      <c r="F141" s="1576">
        <v>101.5</v>
      </c>
      <c r="G141" s="1562"/>
      <c r="H141" s="1577"/>
      <c r="I141" s="1585" t="s">
        <v>1494</v>
      </c>
      <c r="J141" s="204">
        <v>1</v>
      </c>
      <c r="K141" s="1587">
        <f>ROUND(100+(J141-J140)*K139*100,1)</f>
        <v>96.4</v>
      </c>
    </row>
    <row r="142" spans="1:17" ht="15">
      <c r="B142" s="1561">
        <v>3</v>
      </c>
      <c r="C142" s="1562">
        <v>103</v>
      </c>
      <c r="D142" s="1562"/>
      <c r="E142" s="1575"/>
      <c r="F142" s="1576">
        <v>101</v>
      </c>
      <c r="G142" s="1562"/>
      <c r="H142" s="1577"/>
      <c r="I142" s="1585" t="s">
        <v>1495</v>
      </c>
      <c r="J142" s="204">
        <f>J139</f>
        <v>20</v>
      </c>
      <c r="K142" s="1588">
        <v>95</v>
      </c>
    </row>
    <row r="143" spans="1:17" ht="15">
      <c r="B143" s="1561">
        <v>2</v>
      </c>
      <c r="C143" s="1562">
        <v>100</v>
      </c>
      <c r="D143" s="1562"/>
      <c r="E143" s="1575"/>
      <c r="F143" s="1576">
        <v>100.5</v>
      </c>
      <c r="G143" s="1562"/>
      <c r="H143" s="1577"/>
      <c r="I143" s="1585" t="s">
        <v>1496</v>
      </c>
      <c r="J143" s="1562">
        <v>15</v>
      </c>
      <c r="K143" s="1587">
        <f>ROUND(100+(J143-J140)*K139*100,1)</f>
        <v>102</v>
      </c>
    </row>
    <row r="144" spans="1:17" ht="15">
      <c r="B144" s="1561">
        <v>1</v>
      </c>
      <c r="C144" s="1562">
        <v>98</v>
      </c>
      <c r="D144" s="1563" t="s">
        <v>1497</v>
      </c>
      <c r="E144" s="1575">
        <v>102</v>
      </c>
      <c r="F144" s="1578">
        <v>100</v>
      </c>
      <c r="G144" s="1563" t="s">
        <v>1497</v>
      </c>
      <c r="H144" s="1577">
        <v>105</v>
      </c>
      <c r="I144" s="1585" t="s">
        <v>1496</v>
      </c>
      <c r="J144" s="1562">
        <v>18</v>
      </c>
      <c r="K144" s="1587">
        <f>ROUND(100+(J144-J140)*K139*100,1)</f>
        <v>103.2</v>
      </c>
    </row>
    <row r="145" spans="2:11" ht="15">
      <c r="B145" s="1564" t="s">
        <v>1498</v>
      </c>
      <c r="C145" s="1565">
        <f>ROUND(MAX(C139:C144)/MIN(C139:C144)-1,3)</f>
        <v>7.2999999999999995E-2</v>
      </c>
      <c r="D145" s="1566"/>
      <c r="E145" s="1566"/>
      <c r="F145" s="1579" t="s">
        <v>1499</v>
      </c>
      <c r="G145" s="1479"/>
      <c r="H145" s="1482"/>
      <c r="I145" s="1589" t="s">
        <v>1496</v>
      </c>
      <c r="J145" s="1590">
        <v>8</v>
      </c>
      <c r="K145" s="1591">
        <f>ROUND(100+(J145-J140)*K139*100,1)</f>
        <v>99.2</v>
      </c>
    </row>
    <row r="147" spans="2:11">
      <c r="B147" s="1553" t="s">
        <v>1500</v>
      </c>
    </row>
    <row r="148" spans="2:11">
      <c r="B148" s="1553" t="s">
        <v>1501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88" t="s">
        <v>1502</v>
      </c>
      <c r="C1" s="1352" t="s">
        <v>1404</v>
      </c>
      <c r="D1" s="1293"/>
      <c r="E1" s="1492"/>
      <c r="F1" s="1324"/>
      <c r="G1" s="1325" t="s">
        <v>1406</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924</v>
      </c>
      <c r="B2" s="1295" t="e">
        <f ca="1">IF(C2="——",ROUND(C49*D3/10000,0),ROUND(C49*D3/10000,0)-D2)</f>
        <v>#DIV/0!</v>
      </c>
      <c r="C2" s="1296"/>
      <c r="D2" s="1467" t="e">
        <f ca="1">SUMIF(INDIRECT("'"&amp;F2&amp;"'"&amp;"!A:A"),"承租人权益价值",INDIRECT("'"&amp;F2&amp;"'"&amp;"!c:c"))</f>
        <v>#REF!</v>
      </c>
      <c r="E2" s="1326" t="s">
        <v>925</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926</v>
      </c>
      <c r="B3" s="926" t="e">
        <f ca="1">IF(C2="——",C49,ROUND(B2*10000/D3,0))</f>
        <v>#DIV/0!</v>
      </c>
      <c r="C3" s="1297" t="s">
        <v>1407</v>
      </c>
      <c r="D3" s="1298">
        <f>IF(D1="",'数据-汇总表'!E3,SUMIF('数据-汇总表'!$C19:$C33,D1,'数据-汇总表'!$E19:$E33))</f>
        <v>29009.8</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5">
      <c r="A4" s="928" t="s">
        <v>1408</v>
      </c>
      <c r="B4" s="929"/>
      <c r="C4" s="3441" t="s">
        <v>1409</v>
      </c>
      <c r="D4" s="3442"/>
      <c r="E4" s="3443" t="s">
        <v>1410</v>
      </c>
      <c r="F4" s="3444"/>
      <c r="G4" s="3441" t="s">
        <v>1411</v>
      </c>
      <c r="H4" s="3442"/>
      <c r="I4" s="3441" t="s">
        <v>1412</v>
      </c>
      <c r="J4" s="3442"/>
      <c r="K4" s="1074" t="s">
        <v>1413</v>
      </c>
      <c r="L4" s="1075"/>
      <c r="M4" s="1110"/>
      <c r="N4" s="1110"/>
      <c r="O4" s="1110"/>
      <c r="P4" s="3474" t="s">
        <v>1414</v>
      </c>
      <c r="Q4" s="3475"/>
      <c r="R4" s="3480" t="s">
        <v>1410</v>
      </c>
      <c r="S4" s="3481"/>
      <c r="T4" s="3480" t="s">
        <v>1411</v>
      </c>
      <c r="U4" s="3481"/>
      <c r="V4" s="3486" t="s">
        <v>1412</v>
      </c>
      <c r="W4" s="3486"/>
      <c r="X4" s="1130"/>
      <c r="Y4" s="3480" t="s">
        <v>1414</v>
      </c>
      <c r="Z4" s="3481"/>
      <c r="AA4" s="3471" t="s">
        <v>1410</v>
      </c>
      <c r="AB4" s="3486" t="s">
        <v>1411</v>
      </c>
      <c r="AC4" s="3471" t="s">
        <v>1412</v>
      </c>
    </row>
    <row r="5" spans="1:29" ht="15">
      <c r="A5" s="930"/>
      <c r="B5" s="931"/>
      <c r="C5" s="3445" t="s">
        <v>1415</v>
      </c>
      <c r="D5" s="3446"/>
      <c r="E5" s="3447" t="s">
        <v>1416</v>
      </c>
      <c r="F5" s="3448"/>
      <c r="G5" s="3445" t="s">
        <v>1417</v>
      </c>
      <c r="H5" s="3446"/>
      <c r="I5" s="3445" t="s">
        <v>1418</v>
      </c>
      <c r="J5" s="3446"/>
      <c r="K5" s="1074"/>
      <c r="L5" s="1075"/>
      <c r="M5" s="1110"/>
      <c r="N5" s="1110"/>
      <c r="O5" s="1110"/>
      <c r="P5" s="3476"/>
      <c r="Q5" s="3477"/>
      <c r="R5" s="3482"/>
      <c r="S5" s="3483"/>
      <c r="T5" s="3482"/>
      <c r="U5" s="3483"/>
      <c r="V5" s="3486"/>
      <c r="W5" s="3486"/>
      <c r="X5" s="1130"/>
      <c r="Y5" s="3482"/>
      <c r="Z5" s="3483"/>
      <c r="AA5" s="3472"/>
      <c r="AB5" s="3486"/>
      <c r="AC5" s="3472"/>
    </row>
    <row r="6" spans="1:29" ht="15">
      <c r="A6" s="932"/>
      <c r="B6" s="933"/>
      <c r="C6" s="3449" t="s">
        <v>1419</v>
      </c>
      <c r="D6" s="3450"/>
      <c r="E6" s="3451" t="s">
        <v>1419</v>
      </c>
      <c r="F6" s="3452"/>
      <c r="G6" s="3449" t="s">
        <v>1419</v>
      </c>
      <c r="H6" s="3450"/>
      <c r="I6" s="3449" t="s">
        <v>1419</v>
      </c>
      <c r="J6" s="3450"/>
      <c r="K6" s="1074" t="s">
        <v>1420</v>
      </c>
      <c r="L6" s="1075"/>
      <c r="M6" s="1110"/>
      <c r="N6" s="1110"/>
      <c r="O6" s="1110"/>
      <c r="P6" s="3478"/>
      <c r="Q6" s="3479"/>
      <c r="R6" s="3482"/>
      <c r="S6" s="3483"/>
      <c r="T6" s="3484"/>
      <c r="U6" s="3485"/>
      <c r="V6" s="3486"/>
      <c r="W6" s="3486"/>
      <c r="X6" s="1130"/>
      <c r="Y6" s="3484"/>
      <c r="Z6" s="3485"/>
      <c r="AA6" s="3473"/>
      <c r="AB6" s="3486"/>
      <c r="AC6" s="3473"/>
    </row>
    <row r="7" spans="1:29" s="911" customFormat="1" ht="15">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53" t="s">
        <v>1422</v>
      </c>
      <c r="Q7" s="3454"/>
      <c r="R7" s="1121" t="s">
        <v>1423</v>
      </c>
      <c r="S7" s="1122">
        <f t="shared" ref="S7:S15" si="0">F7</f>
        <v>0</v>
      </c>
      <c r="T7" s="1121" t="s">
        <v>1423</v>
      </c>
      <c r="U7" s="1122">
        <f t="shared" ref="U7:U15" si="1">H7</f>
        <v>0</v>
      </c>
      <c r="V7" s="1121" t="s">
        <v>1423</v>
      </c>
      <c r="W7" s="1122">
        <f t="shared" ref="W7:W15" si="2">J7</f>
        <v>0</v>
      </c>
      <c r="X7" s="1131"/>
      <c r="Y7" s="3453" t="s">
        <v>1422</v>
      </c>
      <c r="Z7" s="3455"/>
      <c r="AA7" s="1134" t="e">
        <f>D7/F7</f>
        <v>#DIV/0!</v>
      </c>
      <c r="AB7" s="1134" t="e">
        <f>D7/H7</f>
        <v>#DIV/0!</v>
      </c>
      <c r="AC7" s="1134" t="e">
        <f>D7/J7</f>
        <v>#DIV/0!</v>
      </c>
    </row>
    <row r="8" spans="1:29" s="911" customFormat="1" ht="15">
      <c r="A8" s="934" t="s">
        <v>1424</v>
      </c>
      <c r="B8" s="935"/>
      <c r="C8" s="938" t="s">
        <v>1425</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46" si="3">D8/F8</f>
        <v>#DIV/0!</v>
      </c>
      <c r="AB8" s="1134" t="e">
        <f t="shared" ref="AB8:AB46" si="4">D8/H8</f>
        <v>#DIV/0!</v>
      </c>
      <c r="AC8" s="1134" t="e">
        <f t="shared" ref="AC8:AC46" si="5">D8/J8</f>
        <v>#DIV/0!</v>
      </c>
    </row>
    <row r="9" spans="1:29" s="911" customFormat="1">
      <c r="A9" s="939" t="s">
        <v>1427</v>
      </c>
      <c r="B9" s="940" t="s">
        <v>1428</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58" t="s">
        <v>1429</v>
      </c>
      <c r="Q9" s="1124" t="str">
        <f t="shared" ref="Q9:Q15" si="6">B9</f>
        <v>用途</v>
      </c>
      <c r="R9" s="1121" t="s">
        <v>1423</v>
      </c>
      <c r="S9" s="1122">
        <f t="shared" si="0"/>
        <v>100</v>
      </c>
      <c r="T9" s="1121" t="s">
        <v>1423</v>
      </c>
      <c r="U9" s="1122">
        <f t="shared" si="1"/>
        <v>100</v>
      </c>
      <c r="V9" s="1121" t="s">
        <v>1423</v>
      </c>
      <c r="W9" s="1122">
        <f t="shared" si="2"/>
        <v>100</v>
      </c>
      <c r="X9" s="1131"/>
      <c r="Y9" s="3411" t="s">
        <v>1430</v>
      </c>
      <c r="Z9" s="1135" t="str">
        <f t="shared" ref="Z9:Z15" si="7">Q9</f>
        <v>用途</v>
      </c>
      <c r="AA9" s="1134">
        <f t="shared" si="3"/>
        <v>1</v>
      </c>
      <c r="AB9" s="1134">
        <f t="shared" si="4"/>
        <v>1</v>
      </c>
      <c r="AC9" s="1134">
        <f t="shared" si="5"/>
        <v>1</v>
      </c>
    </row>
    <row r="10" spans="1:29" s="912" customFormat="1" ht="27">
      <c r="A10" s="943"/>
      <c r="B10" s="944" t="s">
        <v>1431</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58"/>
      <c r="Q10" s="1124" t="str">
        <f t="shared" si="6"/>
        <v>土地使用年限（年）</v>
      </c>
      <c r="R10" s="1121" t="s">
        <v>1423</v>
      </c>
      <c r="S10" s="1122">
        <f t="shared" si="0"/>
        <v>100</v>
      </c>
      <c r="T10" s="1121" t="s">
        <v>1423</v>
      </c>
      <c r="U10" s="1122">
        <f t="shared" si="1"/>
        <v>100</v>
      </c>
      <c r="V10" s="1121" t="s">
        <v>1423</v>
      </c>
      <c r="W10" s="1122">
        <f t="shared" si="2"/>
        <v>100</v>
      </c>
      <c r="X10" s="1131"/>
      <c r="Y10" s="3411"/>
      <c r="Z10" s="1135" t="str">
        <f t="shared" si="7"/>
        <v>土地使用年限（年）</v>
      </c>
      <c r="AA10" s="1134">
        <f t="shared" si="3"/>
        <v>1</v>
      </c>
      <c r="AB10" s="1134">
        <f t="shared" si="4"/>
        <v>1</v>
      </c>
      <c r="AC10" s="1134">
        <f t="shared" si="5"/>
        <v>1</v>
      </c>
    </row>
    <row r="11" spans="1:29" ht="15">
      <c r="A11" s="947"/>
      <c r="B11" s="944" t="s">
        <v>1432</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58"/>
      <c r="Q11" s="1124" t="str">
        <f t="shared" si="6"/>
        <v>容积率</v>
      </c>
      <c r="R11" s="1121" t="s">
        <v>1423</v>
      </c>
      <c r="S11" s="1122" t="e">
        <f t="shared" si="0"/>
        <v>#N/A</v>
      </c>
      <c r="T11" s="1121" t="s">
        <v>1423</v>
      </c>
      <c r="U11" s="1122" t="e">
        <f t="shared" si="1"/>
        <v>#N/A</v>
      </c>
      <c r="V11" s="1121" t="s">
        <v>1423</v>
      </c>
      <c r="W11" s="1122" t="e">
        <f t="shared" si="2"/>
        <v>#N/A</v>
      </c>
      <c r="X11" s="1131"/>
      <c r="Y11" s="3411"/>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58"/>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58"/>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58"/>
      <c r="Q14" s="1124">
        <f t="shared" si="6"/>
        <v>111</v>
      </c>
      <c r="R14" s="1121" t="s">
        <v>1423</v>
      </c>
      <c r="S14" s="1122">
        <f t="shared" si="0"/>
        <v>100</v>
      </c>
      <c r="T14" s="1121" t="s">
        <v>1423</v>
      </c>
      <c r="U14" s="1122">
        <f t="shared" si="1"/>
        <v>100</v>
      </c>
      <c r="V14" s="1121" t="s">
        <v>1423</v>
      </c>
      <c r="W14" s="1122">
        <f t="shared" si="2"/>
        <v>100</v>
      </c>
      <c r="X14" s="1131"/>
      <c r="Y14" s="3411"/>
      <c r="Z14" s="1135">
        <f t="shared" si="7"/>
        <v>111</v>
      </c>
      <c r="AA14" s="1134">
        <f t="shared" si="3"/>
        <v>1</v>
      </c>
      <c r="AB14" s="1134">
        <f t="shared" si="4"/>
        <v>1</v>
      </c>
      <c r="AC14" s="1134">
        <f t="shared" si="5"/>
        <v>1</v>
      </c>
    </row>
    <row r="15" spans="1:29" ht="71.25">
      <c r="A15" s="958" t="s">
        <v>1433</v>
      </c>
      <c r="B15" s="1257" t="s">
        <v>1503</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59" t="s">
        <v>1435</v>
      </c>
      <c r="Q15" s="651" t="str">
        <f t="shared" si="6"/>
        <v>商业繁华度</v>
      </c>
      <c r="R15" s="1125" t="s">
        <v>1423</v>
      </c>
      <c r="S15" s="1126">
        <f t="shared" si="0"/>
        <v>100</v>
      </c>
      <c r="T15" s="1125" t="s">
        <v>1423</v>
      </c>
      <c r="U15" s="1126">
        <f t="shared" si="1"/>
        <v>100</v>
      </c>
      <c r="V15" s="1125" t="s">
        <v>1423</v>
      </c>
      <c r="W15" s="1126">
        <f t="shared" si="2"/>
        <v>100</v>
      </c>
      <c r="X15" s="1130"/>
      <c r="Y15" s="3464" t="s">
        <v>1435</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0"/>
      <c r="Q16" s="651"/>
      <c r="R16" s="1125"/>
      <c r="S16" s="1126"/>
      <c r="T16" s="1125"/>
      <c r="U16" s="1126"/>
      <c r="V16" s="1125"/>
      <c r="W16" s="1126"/>
      <c r="X16" s="1130"/>
      <c r="Y16" s="3465"/>
      <c r="Z16" s="1099"/>
      <c r="AA16" s="1136">
        <v>1</v>
      </c>
      <c r="AB16" s="1136">
        <v>1</v>
      </c>
      <c r="AC16" s="1136">
        <v>1</v>
      </c>
    </row>
    <row r="17" spans="1:29" ht="85.5">
      <c r="A17" s="947"/>
      <c r="B17" s="1260" t="s">
        <v>1436</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0"/>
      <c r="Q17" s="651" t="str">
        <f>B17</f>
        <v>交通便捷度</v>
      </c>
      <c r="R17" s="1125" t="s">
        <v>1423</v>
      </c>
      <c r="S17" s="1126">
        <f>F17</f>
        <v>100</v>
      </c>
      <c r="T17" s="1125" t="s">
        <v>1423</v>
      </c>
      <c r="U17" s="1126">
        <f>H17</f>
        <v>100</v>
      </c>
      <c r="V17" s="1125" t="s">
        <v>1423</v>
      </c>
      <c r="W17" s="1126">
        <f>J17</f>
        <v>100</v>
      </c>
      <c r="X17" s="1130"/>
      <c r="Y17" s="3465"/>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0"/>
      <c r="Q18" s="651"/>
      <c r="R18" s="1125"/>
      <c r="S18" s="1126"/>
      <c r="T18" s="1125"/>
      <c r="U18" s="1126"/>
      <c r="V18" s="1125"/>
      <c r="W18" s="1126"/>
      <c r="X18" s="1130"/>
      <c r="Y18" s="3465"/>
      <c r="Z18" s="1099"/>
      <c r="AA18" s="1136">
        <v>1</v>
      </c>
      <c r="AB18" s="1136">
        <v>1</v>
      </c>
      <c r="AC18" s="1136">
        <v>1</v>
      </c>
    </row>
    <row r="19" spans="1:29" ht="42.75">
      <c r="A19" s="947"/>
      <c r="B19" s="1260" t="s">
        <v>1437</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0"/>
      <c r="Q19" s="651" t="str">
        <f>B19</f>
        <v>公共配套设施</v>
      </c>
      <c r="R19" s="1125" t="s">
        <v>1423</v>
      </c>
      <c r="S19" s="1126">
        <f>F19</f>
        <v>100</v>
      </c>
      <c r="T19" s="1125" t="s">
        <v>1423</v>
      </c>
      <c r="U19" s="1126">
        <f>H19</f>
        <v>100</v>
      </c>
      <c r="V19" s="1125" t="s">
        <v>1423</v>
      </c>
      <c r="W19" s="1126">
        <f>J19</f>
        <v>100</v>
      </c>
      <c r="X19" s="1130"/>
      <c r="Y19" s="3465"/>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0"/>
      <c r="Q20" s="651"/>
      <c r="R20" s="1125"/>
      <c r="S20" s="1126"/>
      <c r="T20" s="1125"/>
      <c r="U20" s="1126"/>
      <c r="V20" s="1125"/>
      <c r="W20" s="1126"/>
      <c r="X20" s="1130"/>
      <c r="Y20" s="3465"/>
      <c r="Z20" s="1099"/>
      <c r="AA20" s="1136">
        <v>1</v>
      </c>
      <c r="AB20" s="1136">
        <v>1</v>
      </c>
      <c r="AC20" s="1136">
        <v>1</v>
      </c>
    </row>
    <row r="21" spans="1:29" ht="28.5">
      <c r="A21" s="947"/>
      <c r="B21" s="1262" t="s">
        <v>1438</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0"/>
      <c r="Q21" s="651" t="str">
        <f>B21</f>
        <v>基础设施水平</v>
      </c>
      <c r="R21" s="1125" t="s">
        <v>1423</v>
      </c>
      <c r="S21" s="1126">
        <f>F21</f>
        <v>100</v>
      </c>
      <c r="T21" s="1125" t="s">
        <v>1423</v>
      </c>
      <c r="U21" s="1126">
        <f>H21</f>
        <v>100</v>
      </c>
      <c r="V21" s="1125" t="s">
        <v>1423</v>
      </c>
      <c r="W21" s="1126">
        <f>J21</f>
        <v>100</v>
      </c>
      <c r="X21" s="1130"/>
      <c r="Y21" s="3465"/>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0"/>
      <c r="Q22" s="651"/>
      <c r="R22" s="1125"/>
      <c r="S22" s="1126"/>
      <c r="T22" s="1125"/>
      <c r="U22" s="1126"/>
      <c r="V22" s="1125"/>
      <c r="W22" s="1126"/>
      <c r="X22" s="1130"/>
      <c r="Y22" s="3465"/>
      <c r="Z22" s="1099"/>
      <c r="AA22" s="1136">
        <v>1</v>
      </c>
      <c r="AB22" s="1136">
        <v>1</v>
      </c>
      <c r="AC22" s="1136">
        <v>1</v>
      </c>
    </row>
    <row r="23" spans="1:29" ht="57">
      <c r="A23" s="947"/>
      <c r="B23" s="1260" t="s">
        <v>1439</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0"/>
      <c r="Q23" s="651" t="str">
        <f>B23</f>
        <v>自然及人文环境</v>
      </c>
      <c r="R23" s="1125" t="s">
        <v>1423</v>
      </c>
      <c r="S23" s="1126">
        <f>F23</f>
        <v>100</v>
      </c>
      <c r="T23" s="1125" t="s">
        <v>1423</v>
      </c>
      <c r="U23" s="1126">
        <f>H23</f>
        <v>100</v>
      </c>
      <c r="V23" s="1125" t="s">
        <v>1423</v>
      </c>
      <c r="W23" s="1126">
        <f>J23</f>
        <v>100</v>
      </c>
      <c r="X23" s="1130"/>
      <c r="Y23" s="3465"/>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0"/>
      <c r="Q24" s="651"/>
      <c r="R24" s="1125"/>
      <c r="S24" s="1126"/>
      <c r="T24" s="1125"/>
      <c r="U24" s="1126"/>
      <c r="V24" s="1125"/>
      <c r="W24" s="1126"/>
      <c r="X24" s="1130"/>
      <c r="Y24" s="3465"/>
      <c r="Z24" s="1099"/>
      <c r="AA24" s="1136">
        <v>1</v>
      </c>
      <c r="AB24" s="1136">
        <v>1</v>
      </c>
      <c r="AC24" s="1136">
        <v>1</v>
      </c>
    </row>
    <row r="25" spans="1:29" ht="15">
      <c r="A25" s="947"/>
      <c r="B25" s="944" t="s">
        <v>1504</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0"/>
      <c r="Q25" s="651" t="str">
        <f t="shared" ref="Q25:Q46" si="11">B25</f>
        <v>临街状况</v>
      </c>
      <c r="R25" s="1125" t="s">
        <v>1423</v>
      </c>
      <c r="S25" s="1126">
        <f>F25</f>
        <v>100</v>
      </c>
      <c r="T25" s="1125" t="s">
        <v>1423</v>
      </c>
      <c r="U25" s="1126">
        <f>H25</f>
        <v>100</v>
      </c>
      <c r="V25" s="1125" t="s">
        <v>1423</v>
      </c>
      <c r="W25" s="1126">
        <f>J25</f>
        <v>100</v>
      </c>
      <c r="X25" s="1130"/>
      <c r="Y25" s="3465"/>
      <c r="Z25" s="1099" t="str">
        <f>Q25</f>
        <v>临街状况</v>
      </c>
      <c r="AA25" s="1136">
        <f t="shared" si="3"/>
        <v>1</v>
      </c>
      <c r="AB25" s="1136">
        <f t="shared" si="4"/>
        <v>1</v>
      </c>
      <c r="AC25" s="1136">
        <f t="shared" si="5"/>
        <v>1</v>
      </c>
    </row>
    <row r="26" spans="1:29" ht="15">
      <c r="A26" s="947"/>
      <c r="B26" s="1263" t="s">
        <v>1505</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0"/>
      <c r="Q26" s="651" t="str">
        <f t="shared" si="11"/>
        <v>平面位置/可视性</v>
      </c>
      <c r="R26" s="1125" t="s">
        <v>1423</v>
      </c>
      <c r="S26" s="1126">
        <f>F26</f>
        <v>100</v>
      </c>
      <c r="T26" s="1125" t="s">
        <v>1423</v>
      </c>
      <c r="U26" s="1126">
        <f>H26</f>
        <v>100</v>
      </c>
      <c r="V26" s="1125" t="s">
        <v>1423</v>
      </c>
      <c r="W26" s="1126">
        <f>J26</f>
        <v>100</v>
      </c>
      <c r="X26" s="1130"/>
      <c r="Y26" s="3465"/>
      <c r="Z26" s="1099" t="str">
        <f>Q26</f>
        <v>平面位置/可视性</v>
      </c>
      <c r="AA26" s="1136">
        <f t="shared" si="3"/>
        <v>1</v>
      </c>
      <c r="AB26" s="1136">
        <f t="shared" si="4"/>
        <v>1</v>
      </c>
      <c r="AC26" s="1136">
        <f t="shared" si="5"/>
        <v>1</v>
      </c>
    </row>
    <row r="27" spans="1:29" s="911" customFormat="1" ht="15">
      <c r="A27" s="949"/>
      <c r="B27" s="1260" t="s">
        <v>1506</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0"/>
      <c r="Q27" s="1124" t="str">
        <f t="shared" si="11"/>
        <v>人流量</v>
      </c>
      <c r="R27" s="1121" t="s">
        <v>1423</v>
      </c>
      <c r="S27" s="1122">
        <f>F27</f>
        <v>100</v>
      </c>
      <c r="T27" s="1121" t="s">
        <v>1423</v>
      </c>
      <c r="U27" s="1122">
        <f>H27</f>
        <v>100</v>
      </c>
      <c r="V27" s="1121" t="s">
        <v>1423</v>
      </c>
      <c r="W27" s="1122">
        <f>J27</f>
        <v>100</v>
      </c>
      <c r="X27" s="1131"/>
      <c r="Y27" s="3465"/>
      <c r="Z27" s="1135" t="str">
        <f>Q27</f>
        <v>人流量</v>
      </c>
      <c r="AA27" s="1136">
        <f t="shared" si="3"/>
        <v>1</v>
      </c>
      <c r="AB27" s="1136">
        <f t="shared" si="4"/>
        <v>1</v>
      </c>
      <c r="AC27" s="1136">
        <f t="shared" si="5"/>
        <v>1</v>
      </c>
    </row>
    <row r="28" spans="1:29" ht="15">
      <c r="A28" s="947"/>
      <c r="B28" s="944" t="s">
        <v>1507</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0"/>
      <c r="Q28" s="651" t="str">
        <f t="shared" si="11"/>
        <v>楼层</v>
      </c>
      <c r="R28" s="1125" t="s">
        <v>1423</v>
      </c>
      <c r="S28" s="1126">
        <f t="shared" ref="S28:S46" si="12">F28</f>
        <v>100</v>
      </c>
      <c r="T28" s="1125" t="s">
        <v>1423</v>
      </c>
      <c r="U28" s="1126">
        <f t="shared" ref="U28:U46" si="13">H28</f>
        <v>100</v>
      </c>
      <c r="V28" s="1125" t="s">
        <v>1423</v>
      </c>
      <c r="W28" s="1126">
        <f t="shared" ref="W28:W46" si="14">J28</f>
        <v>100</v>
      </c>
      <c r="X28" s="1130"/>
      <c r="Y28" s="3465"/>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0"/>
      <c r="Q29" s="651">
        <f t="shared" si="11"/>
        <v>111</v>
      </c>
      <c r="R29" s="1125" t="s">
        <v>1423</v>
      </c>
      <c r="S29" s="1126">
        <f t="shared" si="12"/>
        <v>100</v>
      </c>
      <c r="T29" s="1125" t="s">
        <v>1423</v>
      </c>
      <c r="U29" s="1126">
        <f t="shared" si="13"/>
        <v>100</v>
      </c>
      <c r="V29" s="1125" t="s">
        <v>1423</v>
      </c>
      <c r="W29" s="1126">
        <f t="shared" si="14"/>
        <v>100</v>
      </c>
      <c r="X29" s="1130"/>
      <c r="Y29" s="3465"/>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0"/>
      <c r="Q30" s="651">
        <f t="shared" si="11"/>
        <v>111</v>
      </c>
      <c r="R30" s="1125" t="s">
        <v>1423</v>
      </c>
      <c r="S30" s="1126">
        <f t="shared" si="12"/>
        <v>100</v>
      </c>
      <c r="T30" s="1125" t="s">
        <v>1423</v>
      </c>
      <c r="U30" s="1126">
        <f t="shared" si="13"/>
        <v>100</v>
      </c>
      <c r="V30" s="1125" t="s">
        <v>1423</v>
      </c>
      <c r="W30" s="1126">
        <f t="shared" si="14"/>
        <v>100</v>
      </c>
      <c r="X30" s="1130"/>
      <c r="Y30" s="3465"/>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0"/>
      <c r="Q31" s="651">
        <f t="shared" si="11"/>
        <v>111</v>
      </c>
      <c r="R31" s="1125" t="s">
        <v>1423</v>
      </c>
      <c r="S31" s="1126">
        <f t="shared" si="12"/>
        <v>100</v>
      </c>
      <c r="T31" s="1125" t="s">
        <v>1423</v>
      </c>
      <c r="U31" s="1126">
        <f t="shared" si="13"/>
        <v>100</v>
      </c>
      <c r="V31" s="1125" t="s">
        <v>1423</v>
      </c>
      <c r="W31" s="1126">
        <f t="shared" si="14"/>
        <v>100</v>
      </c>
      <c r="X31" s="1130"/>
      <c r="Y31" s="3465"/>
      <c r="Z31" s="1099">
        <f t="shared" si="15"/>
        <v>111</v>
      </c>
      <c r="AA31" s="1136">
        <f t="shared" si="3"/>
        <v>1</v>
      </c>
      <c r="AB31" s="1136">
        <f t="shared" si="4"/>
        <v>1</v>
      </c>
      <c r="AC31" s="1136">
        <f t="shared" si="5"/>
        <v>1</v>
      </c>
    </row>
    <row r="32" spans="1:29" ht="15">
      <c r="A32" s="958" t="s">
        <v>1442</v>
      </c>
      <c r="B32" s="940" t="s">
        <v>1508</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1" t="s">
        <v>1444</v>
      </c>
      <c r="Q32" s="651" t="str">
        <f t="shared" si="11"/>
        <v>商业类型</v>
      </c>
      <c r="R32" s="1125" t="s">
        <v>1423</v>
      </c>
      <c r="S32" s="1126">
        <f t="shared" si="12"/>
        <v>100</v>
      </c>
      <c r="T32" s="1125" t="s">
        <v>1423</v>
      </c>
      <c r="U32" s="1126">
        <f t="shared" si="13"/>
        <v>100</v>
      </c>
      <c r="V32" s="1125" t="s">
        <v>1423</v>
      </c>
      <c r="W32" s="1126">
        <f t="shared" si="14"/>
        <v>100</v>
      </c>
      <c r="X32" s="1130"/>
      <c r="Y32" s="3466" t="s">
        <v>1444</v>
      </c>
      <c r="Z32" s="1099" t="str">
        <f t="shared" si="15"/>
        <v>商业类型</v>
      </c>
      <c r="AA32" s="1136">
        <f t="shared" si="3"/>
        <v>1</v>
      </c>
      <c r="AB32" s="1136">
        <f t="shared" si="4"/>
        <v>1</v>
      </c>
      <c r="AC32" s="1136">
        <f t="shared" si="5"/>
        <v>1</v>
      </c>
    </row>
    <row r="33" spans="1:29" s="913" customFormat="1" ht="15">
      <c r="A33" s="992"/>
      <c r="B33" s="944" t="s">
        <v>1445</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62"/>
      <c r="Q33" s="1354" t="str">
        <f t="shared" si="11"/>
        <v>项目建筑规模</v>
      </c>
      <c r="R33" s="1127" t="s">
        <v>1423</v>
      </c>
      <c r="S33" s="1128" t="e">
        <f t="shared" si="12"/>
        <v>#N/A</v>
      </c>
      <c r="T33" s="1127" t="s">
        <v>1423</v>
      </c>
      <c r="U33" s="1128" t="e">
        <f t="shared" si="13"/>
        <v>#N/A</v>
      </c>
      <c r="V33" s="1127" t="s">
        <v>1423</v>
      </c>
      <c r="W33" s="1128" t="e">
        <f t="shared" si="14"/>
        <v>#N/A</v>
      </c>
      <c r="X33" s="1132"/>
      <c r="Y33" s="3466"/>
      <c r="Z33" s="1137" t="str">
        <f t="shared" si="15"/>
        <v>项目建筑规模</v>
      </c>
      <c r="AA33" s="1136" t="e">
        <f t="shared" si="3"/>
        <v>#N/A</v>
      </c>
      <c r="AB33" s="1136" t="e">
        <f t="shared" si="4"/>
        <v>#N/A</v>
      </c>
      <c r="AC33" s="1136" t="e">
        <f t="shared" si="5"/>
        <v>#N/A</v>
      </c>
    </row>
    <row r="34" spans="1:29" ht="15">
      <c r="A34" s="987"/>
      <c r="B34" s="944" t="s">
        <v>1446</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62"/>
      <c r="Q34" s="651" t="str">
        <f t="shared" si="11"/>
        <v>建筑结构</v>
      </c>
      <c r="R34" s="1125" t="s">
        <v>1423</v>
      </c>
      <c r="S34" s="1126">
        <f t="shared" si="12"/>
        <v>100</v>
      </c>
      <c r="T34" s="1125" t="s">
        <v>1423</v>
      </c>
      <c r="U34" s="1126">
        <f t="shared" si="13"/>
        <v>100</v>
      </c>
      <c r="V34" s="1125" t="s">
        <v>1423</v>
      </c>
      <c r="W34" s="1126">
        <f t="shared" si="14"/>
        <v>100</v>
      </c>
      <c r="X34" s="1130"/>
      <c r="Y34" s="3466"/>
      <c r="Z34" s="1099" t="str">
        <f t="shared" si="15"/>
        <v>建筑结构</v>
      </c>
      <c r="AA34" s="1136">
        <f t="shared" si="3"/>
        <v>1</v>
      </c>
      <c r="AB34" s="1136">
        <f t="shared" si="4"/>
        <v>1</v>
      </c>
      <c r="AC34" s="1136">
        <f t="shared" si="5"/>
        <v>1</v>
      </c>
    </row>
    <row r="35" spans="1:29" ht="15">
      <c r="A35" s="987"/>
      <c r="B35" s="944" t="s">
        <v>1448</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62"/>
      <c r="Q35" s="651" t="str">
        <f t="shared" si="11"/>
        <v>公共部分装修</v>
      </c>
      <c r="R35" s="1125" t="s">
        <v>1423</v>
      </c>
      <c r="S35" s="1126">
        <f t="shared" si="12"/>
        <v>100</v>
      </c>
      <c r="T35" s="1125" t="s">
        <v>1423</v>
      </c>
      <c r="U35" s="1126">
        <f t="shared" si="13"/>
        <v>100</v>
      </c>
      <c r="V35" s="1125" t="s">
        <v>1423</v>
      </c>
      <c r="W35" s="1126">
        <f t="shared" si="14"/>
        <v>100</v>
      </c>
      <c r="X35" s="1130"/>
      <c r="Y35" s="3466"/>
      <c r="Z35" s="1099" t="str">
        <f t="shared" si="15"/>
        <v>公共部分装修</v>
      </c>
      <c r="AA35" s="1136">
        <f t="shared" si="3"/>
        <v>1</v>
      </c>
      <c r="AB35" s="1136">
        <f t="shared" si="4"/>
        <v>1</v>
      </c>
      <c r="AC35" s="1136">
        <f t="shared" si="5"/>
        <v>1</v>
      </c>
    </row>
    <row r="36" spans="1:29" ht="15">
      <c r="A36" s="987"/>
      <c r="B36" s="944" t="s">
        <v>573</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62"/>
      <c r="Q36" s="651" t="str">
        <f t="shared" si="11"/>
        <v>成新度</v>
      </c>
      <c r="R36" s="1125" t="s">
        <v>1423</v>
      </c>
      <c r="S36" s="1126" t="e">
        <f t="shared" si="12"/>
        <v>#N/A</v>
      </c>
      <c r="T36" s="1125" t="s">
        <v>1423</v>
      </c>
      <c r="U36" s="1126" t="e">
        <f t="shared" si="13"/>
        <v>#N/A</v>
      </c>
      <c r="V36" s="1125" t="s">
        <v>1423</v>
      </c>
      <c r="W36" s="1126" t="e">
        <f t="shared" si="14"/>
        <v>#N/A</v>
      </c>
      <c r="X36" s="1130"/>
      <c r="Y36" s="3466"/>
      <c r="Z36" s="1099" t="str">
        <f t="shared" si="15"/>
        <v>成新度</v>
      </c>
      <c r="AA36" s="1136" t="e">
        <f t="shared" si="3"/>
        <v>#N/A</v>
      </c>
      <c r="AB36" s="1136" t="e">
        <f t="shared" si="4"/>
        <v>#N/A</v>
      </c>
      <c r="AC36" s="1136" t="e">
        <f t="shared" si="5"/>
        <v>#N/A</v>
      </c>
    </row>
    <row r="37" spans="1:29" s="911" customFormat="1" ht="15">
      <c r="A37" s="989"/>
      <c r="B37" s="944" t="s">
        <v>1450</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62"/>
      <c r="Q37" s="1124" t="str">
        <f t="shared" si="11"/>
        <v>市政基础设施</v>
      </c>
      <c r="R37" s="1121" t="s">
        <v>1423</v>
      </c>
      <c r="S37" s="1122">
        <f t="shared" si="12"/>
        <v>100</v>
      </c>
      <c r="T37" s="1121" t="s">
        <v>1423</v>
      </c>
      <c r="U37" s="1122">
        <f t="shared" si="13"/>
        <v>100</v>
      </c>
      <c r="V37" s="1121" t="s">
        <v>1423</v>
      </c>
      <c r="W37" s="1122">
        <f t="shared" si="14"/>
        <v>100</v>
      </c>
      <c r="X37" s="1131"/>
      <c r="Y37" s="3466"/>
      <c r="Z37" s="1135" t="str">
        <f t="shared" si="15"/>
        <v>市政基础设施</v>
      </c>
      <c r="AA37" s="1134">
        <f t="shared" si="3"/>
        <v>1</v>
      </c>
      <c r="AB37" s="1134">
        <f t="shared" si="4"/>
        <v>1</v>
      </c>
      <c r="AC37" s="1134">
        <f t="shared" si="5"/>
        <v>1</v>
      </c>
    </row>
    <row r="38" spans="1:29" ht="15">
      <c r="A38" s="987"/>
      <c r="B38" s="944" t="s">
        <v>1509</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62" t="s">
        <v>1444</v>
      </c>
      <c r="Q38" s="651" t="str">
        <f t="shared" si="11"/>
        <v>业态</v>
      </c>
      <c r="R38" s="1125" t="s">
        <v>1423</v>
      </c>
      <c r="S38" s="1126">
        <f t="shared" si="12"/>
        <v>100</v>
      </c>
      <c r="T38" s="1125" t="s">
        <v>1423</v>
      </c>
      <c r="U38" s="1126">
        <f t="shared" si="13"/>
        <v>100</v>
      </c>
      <c r="V38" s="1125" t="s">
        <v>1423</v>
      </c>
      <c r="W38" s="1126">
        <f t="shared" si="14"/>
        <v>100</v>
      </c>
      <c r="X38" s="1130"/>
      <c r="Y38" s="3466" t="s">
        <v>1444</v>
      </c>
      <c r="Z38" s="1099" t="str">
        <f t="shared" si="15"/>
        <v>业态</v>
      </c>
      <c r="AA38" s="1136">
        <f t="shared" si="3"/>
        <v>1</v>
      </c>
      <c r="AB38" s="1136">
        <f t="shared" si="4"/>
        <v>1</v>
      </c>
      <c r="AC38" s="1136">
        <f t="shared" si="5"/>
        <v>1</v>
      </c>
    </row>
    <row r="39" spans="1:29" ht="15">
      <c r="A39" s="987"/>
      <c r="B39" s="944" t="s">
        <v>1510</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62"/>
      <c r="Q39" s="651" t="str">
        <f t="shared" si="11"/>
        <v>层高</v>
      </c>
      <c r="R39" s="1125" t="s">
        <v>1423</v>
      </c>
      <c r="S39" s="1126">
        <f t="shared" si="12"/>
        <v>100</v>
      </c>
      <c r="T39" s="1125" t="s">
        <v>1423</v>
      </c>
      <c r="U39" s="1126">
        <f t="shared" si="13"/>
        <v>100</v>
      </c>
      <c r="V39" s="1125" t="s">
        <v>1423</v>
      </c>
      <c r="W39" s="1126">
        <f t="shared" si="14"/>
        <v>100</v>
      </c>
      <c r="X39" s="1130"/>
      <c r="Y39" s="3466"/>
      <c r="Z39" s="1099" t="str">
        <f t="shared" si="15"/>
        <v>层高</v>
      </c>
      <c r="AA39" s="1136">
        <f t="shared" si="3"/>
        <v>1</v>
      </c>
      <c r="AB39" s="1136">
        <f t="shared" si="4"/>
        <v>1</v>
      </c>
      <c r="AC39" s="1136">
        <f t="shared" si="5"/>
        <v>1</v>
      </c>
    </row>
    <row r="40" spans="1:29" ht="15">
      <c r="A40" s="987"/>
      <c r="B40" s="944" t="s">
        <v>1511</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62"/>
      <c r="Q40" s="651" t="str">
        <f t="shared" si="11"/>
        <v>单套建筑面积</v>
      </c>
      <c r="R40" s="1125" t="s">
        <v>1423</v>
      </c>
      <c r="S40" s="1126">
        <f t="shared" si="12"/>
        <v>100</v>
      </c>
      <c r="T40" s="1125" t="s">
        <v>1423</v>
      </c>
      <c r="U40" s="1126">
        <f t="shared" si="13"/>
        <v>100</v>
      </c>
      <c r="V40" s="1125" t="s">
        <v>1423</v>
      </c>
      <c r="W40" s="1126">
        <f t="shared" si="14"/>
        <v>100</v>
      </c>
      <c r="X40" s="1130"/>
      <c r="Y40" s="3466"/>
      <c r="Z40" s="1099" t="str">
        <f t="shared" si="15"/>
        <v>单套建筑面积</v>
      </c>
      <c r="AA40" s="1136">
        <f t="shared" si="3"/>
        <v>1</v>
      </c>
      <c r="AB40" s="1136">
        <f t="shared" si="4"/>
        <v>1</v>
      </c>
      <c r="AC40" s="1136">
        <f t="shared" si="5"/>
        <v>1</v>
      </c>
    </row>
    <row r="41" spans="1:29" s="913" customFormat="1" ht="15">
      <c r="A41" s="992"/>
      <c r="B41" s="1118" t="s">
        <v>1512</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62"/>
      <c r="Q41" s="1354" t="str">
        <f t="shared" si="11"/>
        <v>进深比</v>
      </c>
      <c r="R41" s="1127" t="s">
        <v>1423</v>
      </c>
      <c r="S41" s="1128">
        <f t="shared" si="12"/>
        <v>100</v>
      </c>
      <c r="T41" s="1127" t="s">
        <v>1423</v>
      </c>
      <c r="U41" s="1128">
        <f t="shared" si="13"/>
        <v>100</v>
      </c>
      <c r="V41" s="1127" t="s">
        <v>1423</v>
      </c>
      <c r="W41" s="1128">
        <f t="shared" si="14"/>
        <v>100</v>
      </c>
      <c r="X41" s="1132"/>
      <c r="Y41" s="3466"/>
      <c r="Z41" s="1137" t="str">
        <f t="shared" si="15"/>
        <v>进深比</v>
      </c>
      <c r="AA41" s="1136">
        <f t="shared" si="3"/>
        <v>1</v>
      </c>
      <c r="AB41" s="1136">
        <f t="shared" si="4"/>
        <v>1</v>
      </c>
      <c r="AC41" s="1136">
        <f t="shared" si="5"/>
        <v>1</v>
      </c>
    </row>
    <row r="42" spans="1:29" ht="15">
      <c r="A42" s="987"/>
      <c r="B42" s="944" t="s">
        <v>1453</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62"/>
      <c r="Q42" s="651" t="str">
        <f t="shared" si="11"/>
        <v>内部装修</v>
      </c>
      <c r="R42" s="1125" t="s">
        <v>1423</v>
      </c>
      <c r="S42" s="1126">
        <f t="shared" si="12"/>
        <v>100</v>
      </c>
      <c r="T42" s="1125" t="s">
        <v>1423</v>
      </c>
      <c r="U42" s="1126">
        <f t="shared" si="13"/>
        <v>100</v>
      </c>
      <c r="V42" s="1125" t="s">
        <v>1423</v>
      </c>
      <c r="W42" s="1126">
        <f t="shared" si="14"/>
        <v>100</v>
      </c>
      <c r="X42" s="1130"/>
      <c r="Y42" s="3466"/>
      <c r="Z42" s="1099" t="str">
        <f t="shared" si="15"/>
        <v>内部装修</v>
      </c>
      <c r="AA42" s="1136">
        <f t="shared" si="3"/>
        <v>1</v>
      </c>
      <c r="AB42" s="1136">
        <f t="shared" si="4"/>
        <v>1</v>
      </c>
      <c r="AC42" s="1136">
        <f t="shared" si="5"/>
        <v>1</v>
      </c>
    </row>
    <row r="43" spans="1:29" ht="15">
      <c r="A43" s="987"/>
      <c r="B43" s="944" t="s">
        <v>1454</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62"/>
      <c r="Q43" s="651" t="str">
        <f t="shared" si="11"/>
        <v>内部装修维护情况</v>
      </c>
      <c r="R43" s="1125" t="s">
        <v>1423</v>
      </c>
      <c r="S43" s="1126">
        <f t="shared" si="12"/>
        <v>100</v>
      </c>
      <c r="T43" s="1125" t="s">
        <v>1423</v>
      </c>
      <c r="U43" s="1126">
        <f t="shared" si="13"/>
        <v>100</v>
      </c>
      <c r="V43" s="1125" t="s">
        <v>1423</v>
      </c>
      <c r="W43" s="1126">
        <f t="shared" si="14"/>
        <v>100</v>
      </c>
      <c r="X43" s="1130"/>
      <c r="Y43" s="3466"/>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62"/>
      <c r="Q44" s="1124">
        <f t="shared" si="11"/>
        <v>111</v>
      </c>
      <c r="R44" s="1121" t="s">
        <v>1423</v>
      </c>
      <c r="S44" s="1122">
        <f t="shared" si="12"/>
        <v>100</v>
      </c>
      <c r="T44" s="1121" t="s">
        <v>1423</v>
      </c>
      <c r="U44" s="1122">
        <f t="shared" si="13"/>
        <v>100</v>
      </c>
      <c r="V44" s="1121" t="s">
        <v>1423</v>
      </c>
      <c r="W44" s="1122">
        <f t="shared" si="14"/>
        <v>100</v>
      </c>
      <c r="X44" s="1131"/>
      <c r="Y44" s="3466"/>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62"/>
      <c r="Q45" s="651">
        <f t="shared" si="11"/>
        <v>111</v>
      </c>
      <c r="R45" s="1125" t="s">
        <v>1423</v>
      </c>
      <c r="S45" s="1126">
        <f t="shared" si="12"/>
        <v>100</v>
      </c>
      <c r="T45" s="1125" t="s">
        <v>1423</v>
      </c>
      <c r="U45" s="1126">
        <f t="shared" si="13"/>
        <v>100</v>
      </c>
      <c r="V45" s="1125" t="s">
        <v>1423</v>
      </c>
      <c r="W45" s="1126">
        <f t="shared" si="14"/>
        <v>100</v>
      </c>
      <c r="X45" s="1130"/>
      <c r="Y45" s="3466"/>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63"/>
      <c r="Q46" s="651">
        <f t="shared" si="11"/>
        <v>111</v>
      </c>
      <c r="R46" s="1125" t="s">
        <v>1423</v>
      </c>
      <c r="S46" s="1126">
        <f t="shared" si="12"/>
        <v>100</v>
      </c>
      <c r="T46" s="1125" t="s">
        <v>1423</v>
      </c>
      <c r="U46" s="1126">
        <f t="shared" si="13"/>
        <v>100</v>
      </c>
      <c r="V46" s="1125" t="s">
        <v>1423</v>
      </c>
      <c r="W46" s="1126">
        <f t="shared" si="14"/>
        <v>100</v>
      </c>
      <c r="X46" s="1130"/>
      <c r="Y46" s="3467"/>
      <c r="Z46" s="1099">
        <f t="shared" si="15"/>
        <v>111</v>
      </c>
      <c r="AA46" s="1136">
        <f t="shared" si="3"/>
        <v>1</v>
      </c>
      <c r="AB46" s="1136">
        <f t="shared" si="4"/>
        <v>1</v>
      </c>
      <c r="AC46" s="1136">
        <f t="shared" si="5"/>
        <v>1</v>
      </c>
    </row>
    <row r="47" spans="1:29" ht="15">
      <c r="A47" s="994" t="s">
        <v>1455</v>
      </c>
      <c r="B47" s="1310"/>
      <c r="C47" s="1311" t="s">
        <v>124</v>
      </c>
      <c r="D47" s="1312"/>
      <c r="E47" s="1342"/>
      <c r="F47" s="1343"/>
      <c r="G47" s="1344"/>
      <c r="H47" s="1345"/>
      <c r="I47" s="1342"/>
      <c r="J47" s="1345"/>
      <c r="K47" s="1091"/>
      <c r="L47" s="1092"/>
      <c r="M47" s="1005"/>
      <c r="N47" s="1110"/>
      <c r="O47" s="1005"/>
      <c r="P47" s="3456" t="str">
        <f>A47</f>
        <v>成交单价（元/平方米）</v>
      </c>
      <c r="Q47" s="3456"/>
      <c r="R47" s="3486">
        <f>E47</f>
        <v>0</v>
      </c>
      <c r="S47" s="3486"/>
      <c r="T47" s="3486">
        <f>G47</f>
        <v>0</v>
      </c>
      <c r="U47" s="3486"/>
      <c r="V47" s="3486">
        <f>I47</f>
        <v>0</v>
      </c>
      <c r="W47" s="3486"/>
      <c r="X47" s="1028"/>
      <c r="Y47" s="1138"/>
      <c r="Z47" s="1028"/>
      <c r="AA47" s="1028"/>
      <c r="AB47" s="1028"/>
      <c r="AC47" s="1028"/>
    </row>
    <row r="48" spans="1:29" ht="15">
      <c r="A48" s="998" t="s">
        <v>1456</v>
      </c>
      <c r="B48" s="1313"/>
      <c r="C48" s="1314" t="e">
        <f>R49</f>
        <v>#DIV/0!</v>
      </c>
      <c r="D48" s="1001" t="s">
        <v>1457</v>
      </c>
      <c r="E48" s="1346" t="e">
        <f>R48</f>
        <v>#DIV/0!</v>
      </c>
      <c r="F48" s="1050"/>
      <c r="G48" s="1314" t="e">
        <f>T48</f>
        <v>#DIV/0!</v>
      </c>
      <c r="H48" s="1050"/>
      <c r="I48" s="1346" t="e">
        <f>V48</f>
        <v>#DIV/0!</v>
      </c>
      <c r="J48" s="1050"/>
      <c r="K48" s="1093">
        <f>F48+H48+J48</f>
        <v>0</v>
      </c>
      <c r="L48" s="1092"/>
      <c r="M48" s="1005"/>
      <c r="N48" s="1110"/>
      <c r="O48" s="1005"/>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28"/>
      <c r="Y48" s="1028"/>
      <c r="Z48" s="1028"/>
      <c r="AA48" s="1028"/>
      <c r="AB48" s="1028"/>
      <c r="AC48" s="1028"/>
    </row>
    <row r="49" spans="1:29" ht="15">
      <c r="A49" s="1002" t="s">
        <v>1458</v>
      </c>
      <c r="B49" s="1003"/>
      <c r="C49" s="1315" t="e">
        <f>R49</f>
        <v>#DIV/0!</v>
      </c>
      <c r="D49" s="1315"/>
      <c r="E49" s="1315"/>
      <c r="F49" s="1315"/>
      <c r="G49" s="1315"/>
      <c r="H49" s="1315"/>
      <c r="I49" s="1315"/>
      <c r="J49" s="1315"/>
      <c r="K49" s="1094"/>
      <c r="L49" s="1092"/>
      <c r="M49" s="1005"/>
      <c r="N49" s="1110"/>
      <c r="O49" s="1005"/>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
      <c r="A57" s="1027" t="s">
        <v>1462</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5">
      <c r="A58" s="1317" t="s">
        <v>1421</v>
      </c>
      <c r="B58" s="1318"/>
      <c r="C58" s="1319" t="str">
        <f>YEAR(C7)&amp;"-"&amp;MONTH(C7)</f>
        <v>2022-9</v>
      </c>
      <c r="D58" s="1320">
        <f>EDATE(C58,-1)</f>
        <v>44774</v>
      </c>
      <c r="E58" s="1320">
        <f t="shared" ref="E58:O58" si="16">EDATE(D58,-1)</f>
        <v>44743</v>
      </c>
      <c r="F58" s="1320">
        <f t="shared" si="16"/>
        <v>44713</v>
      </c>
      <c r="G58" s="1320">
        <f t="shared" si="16"/>
        <v>44682</v>
      </c>
      <c r="H58" s="1320">
        <f t="shared" si="16"/>
        <v>44652</v>
      </c>
      <c r="I58" s="1320">
        <f t="shared" si="16"/>
        <v>44621</v>
      </c>
      <c r="J58" s="1320">
        <f t="shared" si="16"/>
        <v>44593</v>
      </c>
      <c r="K58" s="1320">
        <f t="shared" si="16"/>
        <v>44562</v>
      </c>
      <c r="L58" s="1320">
        <f t="shared" si="16"/>
        <v>44531</v>
      </c>
      <c r="M58" s="1320">
        <f t="shared" si="16"/>
        <v>44501</v>
      </c>
      <c r="N58" s="1320">
        <f t="shared" si="16"/>
        <v>44470</v>
      </c>
      <c r="O58" s="1320">
        <f t="shared" si="16"/>
        <v>44440</v>
      </c>
      <c r="P58" s="1499"/>
      <c r="Q58" s="1251"/>
      <c r="R58" s="1251"/>
      <c r="S58" s="1251"/>
      <c r="T58" s="1251"/>
      <c r="U58" s="1251"/>
      <c r="V58" s="1251"/>
      <c r="W58" s="1251"/>
      <c r="X58" s="1251"/>
      <c r="Y58" s="1251"/>
      <c r="Z58" s="1251"/>
      <c r="AA58" s="1251"/>
      <c r="AB58" s="1251"/>
      <c r="AC58" s="1251"/>
    </row>
    <row r="59" spans="1:29" s="911" customFormat="1" ht="15">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5">
      <c r="A60" s="1147" t="s">
        <v>1463</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5">
      <c r="A61" s="1151" t="s">
        <v>1424</v>
      </c>
      <c r="B61" s="1152"/>
      <c r="C61" s="1153" t="s">
        <v>1425</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ht="15">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c r="A63" s="1157" t="s">
        <v>1464</v>
      </c>
      <c r="B63" s="1158" t="s">
        <v>1428</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ht="15">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7">
      <c r="A65" s="1159"/>
      <c r="B65" s="1162" t="s">
        <v>1431</v>
      </c>
      <c r="C65" s="1163" t="s">
        <v>1465</v>
      </c>
      <c r="D65" s="1163" t="s">
        <v>1466</v>
      </c>
      <c r="E65" s="1163" t="s">
        <v>1467</v>
      </c>
      <c r="F65" s="1163" t="s">
        <v>1468</v>
      </c>
      <c r="G65" s="1163" t="s">
        <v>1469</v>
      </c>
      <c r="H65" s="1163" t="s">
        <v>1470</v>
      </c>
      <c r="I65" s="1163" t="s">
        <v>1471</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ht="15">
      <c r="A66" s="1159"/>
      <c r="B66" s="1164"/>
      <c r="C66" s="1165" t="s">
        <v>1513</v>
      </c>
      <c r="D66" s="1165" t="s">
        <v>1513</v>
      </c>
      <c r="E66" s="1165" t="s">
        <v>1513</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5">
      <c r="A67" s="1159"/>
      <c r="B67" s="1166" t="s">
        <v>1432</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ht="15">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ht="15">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ht="15">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ht="15">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ht="15">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ht="15">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ht="15">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ht="15">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c r="A76" s="1157" t="s">
        <v>1433</v>
      </c>
      <c r="B76" s="1158" t="s">
        <v>1434</v>
      </c>
      <c r="C76" s="1175" t="s">
        <v>1472</v>
      </c>
      <c r="D76" s="1175" t="s">
        <v>1473</v>
      </c>
      <c r="E76" s="1175" t="s">
        <v>1474</v>
      </c>
      <c r="F76" s="1175" t="s">
        <v>1475</v>
      </c>
      <c r="G76" s="1175" t="s">
        <v>1476</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ht="15">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5">
      <c r="A78" s="1159"/>
      <c r="B78" s="1162" t="s">
        <v>1436</v>
      </c>
      <c r="C78" s="1176" t="s">
        <v>1472</v>
      </c>
      <c r="D78" s="1176" t="s">
        <v>1473</v>
      </c>
      <c r="E78" s="1176" t="s">
        <v>1474</v>
      </c>
      <c r="F78" s="1176" t="s">
        <v>1475</v>
      </c>
      <c r="G78" s="1176" t="s">
        <v>1476</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ht="15">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5">
      <c r="A80" s="1159"/>
      <c r="B80" s="1162" t="s">
        <v>1437</v>
      </c>
      <c r="C80" s="1176" t="s">
        <v>1472</v>
      </c>
      <c r="D80" s="1176" t="s">
        <v>1473</v>
      </c>
      <c r="E80" s="1176" t="s">
        <v>1474</v>
      </c>
      <c r="F80" s="1176" t="s">
        <v>1475</v>
      </c>
      <c r="G80" s="1176" t="s">
        <v>1476</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ht="15">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5">
      <c r="A82" s="1159"/>
      <c r="B82" s="1166" t="s">
        <v>1438</v>
      </c>
      <c r="C82" s="1179" t="s">
        <v>1477</v>
      </c>
      <c r="D82" s="1179" t="s">
        <v>1478</v>
      </c>
      <c r="E82" s="1179" t="s">
        <v>1479</v>
      </c>
      <c r="F82" s="1179" t="s">
        <v>1480</v>
      </c>
      <c r="G82" s="1179" t="s">
        <v>1481</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ht="15">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5">
      <c r="A84" s="1159"/>
      <c r="B84" s="1162" t="s">
        <v>1439</v>
      </c>
      <c r="C84" s="1176" t="s">
        <v>1472</v>
      </c>
      <c r="D84" s="1176" t="s">
        <v>1473</v>
      </c>
      <c r="E84" s="1176" t="s">
        <v>1474</v>
      </c>
      <c r="F84" s="1176" t="s">
        <v>1475</v>
      </c>
      <c r="G84" s="1176" t="s">
        <v>1476</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ht="15">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5">
      <c r="A86" s="1177"/>
      <c r="B86" s="1162" t="s">
        <v>1504</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ht="15">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ht="15">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ht="15">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ht="15">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ht="15">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ht="15">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ht="15">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ht="15">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ht="15">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ht="15">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ht="15">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ht="15">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ht="15">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c r="A100" s="1157" t="s">
        <v>1442</v>
      </c>
      <c r="B100" s="1158" t="s">
        <v>1508</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ht="15">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5">
      <c r="A102" s="1159"/>
      <c r="B102" s="1162" t="s">
        <v>1445</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ht="15">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c r="A105" s="1185"/>
      <c r="B105" s="1162" t="s">
        <v>1446</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c r="A107" s="1185"/>
      <c r="B107" s="1162" t="s">
        <v>1448</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c r="A109" s="1185"/>
      <c r="B109" s="1162" t="s">
        <v>573</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ht="15">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c r="A112" s="1181"/>
      <c r="B112" s="1162" t="s">
        <v>1450</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ht="15">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c r="A114" s="1185"/>
      <c r="B114" s="1162" t="s">
        <v>1509</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ht="15">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c r="A116" s="1185"/>
      <c r="B116" s="1162" t="s">
        <v>1510</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ht="15">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c r="A118" s="1185"/>
      <c r="B118" s="1162" t="s">
        <v>1511</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ht="15">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c r="A120" s="1181"/>
      <c r="B120" s="1162" t="s">
        <v>1514</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ht="15">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c r="A122" s="1185"/>
      <c r="B122" s="1162" t="s">
        <v>1453</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ht="15">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c r="A124" s="1185"/>
      <c r="B124" s="1162" t="s">
        <v>1454</v>
      </c>
      <c r="C124" s="1176" t="s">
        <v>1472</v>
      </c>
      <c r="D124" s="1176" t="s">
        <v>1473</v>
      </c>
      <c r="E124" s="1176" t="s">
        <v>1474</v>
      </c>
      <c r="F124" s="1176" t="s">
        <v>1475</v>
      </c>
      <c r="G124" s="1176" t="s">
        <v>1476</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ht="15">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ht="15">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ht="15">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ht="15">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25" t="s">
        <v>1515</v>
      </c>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IF(C2="——",ROUND(C50*D3/10000,0),ROUND(C50*D3/10000,0)-D2)</f>
        <v>#DIV/0!</v>
      </c>
      <c r="C2" s="1296"/>
      <c r="D2" s="1467" t="e">
        <f ca="1">SUMIF(INDIRECT("'"&amp;F2&amp;"'"&amp;"!A:A"),"承租人权益价值",INDIRECT("'"&amp;F2&amp;"'"&amp;"!c:c"))</f>
        <v>#REF!</v>
      </c>
      <c r="E2" s="1326" t="s">
        <v>925</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 ca="1">IF(C2="——",C50,ROUND(B2*10000/D3,0))</f>
        <v>#DIV/0!</v>
      </c>
      <c r="C3" s="1297" t="s">
        <v>1407</v>
      </c>
      <c r="D3" s="1298">
        <f>IF(D1="",'数据-汇总表'!E3,SUMIF('数据-汇总表'!$C19:$C33,D1,'数据-汇总表'!$E19:$E33))</f>
        <v>29009.8</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5">
      <c r="A4" s="928" t="s">
        <v>1408</v>
      </c>
      <c r="B4" s="929"/>
      <c r="C4" s="3441" t="s">
        <v>1409</v>
      </c>
      <c r="D4" s="3442"/>
      <c r="E4" s="3443" t="s">
        <v>1410</v>
      </c>
      <c r="F4" s="3444"/>
      <c r="G4" s="3441" t="s">
        <v>1411</v>
      </c>
      <c r="H4" s="3442"/>
      <c r="I4" s="3441" t="s">
        <v>1412</v>
      </c>
      <c r="J4" s="3442"/>
      <c r="K4" s="1074" t="s">
        <v>1413</v>
      </c>
      <c r="L4" s="1075"/>
      <c r="M4" s="1110"/>
      <c r="N4" s="1110"/>
      <c r="O4" s="1110"/>
      <c r="P4" s="3495" t="s">
        <v>1414</v>
      </c>
      <c r="Q4" s="3496"/>
      <c r="R4" s="3499" t="s">
        <v>1410</v>
      </c>
      <c r="S4" s="3500"/>
      <c r="T4" s="3499" t="s">
        <v>1411</v>
      </c>
      <c r="U4" s="3500"/>
      <c r="V4" s="3501" t="s">
        <v>1412</v>
      </c>
      <c r="W4" s="3501"/>
      <c r="X4" s="1478"/>
      <c r="Y4" s="3499" t="s">
        <v>1414</v>
      </c>
      <c r="Z4" s="3500"/>
      <c r="AA4" s="3491" t="s">
        <v>1410</v>
      </c>
      <c r="AB4" s="3491" t="s">
        <v>1411</v>
      </c>
      <c r="AC4" s="3492" t="s">
        <v>1412</v>
      </c>
    </row>
    <row r="5" spans="1:29" ht="15">
      <c r="A5" s="930"/>
      <c r="B5" s="931"/>
      <c r="C5" s="3445" t="s">
        <v>1415</v>
      </c>
      <c r="D5" s="3446"/>
      <c r="E5" s="3447" t="s">
        <v>1416</v>
      </c>
      <c r="F5" s="3448"/>
      <c r="G5" s="3445" t="s">
        <v>1417</v>
      </c>
      <c r="H5" s="3446"/>
      <c r="I5" s="3445" t="s">
        <v>1418</v>
      </c>
      <c r="J5" s="3446"/>
      <c r="K5" s="1074"/>
      <c r="L5" s="1075"/>
      <c r="M5" s="1110"/>
      <c r="N5" s="1110"/>
      <c r="O5" s="1110"/>
      <c r="P5" s="3497"/>
      <c r="Q5" s="3477"/>
      <c r="R5" s="3482"/>
      <c r="S5" s="3483"/>
      <c r="T5" s="3482"/>
      <c r="U5" s="3483"/>
      <c r="V5" s="3486"/>
      <c r="W5" s="3486"/>
      <c r="X5" s="1130"/>
      <c r="Y5" s="3482"/>
      <c r="Z5" s="3483"/>
      <c r="AA5" s="3472"/>
      <c r="AB5" s="3472"/>
      <c r="AC5" s="3493"/>
    </row>
    <row r="6" spans="1:29" ht="15">
      <c r="A6" s="932"/>
      <c r="B6" s="933"/>
      <c r="C6" s="3449" t="s">
        <v>1419</v>
      </c>
      <c r="D6" s="3450"/>
      <c r="E6" s="3451" t="s">
        <v>1419</v>
      </c>
      <c r="F6" s="3452"/>
      <c r="G6" s="3449" t="s">
        <v>1419</v>
      </c>
      <c r="H6" s="3450"/>
      <c r="I6" s="3449" t="s">
        <v>1419</v>
      </c>
      <c r="J6" s="3450"/>
      <c r="K6" s="1074" t="s">
        <v>1420</v>
      </c>
      <c r="L6" s="1075"/>
      <c r="M6" s="1110"/>
      <c r="N6" s="1110"/>
      <c r="O6" s="1110"/>
      <c r="P6" s="3498"/>
      <c r="Q6" s="3479"/>
      <c r="R6" s="3482"/>
      <c r="S6" s="3483"/>
      <c r="T6" s="3484"/>
      <c r="U6" s="3485"/>
      <c r="V6" s="3486"/>
      <c r="W6" s="3486"/>
      <c r="X6" s="1130"/>
      <c r="Y6" s="3484"/>
      <c r="Z6" s="3485"/>
      <c r="AA6" s="3473"/>
      <c r="AB6" s="3473"/>
      <c r="AC6" s="3494"/>
    </row>
    <row r="7" spans="1:29" s="911" customFormat="1" ht="15">
      <c r="A7" s="934" t="s">
        <v>1421</v>
      </c>
      <c r="B7" s="935"/>
      <c r="C7" s="936">
        <f>'数据-取费表'!B2</f>
        <v>44827</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487" t="s">
        <v>1422</v>
      </c>
      <c r="Q7" s="3454"/>
      <c r="R7" s="1121" t="s">
        <v>1423</v>
      </c>
      <c r="S7" s="1122">
        <f t="shared" ref="S7:S15" si="0">F7</f>
        <v>0</v>
      </c>
      <c r="T7" s="1121" t="s">
        <v>1423</v>
      </c>
      <c r="U7" s="1122">
        <f t="shared" ref="U7:U15" si="1">H7</f>
        <v>0</v>
      </c>
      <c r="V7" s="1121" t="s">
        <v>1423</v>
      </c>
      <c r="W7" s="1122">
        <f t="shared" ref="W7:W15" si="2">J7</f>
        <v>0</v>
      </c>
      <c r="X7" s="1131"/>
      <c r="Y7" s="3453" t="s">
        <v>1422</v>
      </c>
      <c r="Z7" s="3455"/>
      <c r="AA7" s="1134" t="e">
        <f>D7/F7</f>
        <v>#DIV/0!</v>
      </c>
      <c r="AB7" s="1134" t="e">
        <f>D7/H7</f>
        <v>#DIV/0!</v>
      </c>
      <c r="AC7" s="1480" t="e">
        <f>D7/J7</f>
        <v>#DIV/0!</v>
      </c>
    </row>
    <row r="8" spans="1:29" s="911" customFormat="1" ht="15">
      <c r="A8" s="934" t="s">
        <v>1424</v>
      </c>
      <c r="B8" s="935"/>
      <c r="C8" s="938" t="s">
        <v>1425</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487" t="s">
        <v>1426</v>
      </c>
      <c r="Q8" s="3455"/>
      <c r="R8" s="1121" t="s">
        <v>1423</v>
      </c>
      <c r="S8" s="1122">
        <f t="shared" si="0"/>
        <v>0</v>
      </c>
      <c r="T8" s="1121" t="s">
        <v>1423</v>
      </c>
      <c r="U8" s="1122">
        <f t="shared" si="1"/>
        <v>0</v>
      </c>
      <c r="V8" s="1121" t="s">
        <v>1423</v>
      </c>
      <c r="W8" s="1122">
        <f t="shared" si="2"/>
        <v>0</v>
      </c>
      <c r="X8" s="1131"/>
      <c r="Y8" s="3453" t="s">
        <v>1426</v>
      </c>
      <c r="Z8" s="3455"/>
      <c r="AA8" s="1134" t="e">
        <f t="shared" ref="AA8:AA47" si="3">D8/F8</f>
        <v>#DIV/0!</v>
      </c>
      <c r="AB8" s="1134" t="e">
        <f t="shared" ref="AB8:AB47" si="4">D8/H8</f>
        <v>#DIV/0!</v>
      </c>
      <c r="AC8" s="1480" t="e">
        <f t="shared" ref="AC8:AC47" si="5">D8/J8</f>
        <v>#DIV/0!</v>
      </c>
    </row>
    <row r="9" spans="1:29" s="911" customFormat="1">
      <c r="A9" s="939" t="s">
        <v>1427</v>
      </c>
      <c r="B9" s="940" t="s">
        <v>1428</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58" t="s">
        <v>1429</v>
      </c>
      <c r="Q9" s="1124" t="str">
        <f t="shared" ref="Q9:Q15" si="6">B9</f>
        <v>用途</v>
      </c>
      <c r="R9" s="1121" t="s">
        <v>1423</v>
      </c>
      <c r="S9" s="1122">
        <f t="shared" si="0"/>
        <v>100</v>
      </c>
      <c r="T9" s="1121" t="s">
        <v>1423</v>
      </c>
      <c r="U9" s="1122">
        <f t="shared" si="1"/>
        <v>100</v>
      </c>
      <c r="V9" s="1121" t="s">
        <v>1423</v>
      </c>
      <c r="W9" s="1122">
        <f t="shared" si="2"/>
        <v>100</v>
      </c>
      <c r="X9" s="1131"/>
      <c r="Y9" s="3411" t="s">
        <v>1430</v>
      </c>
      <c r="Z9" s="1135" t="str">
        <f t="shared" ref="Z9:Z15" si="7">Q9</f>
        <v>用途</v>
      </c>
      <c r="AA9" s="1134">
        <f t="shared" si="3"/>
        <v>1</v>
      </c>
      <c r="AB9" s="1134">
        <f t="shared" si="4"/>
        <v>1</v>
      </c>
      <c r="AC9" s="1480">
        <f t="shared" si="5"/>
        <v>1</v>
      </c>
    </row>
    <row r="10" spans="1:29" s="912" customFormat="1" ht="27">
      <c r="A10" s="943"/>
      <c r="B10" s="944" t="s">
        <v>1431</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58"/>
      <c r="Q10" s="1124" t="str">
        <f t="shared" si="6"/>
        <v>土地使用年限（年）</v>
      </c>
      <c r="R10" s="1121" t="s">
        <v>1423</v>
      </c>
      <c r="S10" s="1122">
        <f t="shared" si="0"/>
        <v>100</v>
      </c>
      <c r="T10" s="1121" t="s">
        <v>1423</v>
      </c>
      <c r="U10" s="1122">
        <f t="shared" si="1"/>
        <v>100</v>
      </c>
      <c r="V10" s="1121" t="s">
        <v>1423</v>
      </c>
      <c r="W10" s="1122">
        <f t="shared" si="2"/>
        <v>100</v>
      </c>
      <c r="X10" s="1131"/>
      <c r="Y10" s="3411"/>
      <c r="Z10" s="1135" t="str">
        <f t="shared" si="7"/>
        <v>土地使用年限（年）</v>
      </c>
      <c r="AA10" s="1134">
        <f t="shared" si="3"/>
        <v>1</v>
      </c>
      <c r="AB10" s="1134">
        <f t="shared" si="4"/>
        <v>1</v>
      </c>
      <c r="AC10" s="1480">
        <f t="shared" si="5"/>
        <v>1</v>
      </c>
    </row>
    <row r="11" spans="1:29" ht="15">
      <c r="A11" s="947"/>
      <c r="B11" s="944" t="s">
        <v>1432</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58"/>
      <c r="Q11" s="1124" t="str">
        <f t="shared" si="6"/>
        <v>容积率</v>
      </c>
      <c r="R11" s="1121" t="s">
        <v>1423</v>
      </c>
      <c r="S11" s="1122" t="e">
        <f t="shared" si="0"/>
        <v>#N/A</v>
      </c>
      <c r="T11" s="1121" t="s">
        <v>1423</v>
      </c>
      <c r="U11" s="1122" t="e">
        <f t="shared" si="1"/>
        <v>#N/A</v>
      </c>
      <c r="V11" s="1121" t="s">
        <v>1423</v>
      </c>
      <c r="W11" s="1122" t="e">
        <f t="shared" si="2"/>
        <v>#N/A</v>
      </c>
      <c r="X11" s="1131"/>
      <c r="Y11" s="3411"/>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58"/>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58"/>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58"/>
      <c r="Q14" s="1124">
        <f t="shared" si="6"/>
        <v>111</v>
      </c>
      <c r="R14" s="1121" t="s">
        <v>1423</v>
      </c>
      <c r="S14" s="1122">
        <f t="shared" si="0"/>
        <v>100</v>
      </c>
      <c r="T14" s="1121" t="s">
        <v>1423</v>
      </c>
      <c r="U14" s="1122">
        <f t="shared" si="1"/>
        <v>100</v>
      </c>
      <c r="V14" s="1121" t="s">
        <v>1423</v>
      </c>
      <c r="W14" s="1122">
        <f t="shared" si="2"/>
        <v>100</v>
      </c>
      <c r="X14" s="1131"/>
      <c r="Y14" s="3411"/>
      <c r="Z14" s="1135">
        <f t="shared" si="7"/>
        <v>111</v>
      </c>
      <c r="AA14" s="1134">
        <f t="shared" si="3"/>
        <v>1</v>
      </c>
      <c r="AB14" s="1134">
        <f t="shared" si="4"/>
        <v>1</v>
      </c>
      <c r="AC14" s="1480">
        <f t="shared" si="5"/>
        <v>1</v>
      </c>
    </row>
    <row r="15" spans="1:29" ht="71.25">
      <c r="A15" s="958" t="s">
        <v>1433</v>
      </c>
      <c r="B15" s="959" t="s">
        <v>1516</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59" t="s">
        <v>1435</v>
      </c>
      <c r="Q15" s="651" t="str">
        <f t="shared" si="6"/>
        <v>办公集聚程度</v>
      </c>
      <c r="R15" s="1125" t="s">
        <v>1423</v>
      </c>
      <c r="S15" s="1126">
        <f t="shared" si="0"/>
        <v>100</v>
      </c>
      <c r="T15" s="1125" t="s">
        <v>1423</v>
      </c>
      <c r="U15" s="1126">
        <f t="shared" si="1"/>
        <v>100</v>
      </c>
      <c r="V15" s="1125" t="s">
        <v>1423</v>
      </c>
      <c r="W15" s="1126">
        <f t="shared" si="2"/>
        <v>100</v>
      </c>
      <c r="X15" s="1130"/>
      <c r="Y15" s="3464" t="s">
        <v>1435</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0"/>
      <c r="Q16" s="651"/>
      <c r="R16" s="1125"/>
      <c r="S16" s="1126"/>
      <c r="T16" s="1125"/>
      <c r="U16" s="1126"/>
      <c r="V16" s="1125"/>
      <c r="W16" s="1126"/>
      <c r="X16" s="1130"/>
      <c r="Y16" s="3465"/>
      <c r="Z16" s="1099"/>
      <c r="AA16" s="1136">
        <v>1</v>
      </c>
      <c r="AB16" s="1136">
        <v>1</v>
      </c>
      <c r="AC16" s="1481">
        <v>1</v>
      </c>
    </row>
    <row r="17" spans="1:29" ht="71.25">
      <c r="A17" s="947"/>
      <c r="B17" s="965" t="s">
        <v>1436</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0"/>
      <c r="Q17" s="651" t="str">
        <f>B17</f>
        <v>交通便捷度</v>
      </c>
      <c r="R17" s="1125" t="s">
        <v>1423</v>
      </c>
      <c r="S17" s="1126">
        <f>F17</f>
        <v>100</v>
      </c>
      <c r="T17" s="1125" t="s">
        <v>1423</v>
      </c>
      <c r="U17" s="1126">
        <f>H17</f>
        <v>100</v>
      </c>
      <c r="V17" s="1125" t="s">
        <v>1423</v>
      </c>
      <c r="W17" s="1126">
        <f>J17</f>
        <v>100</v>
      </c>
      <c r="X17" s="1130"/>
      <c r="Y17" s="3465"/>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0"/>
      <c r="Q18" s="651"/>
      <c r="R18" s="1125"/>
      <c r="S18" s="1126"/>
      <c r="T18" s="1125"/>
      <c r="U18" s="1126"/>
      <c r="V18" s="1125"/>
      <c r="W18" s="1126"/>
      <c r="X18" s="1130"/>
      <c r="Y18" s="3465"/>
      <c r="Z18" s="1099"/>
      <c r="AA18" s="1136">
        <v>1</v>
      </c>
      <c r="AB18" s="1136">
        <v>1</v>
      </c>
      <c r="AC18" s="1481">
        <v>1</v>
      </c>
    </row>
    <row r="19" spans="1:29" ht="42.75">
      <c r="A19" s="947"/>
      <c r="B19" s="965" t="s">
        <v>1437</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0"/>
      <c r="Q19" s="651" t="str">
        <f>B19</f>
        <v>公共配套设施</v>
      </c>
      <c r="R19" s="1125" t="s">
        <v>1423</v>
      </c>
      <c r="S19" s="1126">
        <f>F19</f>
        <v>100</v>
      </c>
      <c r="T19" s="1125" t="s">
        <v>1423</v>
      </c>
      <c r="U19" s="1126">
        <f>H19</f>
        <v>100</v>
      </c>
      <c r="V19" s="1125" t="s">
        <v>1423</v>
      </c>
      <c r="W19" s="1126">
        <f>J19</f>
        <v>100</v>
      </c>
      <c r="X19" s="1130"/>
      <c r="Y19" s="3465"/>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0"/>
      <c r="Q20" s="651"/>
      <c r="R20" s="1125"/>
      <c r="S20" s="1126"/>
      <c r="T20" s="1125"/>
      <c r="U20" s="1126"/>
      <c r="V20" s="1125"/>
      <c r="W20" s="1126"/>
      <c r="X20" s="1130"/>
      <c r="Y20" s="3465"/>
      <c r="Z20" s="1099"/>
      <c r="AA20" s="1136">
        <v>1</v>
      </c>
      <c r="AB20" s="1136">
        <v>1</v>
      </c>
      <c r="AC20" s="1481">
        <v>1</v>
      </c>
    </row>
    <row r="21" spans="1:29" ht="28.5">
      <c r="A21" s="947"/>
      <c r="B21" s="970" t="s">
        <v>1438</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0"/>
      <c r="Q21" s="651" t="str">
        <f>B21</f>
        <v>基础设施水平</v>
      </c>
      <c r="R21" s="1125" t="s">
        <v>1423</v>
      </c>
      <c r="S21" s="1126">
        <f>F21</f>
        <v>100</v>
      </c>
      <c r="T21" s="1125" t="s">
        <v>1423</v>
      </c>
      <c r="U21" s="1126">
        <f>H21</f>
        <v>100</v>
      </c>
      <c r="V21" s="1125" t="s">
        <v>1423</v>
      </c>
      <c r="W21" s="1126">
        <f>J21</f>
        <v>100</v>
      </c>
      <c r="X21" s="1130"/>
      <c r="Y21" s="3465"/>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0"/>
      <c r="Q22" s="651"/>
      <c r="R22" s="1125"/>
      <c r="S22" s="1126"/>
      <c r="T22" s="1125"/>
      <c r="U22" s="1126"/>
      <c r="V22" s="1125"/>
      <c r="W22" s="1126"/>
      <c r="X22" s="1130"/>
      <c r="Y22" s="3465"/>
      <c r="Z22" s="1099"/>
      <c r="AA22" s="1136">
        <v>1</v>
      </c>
      <c r="AB22" s="1136">
        <v>1</v>
      </c>
      <c r="AC22" s="1481">
        <v>1</v>
      </c>
    </row>
    <row r="23" spans="1:29" ht="42.75">
      <c r="A23" s="947"/>
      <c r="B23" s="965" t="s">
        <v>1517</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0"/>
      <c r="Q23" s="651" t="str">
        <f>B23</f>
        <v>环境质量</v>
      </c>
      <c r="R23" s="1125" t="s">
        <v>1423</v>
      </c>
      <c r="S23" s="1126">
        <f>F23</f>
        <v>100</v>
      </c>
      <c r="T23" s="1125" t="s">
        <v>1423</v>
      </c>
      <c r="U23" s="1126">
        <f>H23</f>
        <v>100</v>
      </c>
      <c r="V23" s="1125" t="s">
        <v>1423</v>
      </c>
      <c r="W23" s="1126">
        <f>J23</f>
        <v>100</v>
      </c>
      <c r="X23" s="1130"/>
      <c r="Y23" s="3465"/>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0"/>
      <c r="Q24" s="651"/>
      <c r="R24" s="1125"/>
      <c r="S24" s="1126"/>
      <c r="T24" s="1125"/>
      <c r="U24" s="1126"/>
      <c r="V24" s="1125"/>
      <c r="W24" s="1126"/>
      <c r="X24" s="1130"/>
      <c r="Y24" s="3465"/>
      <c r="Z24" s="1099"/>
      <c r="AA24" s="1136">
        <v>1</v>
      </c>
      <c r="AB24" s="1136">
        <v>1</v>
      </c>
      <c r="AC24" s="1481">
        <v>1</v>
      </c>
    </row>
    <row r="25" spans="1:29" ht="27">
      <c r="A25" s="930"/>
      <c r="B25" s="965" t="s">
        <v>1518</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0"/>
      <c r="Q25" s="651" t="str">
        <f>B25</f>
        <v>毗邻道路的类型与等级</v>
      </c>
      <c r="R25" s="1125" t="s">
        <v>1423</v>
      </c>
      <c r="S25" s="1126">
        <f>F25</f>
        <v>100</v>
      </c>
      <c r="T25" s="1125" t="s">
        <v>1423</v>
      </c>
      <c r="U25" s="1126">
        <f>H25</f>
        <v>100</v>
      </c>
      <c r="V25" s="1125" t="s">
        <v>1423</v>
      </c>
      <c r="W25" s="1126">
        <f>J25</f>
        <v>100</v>
      </c>
      <c r="X25" s="1130"/>
      <c r="Y25" s="3465"/>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0"/>
      <c r="Q26" s="651"/>
      <c r="R26" s="1125"/>
      <c r="S26" s="1126"/>
      <c r="T26" s="1125"/>
      <c r="U26" s="1126"/>
      <c r="V26" s="1125"/>
      <c r="W26" s="1126"/>
      <c r="X26" s="1130"/>
      <c r="Y26" s="3465"/>
      <c r="Z26" s="1099"/>
      <c r="AA26" s="1136">
        <v>1</v>
      </c>
      <c r="AB26" s="1136">
        <v>1</v>
      </c>
      <c r="AC26" s="1481">
        <v>1</v>
      </c>
    </row>
    <row r="27" spans="1:29" ht="15">
      <c r="A27" s="947"/>
      <c r="B27" s="968" t="s">
        <v>1507</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0"/>
      <c r="Q27" s="651" t="str">
        <f t="shared" ref="Q27:Q47" si="11">B27</f>
        <v>楼层</v>
      </c>
      <c r="R27" s="1125" t="s">
        <v>1423</v>
      </c>
      <c r="S27" s="1126">
        <f>F27</f>
        <v>100</v>
      </c>
      <c r="T27" s="1125" t="s">
        <v>1423</v>
      </c>
      <c r="U27" s="1126">
        <f>H27</f>
        <v>100</v>
      </c>
      <c r="V27" s="1125" t="s">
        <v>1423</v>
      </c>
      <c r="W27" s="1126">
        <f>J27</f>
        <v>100</v>
      </c>
      <c r="X27" s="1130"/>
      <c r="Y27" s="3465"/>
      <c r="Z27" s="1099" t="str">
        <f>Q27</f>
        <v>楼层</v>
      </c>
      <c r="AA27" s="1136">
        <f t="shared" si="3"/>
        <v>1</v>
      </c>
      <c r="AB27" s="1136">
        <f t="shared" si="4"/>
        <v>1</v>
      </c>
      <c r="AC27" s="1481">
        <f t="shared" si="5"/>
        <v>1</v>
      </c>
    </row>
    <row r="28" spans="1:29" s="911" customFormat="1" ht="15">
      <c r="A28" s="949"/>
      <c r="B28" s="965" t="s">
        <v>1441</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0"/>
      <c r="Q28" s="1124" t="str">
        <f t="shared" si="11"/>
        <v>朝向</v>
      </c>
      <c r="R28" s="1121" t="s">
        <v>1423</v>
      </c>
      <c r="S28" s="1122">
        <f>F28</f>
        <v>100</v>
      </c>
      <c r="T28" s="1121" t="s">
        <v>1423</v>
      </c>
      <c r="U28" s="1122">
        <f>H28</f>
        <v>100</v>
      </c>
      <c r="V28" s="1121" t="s">
        <v>1423</v>
      </c>
      <c r="W28" s="1122">
        <f>J28</f>
        <v>100</v>
      </c>
      <c r="X28" s="1131"/>
      <c r="Y28" s="3465"/>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0"/>
      <c r="Q29" s="651">
        <f t="shared" si="11"/>
        <v>111</v>
      </c>
      <c r="R29" s="1125" t="s">
        <v>1423</v>
      </c>
      <c r="S29" s="1126">
        <f t="shared" ref="S29:S47" si="12">F29</f>
        <v>100</v>
      </c>
      <c r="T29" s="1125" t="s">
        <v>1423</v>
      </c>
      <c r="U29" s="1126">
        <f t="shared" ref="U29:U47" si="13">H29</f>
        <v>100</v>
      </c>
      <c r="V29" s="1125" t="s">
        <v>1423</v>
      </c>
      <c r="W29" s="1126">
        <f t="shared" ref="W29:W47" si="14">J29</f>
        <v>100</v>
      </c>
      <c r="X29" s="1130"/>
      <c r="Y29" s="3465"/>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0"/>
      <c r="Q30" s="651">
        <f t="shared" si="11"/>
        <v>111</v>
      </c>
      <c r="R30" s="1125" t="s">
        <v>1423</v>
      </c>
      <c r="S30" s="1126">
        <f t="shared" si="12"/>
        <v>100</v>
      </c>
      <c r="T30" s="1125" t="s">
        <v>1423</v>
      </c>
      <c r="U30" s="1126">
        <f t="shared" si="13"/>
        <v>100</v>
      </c>
      <c r="V30" s="1125" t="s">
        <v>1423</v>
      </c>
      <c r="W30" s="1126">
        <f t="shared" si="14"/>
        <v>100</v>
      </c>
      <c r="X30" s="1130"/>
      <c r="Y30" s="3465"/>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0"/>
      <c r="Q31" s="651">
        <f t="shared" si="11"/>
        <v>111</v>
      </c>
      <c r="R31" s="1125" t="s">
        <v>1423</v>
      </c>
      <c r="S31" s="1126">
        <f t="shared" si="12"/>
        <v>100</v>
      </c>
      <c r="T31" s="1125" t="s">
        <v>1423</v>
      </c>
      <c r="U31" s="1126">
        <f t="shared" si="13"/>
        <v>100</v>
      </c>
      <c r="V31" s="1125" t="s">
        <v>1423</v>
      </c>
      <c r="W31" s="1126">
        <f t="shared" si="14"/>
        <v>100</v>
      </c>
      <c r="X31" s="1130"/>
      <c r="Y31" s="3465"/>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0"/>
      <c r="Q32" s="651">
        <f t="shared" si="11"/>
        <v>111</v>
      </c>
      <c r="R32" s="1125" t="s">
        <v>1423</v>
      </c>
      <c r="S32" s="1126">
        <f t="shared" si="12"/>
        <v>100</v>
      </c>
      <c r="T32" s="1125" t="s">
        <v>1423</v>
      </c>
      <c r="U32" s="1126">
        <f t="shared" si="13"/>
        <v>100</v>
      </c>
      <c r="V32" s="1125" t="s">
        <v>1423</v>
      </c>
      <c r="W32" s="1126">
        <f t="shared" si="14"/>
        <v>100</v>
      </c>
      <c r="X32" s="1130"/>
      <c r="Y32" s="3465"/>
      <c r="Z32" s="1099">
        <f t="shared" si="15"/>
        <v>111</v>
      </c>
      <c r="AA32" s="1136">
        <f t="shared" si="3"/>
        <v>1</v>
      </c>
      <c r="AB32" s="1136">
        <f t="shared" si="4"/>
        <v>1</v>
      </c>
      <c r="AC32" s="1481">
        <f t="shared" si="5"/>
        <v>1</v>
      </c>
    </row>
    <row r="33" spans="1:29" ht="15">
      <c r="A33" s="958" t="s">
        <v>1442</v>
      </c>
      <c r="B33" s="940" t="s">
        <v>1443</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1" t="s">
        <v>1444</v>
      </c>
      <c r="Q33" s="651" t="str">
        <f t="shared" si="11"/>
        <v>建筑类型</v>
      </c>
      <c r="R33" s="1125" t="s">
        <v>1423</v>
      </c>
      <c r="S33" s="1126">
        <f t="shared" si="12"/>
        <v>100</v>
      </c>
      <c r="T33" s="1125" t="s">
        <v>1423</v>
      </c>
      <c r="U33" s="1126">
        <f t="shared" si="13"/>
        <v>100</v>
      </c>
      <c r="V33" s="1125" t="s">
        <v>1423</v>
      </c>
      <c r="W33" s="1126">
        <f t="shared" si="14"/>
        <v>100</v>
      </c>
      <c r="X33" s="1130"/>
      <c r="Y33" s="3466" t="s">
        <v>1444</v>
      </c>
      <c r="Z33" s="1099" t="str">
        <f t="shared" si="15"/>
        <v>建筑类型</v>
      </c>
      <c r="AA33" s="1136">
        <f t="shared" si="3"/>
        <v>1</v>
      </c>
      <c r="AB33" s="1136">
        <f t="shared" si="4"/>
        <v>1</v>
      </c>
      <c r="AC33" s="1481">
        <f t="shared" si="5"/>
        <v>1</v>
      </c>
    </row>
    <row r="34" spans="1:29" s="913" customFormat="1" ht="15">
      <c r="A34" s="992"/>
      <c r="B34" s="944" t="s">
        <v>1445</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62"/>
      <c r="Q34" s="1354" t="str">
        <f t="shared" si="11"/>
        <v>项目建筑规模</v>
      </c>
      <c r="R34" s="1127" t="s">
        <v>1423</v>
      </c>
      <c r="S34" s="1128" t="e">
        <f t="shared" si="12"/>
        <v>#N/A</v>
      </c>
      <c r="T34" s="1127" t="s">
        <v>1423</v>
      </c>
      <c r="U34" s="1128" t="e">
        <f t="shared" si="13"/>
        <v>#N/A</v>
      </c>
      <c r="V34" s="1127" t="s">
        <v>1423</v>
      </c>
      <c r="W34" s="1128" t="e">
        <f t="shared" si="14"/>
        <v>#N/A</v>
      </c>
      <c r="X34" s="1132"/>
      <c r="Y34" s="3466"/>
      <c r="Z34" s="1137" t="str">
        <f t="shared" si="15"/>
        <v>项目建筑规模</v>
      </c>
      <c r="AA34" s="1136" t="e">
        <f t="shared" si="3"/>
        <v>#N/A</v>
      </c>
      <c r="AB34" s="1136" t="e">
        <f t="shared" si="4"/>
        <v>#N/A</v>
      </c>
      <c r="AC34" s="1481" t="e">
        <f t="shared" si="5"/>
        <v>#N/A</v>
      </c>
    </row>
    <row r="35" spans="1:29" ht="15">
      <c r="A35" s="987"/>
      <c r="B35" s="944" t="s">
        <v>1446</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62"/>
      <c r="Q35" s="651" t="str">
        <f t="shared" si="11"/>
        <v>建筑结构</v>
      </c>
      <c r="R35" s="1125" t="s">
        <v>1423</v>
      </c>
      <c r="S35" s="1126">
        <f t="shared" si="12"/>
        <v>100</v>
      </c>
      <c r="T35" s="1125" t="s">
        <v>1423</v>
      </c>
      <c r="U35" s="1126">
        <f t="shared" si="13"/>
        <v>100</v>
      </c>
      <c r="V35" s="1125" t="s">
        <v>1423</v>
      </c>
      <c r="W35" s="1126">
        <f t="shared" si="14"/>
        <v>100</v>
      </c>
      <c r="X35" s="1130"/>
      <c r="Y35" s="3466"/>
      <c r="Z35" s="1099" t="str">
        <f t="shared" si="15"/>
        <v>建筑结构</v>
      </c>
      <c r="AA35" s="1136">
        <f t="shared" si="3"/>
        <v>1</v>
      </c>
      <c r="AB35" s="1136">
        <f t="shared" si="4"/>
        <v>1</v>
      </c>
      <c r="AC35" s="1481">
        <f t="shared" si="5"/>
        <v>1</v>
      </c>
    </row>
    <row r="36" spans="1:29" ht="15">
      <c r="A36" s="987"/>
      <c r="B36" s="944" t="s">
        <v>1448</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62"/>
      <c r="Q36" s="651" t="str">
        <f t="shared" si="11"/>
        <v>公共部分装修</v>
      </c>
      <c r="R36" s="1125" t="s">
        <v>1423</v>
      </c>
      <c r="S36" s="1126">
        <f t="shared" si="12"/>
        <v>100</v>
      </c>
      <c r="T36" s="1125" t="s">
        <v>1423</v>
      </c>
      <c r="U36" s="1126">
        <f t="shared" si="13"/>
        <v>100</v>
      </c>
      <c r="V36" s="1125" t="s">
        <v>1423</v>
      </c>
      <c r="W36" s="1126">
        <f t="shared" si="14"/>
        <v>100</v>
      </c>
      <c r="X36" s="1130"/>
      <c r="Y36" s="3466"/>
      <c r="Z36" s="1099" t="str">
        <f t="shared" si="15"/>
        <v>公共部分装修</v>
      </c>
      <c r="AA36" s="1136">
        <f t="shared" si="3"/>
        <v>1</v>
      </c>
      <c r="AB36" s="1136">
        <f t="shared" si="4"/>
        <v>1</v>
      </c>
      <c r="AC36" s="1481">
        <f t="shared" si="5"/>
        <v>1</v>
      </c>
    </row>
    <row r="37" spans="1:29" ht="15">
      <c r="A37" s="987"/>
      <c r="B37" s="944" t="s">
        <v>573</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62"/>
      <c r="Q37" s="651" t="str">
        <f t="shared" si="11"/>
        <v>成新度</v>
      </c>
      <c r="R37" s="1125" t="s">
        <v>1423</v>
      </c>
      <c r="S37" s="1126" t="e">
        <f t="shared" si="12"/>
        <v>#N/A</v>
      </c>
      <c r="T37" s="1125" t="s">
        <v>1423</v>
      </c>
      <c r="U37" s="1126" t="e">
        <f t="shared" si="13"/>
        <v>#N/A</v>
      </c>
      <c r="V37" s="1125" t="s">
        <v>1423</v>
      </c>
      <c r="W37" s="1126" t="e">
        <f t="shared" si="14"/>
        <v>#N/A</v>
      </c>
      <c r="X37" s="1130"/>
      <c r="Y37" s="3466"/>
      <c r="Z37" s="1099" t="str">
        <f t="shared" si="15"/>
        <v>成新度</v>
      </c>
      <c r="AA37" s="1136" t="e">
        <f t="shared" si="3"/>
        <v>#N/A</v>
      </c>
      <c r="AB37" s="1136" t="e">
        <f t="shared" si="4"/>
        <v>#N/A</v>
      </c>
      <c r="AC37" s="1481" t="e">
        <f t="shared" si="5"/>
        <v>#N/A</v>
      </c>
    </row>
    <row r="38" spans="1:29" s="911" customFormat="1" ht="15">
      <c r="A38" s="989"/>
      <c r="B38" s="944" t="s">
        <v>1519</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62"/>
      <c r="Q38" s="1124" t="str">
        <f t="shared" si="11"/>
        <v>写字楼等级</v>
      </c>
      <c r="R38" s="1121" t="s">
        <v>1423</v>
      </c>
      <c r="S38" s="1122">
        <f t="shared" si="12"/>
        <v>100</v>
      </c>
      <c r="T38" s="1121" t="s">
        <v>1423</v>
      </c>
      <c r="U38" s="1122">
        <f t="shared" si="13"/>
        <v>100</v>
      </c>
      <c r="V38" s="1121" t="s">
        <v>1423</v>
      </c>
      <c r="W38" s="1122">
        <f t="shared" si="14"/>
        <v>100</v>
      </c>
      <c r="X38" s="1131"/>
      <c r="Y38" s="3466"/>
      <c r="Z38" s="1135" t="str">
        <f t="shared" si="15"/>
        <v>写字楼等级</v>
      </c>
      <c r="AA38" s="1134">
        <f t="shared" si="3"/>
        <v>1</v>
      </c>
      <c r="AB38" s="1134">
        <f t="shared" si="4"/>
        <v>1</v>
      </c>
      <c r="AC38" s="1480">
        <f t="shared" si="5"/>
        <v>1</v>
      </c>
    </row>
    <row r="39" spans="1:29" ht="15">
      <c r="A39" s="987"/>
      <c r="B39" s="944" t="s">
        <v>1449</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62" t="s">
        <v>1444</v>
      </c>
      <c r="Q39" s="651" t="str">
        <f t="shared" si="11"/>
        <v>物业管理</v>
      </c>
      <c r="R39" s="1125" t="s">
        <v>1423</v>
      </c>
      <c r="S39" s="1126">
        <f t="shared" si="12"/>
        <v>100</v>
      </c>
      <c r="T39" s="1125" t="s">
        <v>1423</v>
      </c>
      <c r="U39" s="1126">
        <f t="shared" si="13"/>
        <v>100</v>
      </c>
      <c r="V39" s="1125" t="s">
        <v>1423</v>
      </c>
      <c r="W39" s="1126">
        <f t="shared" si="14"/>
        <v>100</v>
      </c>
      <c r="X39" s="1130"/>
      <c r="Y39" s="3466" t="s">
        <v>1444</v>
      </c>
      <c r="Z39" s="1099" t="str">
        <f t="shared" si="15"/>
        <v>物业管理</v>
      </c>
      <c r="AA39" s="1136">
        <f t="shared" si="3"/>
        <v>1</v>
      </c>
      <c r="AB39" s="1136">
        <f t="shared" si="4"/>
        <v>1</v>
      </c>
      <c r="AC39" s="1481">
        <f t="shared" si="5"/>
        <v>1</v>
      </c>
    </row>
    <row r="40" spans="1:29" ht="15">
      <c r="A40" s="987"/>
      <c r="B40" s="944" t="s">
        <v>1450</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62"/>
      <c r="Q40" s="651" t="str">
        <f t="shared" si="11"/>
        <v>市政基础设施</v>
      </c>
      <c r="R40" s="1125" t="s">
        <v>1423</v>
      </c>
      <c r="S40" s="1126">
        <f t="shared" si="12"/>
        <v>100</v>
      </c>
      <c r="T40" s="1125" t="s">
        <v>1423</v>
      </c>
      <c r="U40" s="1126">
        <f t="shared" si="13"/>
        <v>100</v>
      </c>
      <c r="V40" s="1125" t="s">
        <v>1423</v>
      </c>
      <c r="W40" s="1126">
        <f t="shared" si="14"/>
        <v>100</v>
      </c>
      <c r="X40" s="1130"/>
      <c r="Y40" s="3466"/>
      <c r="Z40" s="1099" t="str">
        <f t="shared" si="15"/>
        <v>市政基础设施</v>
      </c>
      <c r="AA40" s="1136">
        <f t="shared" si="3"/>
        <v>1</v>
      </c>
      <c r="AB40" s="1136">
        <f t="shared" si="4"/>
        <v>1</v>
      </c>
      <c r="AC40" s="1481">
        <f t="shared" si="5"/>
        <v>1</v>
      </c>
    </row>
    <row r="41" spans="1:29" ht="15">
      <c r="A41" s="987"/>
      <c r="B41" s="944" t="s">
        <v>1510</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62"/>
      <c r="Q41" s="651" t="str">
        <f t="shared" si="11"/>
        <v>层高</v>
      </c>
      <c r="R41" s="1125" t="s">
        <v>1423</v>
      </c>
      <c r="S41" s="1126">
        <f t="shared" si="12"/>
        <v>100</v>
      </c>
      <c r="T41" s="1125" t="s">
        <v>1423</v>
      </c>
      <c r="U41" s="1126">
        <f t="shared" si="13"/>
        <v>100</v>
      </c>
      <c r="V41" s="1125" t="s">
        <v>1423</v>
      </c>
      <c r="W41" s="1126">
        <f t="shared" si="14"/>
        <v>100</v>
      </c>
      <c r="X41" s="1130"/>
      <c r="Y41" s="3466"/>
      <c r="Z41" s="1099" t="str">
        <f t="shared" si="15"/>
        <v>层高</v>
      </c>
      <c r="AA41" s="1136">
        <f t="shared" si="3"/>
        <v>1</v>
      </c>
      <c r="AB41" s="1136">
        <f t="shared" si="4"/>
        <v>1</v>
      </c>
      <c r="AC41" s="1481">
        <f t="shared" si="5"/>
        <v>1</v>
      </c>
    </row>
    <row r="42" spans="1:29" s="913" customFormat="1" ht="15">
      <c r="A42" s="992"/>
      <c r="B42" s="1118" t="s">
        <v>1520</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62"/>
      <c r="Q42" s="1354" t="str">
        <f t="shared" si="11"/>
        <v>单套建筑面积</v>
      </c>
      <c r="R42" s="1127" t="s">
        <v>1423</v>
      </c>
      <c r="S42" s="1128">
        <f t="shared" si="12"/>
        <v>100</v>
      </c>
      <c r="T42" s="1127" t="s">
        <v>1423</v>
      </c>
      <c r="U42" s="1128">
        <f t="shared" si="13"/>
        <v>100</v>
      </c>
      <c r="V42" s="1127" t="s">
        <v>1423</v>
      </c>
      <c r="W42" s="1128">
        <f t="shared" si="14"/>
        <v>100</v>
      </c>
      <c r="X42" s="1132"/>
      <c r="Y42" s="3466"/>
      <c r="Z42" s="1137" t="str">
        <f t="shared" si="15"/>
        <v>单套建筑面积</v>
      </c>
      <c r="AA42" s="1136">
        <f t="shared" si="3"/>
        <v>1</v>
      </c>
      <c r="AB42" s="1136">
        <f t="shared" si="4"/>
        <v>1</v>
      </c>
      <c r="AC42" s="1481">
        <f t="shared" si="5"/>
        <v>1</v>
      </c>
    </row>
    <row r="43" spans="1:29" ht="15">
      <c r="A43" s="987"/>
      <c r="B43" s="944" t="s">
        <v>1453</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62"/>
      <c r="Q43" s="651" t="str">
        <f t="shared" si="11"/>
        <v>内部装修</v>
      </c>
      <c r="R43" s="1125" t="s">
        <v>1423</v>
      </c>
      <c r="S43" s="1126">
        <f t="shared" si="12"/>
        <v>100</v>
      </c>
      <c r="T43" s="1125" t="s">
        <v>1423</v>
      </c>
      <c r="U43" s="1126">
        <f t="shared" si="13"/>
        <v>100</v>
      </c>
      <c r="V43" s="1125" t="s">
        <v>1423</v>
      </c>
      <c r="W43" s="1126">
        <f t="shared" si="14"/>
        <v>100</v>
      </c>
      <c r="X43" s="1130"/>
      <c r="Y43" s="3466"/>
      <c r="Z43" s="1099" t="str">
        <f t="shared" si="15"/>
        <v>内部装修</v>
      </c>
      <c r="AA43" s="1136">
        <f t="shared" si="3"/>
        <v>1</v>
      </c>
      <c r="AB43" s="1136">
        <f t="shared" si="4"/>
        <v>1</v>
      </c>
      <c r="AC43" s="1481">
        <f t="shared" si="5"/>
        <v>1</v>
      </c>
    </row>
    <row r="44" spans="1:29" ht="15">
      <c r="A44" s="987"/>
      <c r="B44" s="944" t="s">
        <v>1454</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62"/>
      <c r="Q44" s="651" t="str">
        <f t="shared" si="11"/>
        <v>内部装修维护情况</v>
      </c>
      <c r="R44" s="1125" t="s">
        <v>1423</v>
      </c>
      <c r="S44" s="1126">
        <f t="shared" si="12"/>
        <v>100</v>
      </c>
      <c r="T44" s="1125" t="s">
        <v>1423</v>
      </c>
      <c r="U44" s="1126">
        <f t="shared" si="13"/>
        <v>100</v>
      </c>
      <c r="V44" s="1125" t="s">
        <v>1423</v>
      </c>
      <c r="W44" s="1126">
        <f t="shared" si="14"/>
        <v>100</v>
      </c>
      <c r="X44" s="1130"/>
      <c r="Y44" s="3466"/>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62"/>
      <c r="Q45" s="1124">
        <f t="shared" si="11"/>
        <v>111</v>
      </c>
      <c r="R45" s="1121" t="s">
        <v>1423</v>
      </c>
      <c r="S45" s="1122">
        <f t="shared" si="12"/>
        <v>100</v>
      </c>
      <c r="T45" s="1121" t="s">
        <v>1423</v>
      </c>
      <c r="U45" s="1122">
        <f t="shared" si="13"/>
        <v>100</v>
      </c>
      <c r="V45" s="1121" t="s">
        <v>1423</v>
      </c>
      <c r="W45" s="1122">
        <f t="shared" si="14"/>
        <v>100</v>
      </c>
      <c r="X45" s="1131"/>
      <c r="Y45" s="3466"/>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62"/>
      <c r="Q46" s="651">
        <f t="shared" si="11"/>
        <v>111</v>
      </c>
      <c r="R46" s="1125" t="s">
        <v>1423</v>
      </c>
      <c r="S46" s="1126">
        <f t="shared" si="12"/>
        <v>100</v>
      </c>
      <c r="T46" s="1125" t="s">
        <v>1423</v>
      </c>
      <c r="U46" s="1126">
        <f t="shared" si="13"/>
        <v>100</v>
      </c>
      <c r="V46" s="1125" t="s">
        <v>1423</v>
      </c>
      <c r="W46" s="1126">
        <f t="shared" si="14"/>
        <v>100</v>
      </c>
      <c r="X46" s="1130"/>
      <c r="Y46" s="3466"/>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63"/>
      <c r="Q47" s="651">
        <f t="shared" si="11"/>
        <v>111</v>
      </c>
      <c r="R47" s="1125" t="s">
        <v>1423</v>
      </c>
      <c r="S47" s="1126">
        <f t="shared" si="12"/>
        <v>100</v>
      </c>
      <c r="T47" s="1125" t="s">
        <v>1423</v>
      </c>
      <c r="U47" s="1126">
        <f t="shared" si="13"/>
        <v>100</v>
      </c>
      <c r="V47" s="1125" t="s">
        <v>1423</v>
      </c>
      <c r="W47" s="1126">
        <f t="shared" si="14"/>
        <v>100</v>
      </c>
      <c r="X47" s="1130"/>
      <c r="Y47" s="3467"/>
      <c r="Z47" s="1099">
        <f t="shared" si="15"/>
        <v>111</v>
      </c>
      <c r="AA47" s="1136">
        <f t="shared" si="3"/>
        <v>1</v>
      </c>
      <c r="AB47" s="1136">
        <f t="shared" si="4"/>
        <v>1</v>
      </c>
      <c r="AC47" s="1481">
        <f t="shared" si="5"/>
        <v>1</v>
      </c>
    </row>
    <row r="48" spans="1:29" ht="15">
      <c r="A48" s="994" t="s">
        <v>1455</v>
      </c>
      <c r="B48" s="1310"/>
      <c r="C48" s="1311" t="s">
        <v>124</v>
      </c>
      <c r="D48" s="1312"/>
      <c r="E48" s="1342"/>
      <c r="F48" s="1343"/>
      <c r="G48" s="1344"/>
      <c r="H48" s="1345"/>
      <c r="I48" s="1342"/>
      <c r="J48" s="1049"/>
      <c r="K48" s="1091"/>
      <c r="L48" s="1092"/>
      <c r="M48" s="1110"/>
      <c r="N48" s="1110"/>
      <c r="O48" s="1110"/>
      <c r="P48" s="3458" t="str">
        <f>A48</f>
        <v>成交单价（元/平方米）</v>
      </c>
      <c r="Q48" s="3456"/>
      <c r="R48" s="3457">
        <f>E48</f>
        <v>0</v>
      </c>
      <c r="S48" s="3457"/>
      <c r="T48" s="3457">
        <f>G48</f>
        <v>0</v>
      </c>
      <c r="U48" s="3457"/>
      <c r="V48" s="3457">
        <f>I48</f>
        <v>0</v>
      </c>
      <c r="W48" s="3457"/>
      <c r="X48" s="1259"/>
      <c r="Y48" s="1138"/>
      <c r="Z48" s="1259"/>
      <c r="AA48" s="1259"/>
      <c r="AB48" s="1259"/>
      <c r="AC48" s="962"/>
    </row>
    <row r="49" spans="1:29" ht="15">
      <c r="A49" s="998" t="s">
        <v>1456</v>
      </c>
      <c r="B49" s="1313"/>
      <c r="C49" s="1314" t="e">
        <f>R50</f>
        <v>#DIV/0!</v>
      </c>
      <c r="D49" s="1001" t="s">
        <v>1457</v>
      </c>
      <c r="E49" s="1346" t="e">
        <f>R49</f>
        <v>#DIV/0!</v>
      </c>
      <c r="F49" s="1050"/>
      <c r="G49" s="1314" t="e">
        <f>T49</f>
        <v>#DIV/0!</v>
      </c>
      <c r="H49" s="1050"/>
      <c r="I49" s="1346" t="e">
        <f>V49</f>
        <v>#DIV/0!</v>
      </c>
      <c r="J49" s="1050"/>
      <c r="K49" s="1093">
        <f>F49+H49+J49</f>
        <v>0</v>
      </c>
      <c r="L49" s="1092"/>
      <c r="M49" s="1110"/>
      <c r="N49" s="1110"/>
      <c r="O49" s="1110"/>
      <c r="P49" s="3458"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259"/>
      <c r="Y49" s="1259"/>
      <c r="Z49" s="1259"/>
      <c r="AA49" s="1259"/>
      <c r="AB49" s="1259"/>
      <c r="AC49" s="962"/>
    </row>
    <row r="50" spans="1:29" ht="15">
      <c r="A50" s="1002" t="s">
        <v>1458</v>
      </c>
      <c r="B50" s="1003"/>
      <c r="C50" s="1315" t="e">
        <f>R50</f>
        <v>#DIV/0!</v>
      </c>
      <c r="D50" s="1315"/>
      <c r="E50" s="1315"/>
      <c r="F50" s="1315"/>
      <c r="G50" s="1315"/>
      <c r="H50" s="1315"/>
      <c r="I50" s="1315"/>
      <c r="J50" s="1004"/>
      <c r="K50" s="1094"/>
      <c r="L50" s="1092"/>
      <c r="M50" s="1110"/>
      <c r="N50" s="1110"/>
      <c r="O50" s="1110"/>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1459</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1460</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1461</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
      <c r="A58" s="1027" t="s">
        <v>1462</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5">
      <c r="A59" s="1317" t="s">
        <v>1421</v>
      </c>
      <c r="B59" s="1318"/>
      <c r="C59" s="1319" t="str">
        <f>YEAR(C7)&amp;"-"&amp;MONTH(C7)</f>
        <v>2022-9</v>
      </c>
      <c r="D59" s="1320">
        <f>EDATE(C59,-1)</f>
        <v>44774</v>
      </c>
      <c r="E59" s="1320">
        <f>EDATE(D59,-1)</f>
        <v>44743</v>
      </c>
      <c r="F59" s="1320">
        <f t="shared" ref="F59:O59" si="16">EDATE(E59,-1)</f>
        <v>44713</v>
      </c>
      <c r="G59" s="1320">
        <f t="shared" si="16"/>
        <v>44682</v>
      </c>
      <c r="H59" s="1320">
        <f t="shared" si="16"/>
        <v>44652</v>
      </c>
      <c r="I59" s="1320">
        <f t="shared" si="16"/>
        <v>44621</v>
      </c>
      <c r="J59" s="1320">
        <f t="shared" si="16"/>
        <v>44593</v>
      </c>
      <c r="K59" s="1320">
        <f t="shared" si="16"/>
        <v>44562</v>
      </c>
      <c r="L59" s="1320">
        <f t="shared" si="16"/>
        <v>44531</v>
      </c>
      <c r="M59" s="1320">
        <f t="shared" si="16"/>
        <v>44501</v>
      </c>
      <c r="N59" s="1320">
        <f t="shared" si="16"/>
        <v>44470</v>
      </c>
      <c r="O59" s="1320">
        <f t="shared" si="16"/>
        <v>44440</v>
      </c>
      <c r="P59" s="1409"/>
      <c r="Q59" s="1251"/>
      <c r="R59" s="1251"/>
      <c r="S59" s="1251"/>
      <c r="T59" s="1251"/>
      <c r="U59" s="1251"/>
      <c r="V59" s="1251"/>
      <c r="W59" s="1251"/>
      <c r="X59" s="1251"/>
      <c r="Y59" s="1251"/>
      <c r="Z59" s="1251"/>
      <c r="AA59" s="1251"/>
      <c r="AB59" s="1251"/>
      <c r="AC59" s="1251"/>
    </row>
    <row r="60" spans="1:29" s="911" customFormat="1" ht="15">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5">
      <c r="A61" s="1147" t="s">
        <v>1463</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5">
      <c r="A62" s="1151" t="s">
        <v>1424</v>
      </c>
      <c r="B62" s="1152"/>
      <c r="C62" s="1153" t="s">
        <v>1425</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ht="15">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c r="A64" s="1157" t="s">
        <v>1464</v>
      </c>
      <c r="B64" s="1158" t="s">
        <v>1428</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ht="15">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7">
      <c r="A66" s="1159"/>
      <c r="B66" s="1162" t="s">
        <v>1431</v>
      </c>
      <c r="C66" s="1163" t="s">
        <v>1465</v>
      </c>
      <c r="D66" s="1163" t="s">
        <v>1466</v>
      </c>
      <c r="E66" s="1163" t="s">
        <v>1467</v>
      </c>
      <c r="F66" s="1163" t="s">
        <v>1468</v>
      </c>
      <c r="G66" s="1163" t="s">
        <v>1469</v>
      </c>
      <c r="H66" s="1163" t="s">
        <v>1470</v>
      </c>
      <c r="I66" s="1163" t="s">
        <v>1471</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ht="15">
      <c r="A67" s="1159"/>
      <c r="B67" s="1164"/>
      <c r="C67" s="1165" t="s">
        <v>1513</v>
      </c>
      <c r="D67" s="1165" t="s">
        <v>1513</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5">
      <c r="A68" s="1159"/>
      <c r="B68" s="1166" t="s">
        <v>1432</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ht="15">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ht="15">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ht="15">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ht="15">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ht="15">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ht="15">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ht="15">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ht="15">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c r="A77" s="1157" t="s">
        <v>1433</v>
      </c>
      <c r="B77" s="1158" t="s">
        <v>1516</v>
      </c>
      <c r="C77" s="1175" t="s">
        <v>1472</v>
      </c>
      <c r="D77" s="1175" t="s">
        <v>1473</v>
      </c>
      <c r="E77" s="1175" t="s">
        <v>1474</v>
      </c>
      <c r="F77" s="1175" t="s">
        <v>1475</v>
      </c>
      <c r="G77" s="1175" t="s">
        <v>1476</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ht="15">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5">
      <c r="A79" s="1159"/>
      <c r="B79" s="1162" t="s">
        <v>1436</v>
      </c>
      <c r="C79" s="1176" t="s">
        <v>1472</v>
      </c>
      <c r="D79" s="1176" t="s">
        <v>1473</v>
      </c>
      <c r="E79" s="1176" t="s">
        <v>1474</v>
      </c>
      <c r="F79" s="1176" t="s">
        <v>1475</v>
      </c>
      <c r="G79" s="1176" t="s">
        <v>1476</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5">
      <c r="A81" s="1159"/>
      <c r="B81" s="1162" t="s">
        <v>1437</v>
      </c>
      <c r="C81" s="1176" t="s">
        <v>1472</v>
      </c>
      <c r="D81" s="1176" t="s">
        <v>1473</v>
      </c>
      <c r="E81" s="1176" t="s">
        <v>1474</v>
      </c>
      <c r="F81" s="1176" t="s">
        <v>1475</v>
      </c>
      <c r="G81" s="1176" t="s">
        <v>1476</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ht="15">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5">
      <c r="A83" s="1159"/>
      <c r="B83" s="1166" t="s">
        <v>1438</v>
      </c>
      <c r="C83" s="1179" t="s">
        <v>1477</v>
      </c>
      <c r="D83" s="1179" t="s">
        <v>1478</v>
      </c>
      <c r="E83" s="1179" t="s">
        <v>1479</v>
      </c>
      <c r="F83" s="1179" t="s">
        <v>1480</v>
      </c>
      <c r="G83" s="1179" t="s">
        <v>1481</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ht="15">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5">
      <c r="A85" s="1159"/>
      <c r="B85" s="1162" t="s">
        <v>1517</v>
      </c>
      <c r="C85" s="1176" t="s">
        <v>1472</v>
      </c>
      <c r="D85" s="1176" t="s">
        <v>1473</v>
      </c>
      <c r="E85" s="1176" t="s">
        <v>1474</v>
      </c>
      <c r="F85" s="1176" t="s">
        <v>1475</v>
      </c>
      <c r="G85" s="1176" t="s">
        <v>1476</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ht="15">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7">
      <c r="A87" s="1177"/>
      <c r="B87" s="1162" t="s">
        <v>1518</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ht="15">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ht="15">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ht="15">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ht="15">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ht="15">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ht="15">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ht="15">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ht="15">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ht="15">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ht="15">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ht="15">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ht="15">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c r="A101" s="1157" t="s">
        <v>1442</v>
      </c>
      <c r="B101" s="1158" t="s">
        <v>1443</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5">
      <c r="A103" s="1159"/>
      <c r="B103" s="1162" t="s">
        <v>1445</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ht="15">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c r="A106" s="1185"/>
      <c r="B106" s="1162" t="s">
        <v>1446</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ht="15">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c r="A108" s="1185"/>
      <c r="B108" s="1162" t="s">
        <v>1448</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ht="15">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c r="A110" s="1185"/>
      <c r="B110" s="1162" t="s">
        <v>573</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ht="15">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c r="A113" s="1181"/>
      <c r="B113" s="1162" t="s">
        <v>1519</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ht="15">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c r="A115" s="1185"/>
      <c r="B115" s="1162" t="s">
        <v>1449</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ht="15">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c r="A117" s="1185"/>
      <c r="B117" s="1162" t="s">
        <v>1450</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ht="15">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c r="A119" s="1185"/>
      <c r="B119" s="1356" t="s">
        <v>1521</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ht="15">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c r="A121" s="1181"/>
      <c r="B121" s="1162" t="s">
        <v>1511</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ht="15">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c r="A123" s="1185"/>
      <c r="B123" s="1162" t="s">
        <v>1453</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ht="15">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c r="A125" s="1185"/>
      <c r="B125" s="1162" t="s">
        <v>1454</v>
      </c>
      <c r="C125" s="1176" t="s">
        <v>1472</v>
      </c>
      <c r="D125" s="1176" t="s">
        <v>1473</v>
      </c>
      <c r="E125" s="1176" t="s">
        <v>1474</v>
      </c>
      <c r="F125" s="1176" t="s">
        <v>1475</v>
      </c>
      <c r="G125" s="1176" t="s">
        <v>1476</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ht="15">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ht="15">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ht="15">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ht="15">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25" t="s">
        <v>1522</v>
      </c>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IF(C2="——",ROUND(C43*D3/10000,0),ROUND(C43*D3/10000,0)-D2)</f>
        <v>#DIV/0!</v>
      </c>
      <c r="C2" s="1296"/>
      <c r="D2" s="1256" t="e">
        <f ca="1">SUMIF(INDIRECT("'"&amp;F2&amp;"'"&amp;"!A:A"),"承租人权益价值",INDIRECT("'"&amp;F2&amp;"'"&amp;"!c:c"))</f>
        <v>#REF!</v>
      </c>
      <c r="E2" s="1326" t="s">
        <v>925</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926</v>
      </c>
      <c r="B3" s="926" t="e">
        <f ca="1">IF(C2="——",C43,ROUND(B2*10000/D3,0))</f>
        <v>#DIV/0!</v>
      </c>
      <c r="C3" s="1297" t="s">
        <v>1407</v>
      </c>
      <c r="D3" s="1298">
        <f>IF(D1="",'数据-汇总表'!E3,SUMIF('数据-汇总表'!$C19:$C33,D1,'数据-汇总表'!$E19:$E33))</f>
        <v>29009.8</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5">
      <c r="A4" s="928" t="s">
        <v>1408</v>
      </c>
      <c r="B4" s="929"/>
      <c r="C4" s="3441" t="s">
        <v>1409</v>
      </c>
      <c r="D4" s="3442"/>
      <c r="E4" s="3443" t="s">
        <v>1410</v>
      </c>
      <c r="F4" s="3444"/>
      <c r="G4" s="3441" t="s">
        <v>1411</v>
      </c>
      <c r="H4" s="3442"/>
      <c r="I4" s="3441" t="s">
        <v>1412</v>
      </c>
      <c r="J4" s="3442"/>
      <c r="K4" s="1074" t="s">
        <v>1413</v>
      </c>
      <c r="L4" s="1430"/>
      <c r="M4" s="1438"/>
      <c r="N4" s="1438"/>
      <c r="O4" s="1438"/>
      <c r="P4" s="3474" t="s">
        <v>1414</v>
      </c>
      <c r="Q4" s="3475"/>
      <c r="R4" s="3480" t="s">
        <v>1410</v>
      </c>
      <c r="S4" s="3481"/>
      <c r="T4" s="3480" t="s">
        <v>1411</v>
      </c>
      <c r="U4" s="3481"/>
      <c r="V4" s="3486" t="s">
        <v>1412</v>
      </c>
      <c r="W4" s="3486"/>
      <c r="X4" s="1130"/>
      <c r="Y4" s="3480" t="s">
        <v>1414</v>
      </c>
      <c r="Z4" s="3481"/>
      <c r="AA4" s="3471" t="s">
        <v>1410</v>
      </c>
      <c r="AB4" s="3472" t="s">
        <v>1411</v>
      </c>
      <c r="AC4" s="3471" t="s">
        <v>1412</v>
      </c>
    </row>
    <row r="5" spans="1:29" ht="15">
      <c r="A5" s="930"/>
      <c r="B5" s="931"/>
      <c r="C5" s="3445" t="s">
        <v>1415</v>
      </c>
      <c r="D5" s="3446"/>
      <c r="E5" s="3447" t="s">
        <v>1416</v>
      </c>
      <c r="F5" s="3448"/>
      <c r="G5" s="3445" t="s">
        <v>1417</v>
      </c>
      <c r="H5" s="3446"/>
      <c r="I5" s="3445" t="s">
        <v>1418</v>
      </c>
      <c r="J5" s="3446"/>
      <c r="K5" s="1074"/>
      <c r="L5" s="1430"/>
      <c r="M5" s="1438"/>
      <c r="N5" s="1438"/>
      <c r="O5" s="1438"/>
      <c r="P5" s="3476"/>
      <c r="Q5" s="3477"/>
      <c r="R5" s="3482"/>
      <c r="S5" s="3483"/>
      <c r="T5" s="3482"/>
      <c r="U5" s="3483"/>
      <c r="V5" s="3486"/>
      <c r="W5" s="3486"/>
      <c r="X5" s="1130"/>
      <c r="Y5" s="3482"/>
      <c r="Z5" s="3483"/>
      <c r="AA5" s="3472"/>
      <c r="AB5" s="3472"/>
      <c r="AC5" s="3472"/>
    </row>
    <row r="6" spans="1:29" ht="15">
      <c r="A6" s="932"/>
      <c r="B6" s="933"/>
      <c r="C6" s="3449" t="s">
        <v>1419</v>
      </c>
      <c r="D6" s="3450"/>
      <c r="E6" s="3451" t="s">
        <v>1419</v>
      </c>
      <c r="F6" s="3452"/>
      <c r="G6" s="3449" t="s">
        <v>1419</v>
      </c>
      <c r="H6" s="3450"/>
      <c r="I6" s="3449" t="s">
        <v>1419</v>
      </c>
      <c r="J6" s="3450"/>
      <c r="K6" s="1074" t="s">
        <v>1420</v>
      </c>
      <c r="L6" s="1430"/>
      <c r="M6" s="1438"/>
      <c r="N6" s="1438"/>
      <c r="O6" s="1438"/>
      <c r="P6" s="3478"/>
      <c r="Q6" s="3479"/>
      <c r="R6" s="3482"/>
      <c r="S6" s="3483"/>
      <c r="T6" s="3484"/>
      <c r="U6" s="3485"/>
      <c r="V6" s="3486"/>
      <c r="W6" s="3486"/>
      <c r="X6" s="1130"/>
      <c r="Y6" s="3484"/>
      <c r="Z6" s="3485"/>
      <c r="AA6" s="3473"/>
      <c r="AB6" s="3473"/>
      <c r="AC6" s="3473"/>
    </row>
    <row r="7" spans="1:29" s="911" customFormat="1" ht="15">
      <c r="A7" s="934" t="s">
        <v>1421</v>
      </c>
      <c r="B7" s="935"/>
      <c r="C7" s="936">
        <f>'数据-取费表'!B2</f>
        <v>44827</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53" t="s">
        <v>1422</v>
      </c>
      <c r="Q7" s="3454"/>
      <c r="R7" s="1121" t="s">
        <v>1423</v>
      </c>
      <c r="S7" s="1122">
        <f t="shared" ref="S7:S15" si="0">F7</f>
        <v>0</v>
      </c>
      <c r="T7" s="1121" t="s">
        <v>1423</v>
      </c>
      <c r="U7" s="1122">
        <f t="shared" ref="U7:U15" si="1">H7</f>
        <v>0</v>
      </c>
      <c r="V7" s="1121" t="s">
        <v>1423</v>
      </c>
      <c r="W7" s="1122">
        <f t="shared" ref="W7:W15" si="2">J7</f>
        <v>0</v>
      </c>
      <c r="X7" s="1131"/>
      <c r="Y7" s="3453" t="s">
        <v>1422</v>
      </c>
      <c r="Z7" s="3455"/>
      <c r="AA7" s="1134" t="e">
        <f>D7/F7</f>
        <v>#DIV/0!</v>
      </c>
      <c r="AB7" s="1134" t="e">
        <f>D7/H7</f>
        <v>#DIV/0!</v>
      </c>
      <c r="AC7" s="1134" t="e">
        <f>D7/J7</f>
        <v>#DIV/0!</v>
      </c>
    </row>
    <row r="8" spans="1:29" s="911" customFormat="1" ht="15">
      <c r="A8" s="934" t="s">
        <v>1424</v>
      </c>
      <c r="B8" s="935"/>
      <c r="C8" s="938" t="s">
        <v>1425</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40" si="3">D8/F8</f>
        <v>#DIV/0!</v>
      </c>
      <c r="AB8" s="1134" t="e">
        <f t="shared" ref="AB8:AB40" si="4">D8/H8</f>
        <v>#DIV/0!</v>
      </c>
      <c r="AC8" s="1134" t="e">
        <f t="shared" ref="AC8:AC40" si="5">D8/J8</f>
        <v>#DIV/0!</v>
      </c>
    </row>
    <row r="9" spans="1:29" s="911" customFormat="1">
      <c r="A9" s="939" t="s">
        <v>1427</v>
      </c>
      <c r="B9" s="940" t="s">
        <v>1428</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6" t="s">
        <v>1429</v>
      </c>
      <c r="Q9" s="1124" t="str">
        <f t="shared" ref="Q9:Q15" si="6">B9</f>
        <v>用途</v>
      </c>
      <c r="R9" s="1121" t="s">
        <v>1423</v>
      </c>
      <c r="S9" s="1122">
        <f t="shared" si="0"/>
        <v>100</v>
      </c>
      <c r="T9" s="1121" t="s">
        <v>1423</v>
      </c>
      <c r="U9" s="1122">
        <f t="shared" si="1"/>
        <v>100</v>
      </c>
      <c r="V9" s="1121" t="s">
        <v>1423</v>
      </c>
      <c r="W9" s="1122">
        <f t="shared" si="2"/>
        <v>100</v>
      </c>
      <c r="X9" s="1131"/>
      <c r="Y9" s="3411" t="s">
        <v>1430</v>
      </c>
      <c r="Z9" s="1135" t="str">
        <f t="shared" ref="Z9:Z15" si="7">Q9</f>
        <v>用途</v>
      </c>
      <c r="AA9" s="1134">
        <f t="shared" si="3"/>
        <v>1</v>
      </c>
      <c r="AB9" s="1134">
        <f t="shared" si="4"/>
        <v>1</v>
      </c>
      <c r="AC9" s="1134">
        <f t="shared" si="5"/>
        <v>1</v>
      </c>
    </row>
    <row r="10" spans="1:29" s="912" customFormat="1" ht="27">
      <c r="A10" s="943"/>
      <c r="B10" s="944" t="s">
        <v>1431</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6"/>
      <c r="Q10" s="1124" t="str">
        <f t="shared" si="6"/>
        <v>土地使用年限（年）</v>
      </c>
      <c r="R10" s="1121" t="s">
        <v>1423</v>
      </c>
      <c r="S10" s="1122">
        <f t="shared" si="0"/>
        <v>100</v>
      </c>
      <c r="T10" s="1121" t="s">
        <v>1423</v>
      </c>
      <c r="U10" s="1122">
        <f t="shared" si="1"/>
        <v>100</v>
      </c>
      <c r="V10" s="1121" t="s">
        <v>1423</v>
      </c>
      <c r="W10" s="1122">
        <f t="shared" si="2"/>
        <v>100</v>
      </c>
      <c r="X10" s="1131"/>
      <c r="Y10" s="3411"/>
      <c r="Z10" s="1135" t="str">
        <f t="shared" si="7"/>
        <v>土地使用年限（年）</v>
      </c>
      <c r="AA10" s="1134">
        <f t="shared" si="3"/>
        <v>1</v>
      </c>
      <c r="AB10" s="1134">
        <f t="shared" si="4"/>
        <v>1</v>
      </c>
      <c r="AC10" s="1134">
        <f t="shared" si="5"/>
        <v>1</v>
      </c>
    </row>
    <row r="11" spans="1:29" ht="15">
      <c r="A11" s="947"/>
      <c r="B11" s="944" t="s">
        <v>1432</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6"/>
      <c r="Q11" s="1124" t="str">
        <f t="shared" si="6"/>
        <v>容积率</v>
      </c>
      <c r="R11" s="1121" t="s">
        <v>1423</v>
      </c>
      <c r="S11" s="1122" t="e">
        <f t="shared" si="0"/>
        <v>#N/A</v>
      </c>
      <c r="T11" s="1121" t="s">
        <v>1423</v>
      </c>
      <c r="U11" s="1122" t="e">
        <f t="shared" si="1"/>
        <v>#N/A</v>
      </c>
      <c r="V11" s="1121" t="s">
        <v>1423</v>
      </c>
      <c r="W11" s="1122" t="e">
        <f t="shared" si="2"/>
        <v>#N/A</v>
      </c>
      <c r="X11" s="1131"/>
      <c r="Y11" s="3411"/>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6"/>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6"/>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6"/>
      <c r="Q14" s="1124">
        <f t="shared" si="6"/>
        <v>111</v>
      </c>
      <c r="R14" s="1121" t="s">
        <v>1423</v>
      </c>
      <c r="S14" s="1122">
        <f t="shared" si="0"/>
        <v>100</v>
      </c>
      <c r="T14" s="1121" t="s">
        <v>1423</v>
      </c>
      <c r="U14" s="1122">
        <f t="shared" si="1"/>
        <v>100</v>
      </c>
      <c r="V14" s="1121" t="s">
        <v>1423</v>
      </c>
      <c r="W14" s="1122">
        <f t="shared" si="2"/>
        <v>100</v>
      </c>
      <c r="X14" s="1131"/>
      <c r="Y14" s="3411"/>
      <c r="Z14" s="1135">
        <f t="shared" si="7"/>
        <v>111</v>
      </c>
      <c r="AA14" s="1134">
        <f t="shared" si="3"/>
        <v>1</v>
      </c>
      <c r="AB14" s="1134">
        <f t="shared" si="4"/>
        <v>1</v>
      </c>
      <c r="AC14" s="1134">
        <f t="shared" si="5"/>
        <v>1</v>
      </c>
    </row>
    <row r="15" spans="1:29" ht="57">
      <c r="A15" s="958" t="s">
        <v>1433</v>
      </c>
      <c r="B15" s="1257" t="s">
        <v>1523</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64" t="s">
        <v>1435</v>
      </c>
      <c r="Q15" s="651" t="str">
        <f t="shared" si="6"/>
        <v>产业集聚程度</v>
      </c>
      <c r="R15" s="1125" t="s">
        <v>1423</v>
      </c>
      <c r="S15" s="1126">
        <f t="shared" si="0"/>
        <v>100</v>
      </c>
      <c r="T15" s="1125" t="s">
        <v>1423</v>
      </c>
      <c r="U15" s="1126">
        <f t="shared" si="1"/>
        <v>100</v>
      </c>
      <c r="V15" s="1125" t="s">
        <v>1423</v>
      </c>
      <c r="W15" s="1126">
        <f t="shared" si="2"/>
        <v>100</v>
      </c>
      <c r="X15" s="1130"/>
      <c r="Y15" s="3464" t="s">
        <v>1435</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65"/>
      <c r="Q16" s="651"/>
      <c r="R16" s="1125"/>
      <c r="S16" s="1126"/>
      <c r="T16" s="1125"/>
      <c r="U16" s="1126"/>
      <c r="V16" s="1125"/>
      <c r="W16" s="1126"/>
      <c r="X16" s="1130"/>
      <c r="Y16" s="3465"/>
      <c r="Z16" s="1099"/>
      <c r="AA16" s="1136">
        <v>1</v>
      </c>
      <c r="AB16" s="1136">
        <v>1</v>
      </c>
      <c r="AC16" s="1136">
        <v>1</v>
      </c>
    </row>
    <row r="17" spans="1:29" ht="85.5">
      <c r="A17" s="947"/>
      <c r="B17" s="1260" t="s">
        <v>1436</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65"/>
      <c r="Q17" s="651" t="str">
        <f>B17</f>
        <v>交通便捷度</v>
      </c>
      <c r="R17" s="1125" t="s">
        <v>1423</v>
      </c>
      <c r="S17" s="1126">
        <f>F17</f>
        <v>100</v>
      </c>
      <c r="T17" s="1125" t="s">
        <v>1423</v>
      </c>
      <c r="U17" s="1126">
        <f>H17</f>
        <v>100</v>
      </c>
      <c r="V17" s="1125" t="s">
        <v>1423</v>
      </c>
      <c r="W17" s="1126">
        <f>J17</f>
        <v>100</v>
      </c>
      <c r="X17" s="1130"/>
      <c r="Y17" s="3465"/>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65"/>
      <c r="Q18" s="651"/>
      <c r="R18" s="1125"/>
      <c r="S18" s="1126"/>
      <c r="T18" s="1125"/>
      <c r="U18" s="1126"/>
      <c r="V18" s="1125"/>
      <c r="W18" s="1126"/>
      <c r="X18" s="1130"/>
      <c r="Y18" s="3465"/>
      <c r="Z18" s="1099"/>
      <c r="AA18" s="1136">
        <v>1</v>
      </c>
      <c r="AB18" s="1136">
        <v>1</v>
      </c>
      <c r="AC18" s="1136">
        <v>1</v>
      </c>
    </row>
    <row r="19" spans="1:29" ht="42.75">
      <c r="A19" s="947"/>
      <c r="B19" s="1260" t="s">
        <v>1437</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65"/>
      <c r="Q19" s="651" t="str">
        <f>B19</f>
        <v>公共配套设施</v>
      </c>
      <c r="R19" s="1125" t="s">
        <v>1423</v>
      </c>
      <c r="S19" s="1126">
        <f>F19</f>
        <v>100</v>
      </c>
      <c r="T19" s="1125" t="s">
        <v>1423</v>
      </c>
      <c r="U19" s="1126">
        <f>H19</f>
        <v>100</v>
      </c>
      <c r="V19" s="1125" t="s">
        <v>1423</v>
      </c>
      <c r="W19" s="1126">
        <f>J19</f>
        <v>100</v>
      </c>
      <c r="X19" s="1130"/>
      <c r="Y19" s="3465"/>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65"/>
      <c r="Q20" s="651"/>
      <c r="R20" s="1125"/>
      <c r="S20" s="1126"/>
      <c r="T20" s="1125"/>
      <c r="U20" s="1126"/>
      <c r="V20" s="1125"/>
      <c r="W20" s="1126"/>
      <c r="X20" s="1130"/>
      <c r="Y20" s="3465"/>
      <c r="Z20" s="1099"/>
      <c r="AA20" s="1136">
        <v>1</v>
      </c>
      <c r="AB20" s="1136">
        <v>1</v>
      </c>
      <c r="AC20" s="1136">
        <v>1</v>
      </c>
    </row>
    <row r="21" spans="1:29" ht="28.5">
      <c r="A21" s="947"/>
      <c r="B21" s="1262" t="s">
        <v>1438</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65"/>
      <c r="Q21" s="651" t="str">
        <f>B21</f>
        <v>基础设施水平</v>
      </c>
      <c r="R21" s="1125" t="s">
        <v>1423</v>
      </c>
      <c r="S21" s="1126">
        <f>F21</f>
        <v>100</v>
      </c>
      <c r="T21" s="1125" t="s">
        <v>1423</v>
      </c>
      <c r="U21" s="1126">
        <f>H21</f>
        <v>100</v>
      </c>
      <c r="V21" s="1125" t="s">
        <v>1423</v>
      </c>
      <c r="W21" s="1126">
        <f>J21</f>
        <v>100</v>
      </c>
      <c r="X21" s="1130"/>
      <c r="Y21" s="3465"/>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65"/>
      <c r="Q22" s="651"/>
      <c r="R22" s="1125"/>
      <c r="S22" s="1126"/>
      <c r="T22" s="1125"/>
      <c r="U22" s="1126"/>
      <c r="V22" s="1125"/>
      <c r="W22" s="1126"/>
      <c r="X22" s="1130"/>
      <c r="Y22" s="3465"/>
      <c r="Z22" s="1099"/>
      <c r="AA22" s="1136">
        <v>1</v>
      </c>
      <c r="AB22" s="1136">
        <v>1</v>
      </c>
      <c r="AC22" s="1136">
        <v>1</v>
      </c>
    </row>
    <row r="23" spans="1:29" ht="71.25">
      <c r="A23" s="947"/>
      <c r="B23" s="1260" t="s">
        <v>1517</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65"/>
      <c r="Q23" s="651" t="str">
        <f>B23</f>
        <v>环境质量</v>
      </c>
      <c r="R23" s="1125" t="s">
        <v>1423</v>
      </c>
      <c r="S23" s="1126">
        <f>F23</f>
        <v>100</v>
      </c>
      <c r="T23" s="1125" t="s">
        <v>1423</v>
      </c>
      <c r="U23" s="1126">
        <f>H23</f>
        <v>100</v>
      </c>
      <c r="V23" s="1125" t="s">
        <v>1423</v>
      </c>
      <c r="W23" s="1126">
        <f>J23</f>
        <v>100</v>
      </c>
      <c r="X23" s="1130"/>
      <c r="Y23" s="3465"/>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65"/>
      <c r="Q24" s="651"/>
      <c r="R24" s="1125"/>
      <c r="S24" s="1126"/>
      <c r="T24" s="1125"/>
      <c r="U24" s="1126"/>
      <c r="V24" s="1125"/>
      <c r="W24" s="1126"/>
      <c r="X24" s="1130"/>
      <c r="Y24" s="3465"/>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65"/>
      <c r="Q25" s="651">
        <f>B25</f>
        <v>111</v>
      </c>
      <c r="R25" s="1125" t="s">
        <v>1423</v>
      </c>
      <c r="S25" s="1126">
        <f>F25</f>
        <v>100</v>
      </c>
      <c r="T25" s="1125" t="s">
        <v>1423</v>
      </c>
      <c r="U25" s="1126">
        <f>H25</f>
        <v>100</v>
      </c>
      <c r="V25" s="1125" t="s">
        <v>1423</v>
      </c>
      <c r="W25" s="1126">
        <f>J25</f>
        <v>100</v>
      </c>
      <c r="X25" s="1130"/>
      <c r="Y25" s="3465"/>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65"/>
      <c r="Q26" s="651">
        <f t="shared" ref="Q26:Q40" si="11">B26</f>
        <v>111</v>
      </c>
      <c r="R26" s="1125" t="s">
        <v>1423</v>
      </c>
      <c r="S26" s="1126">
        <f>F26</f>
        <v>100</v>
      </c>
      <c r="T26" s="1125" t="s">
        <v>1423</v>
      </c>
      <c r="U26" s="1126">
        <f>H26</f>
        <v>100</v>
      </c>
      <c r="V26" s="1125" t="s">
        <v>1423</v>
      </c>
      <c r="W26" s="1126">
        <f>J26</f>
        <v>100</v>
      </c>
      <c r="X26" s="1130"/>
      <c r="Y26" s="3465"/>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65"/>
      <c r="Q27" s="1124">
        <f t="shared" si="11"/>
        <v>111</v>
      </c>
      <c r="R27" s="1121" t="s">
        <v>1423</v>
      </c>
      <c r="S27" s="1122">
        <f>F27</f>
        <v>100</v>
      </c>
      <c r="T27" s="1121" t="s">
        <v>1423</v>
      </c>
      <c r="U27" s="1122">
        <f>H27</f>
        <v>100</v>
      </c>
      <c r="V27" s="1121" t="s">
        <v>1423</v>
      </c>
      <c r="W27" s="1122">
        <f>J27</f>
        <v>100</v>
      </c>
      <c r="X27" s="1131"/>
      <c r="Y27" s="3465"/>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65"/>
      <c r="Q28" s="651">
        <f t="shared" si="11"/>
        <v>111</v>
      </c>
      <c r="R28" s="1125" t="s">
        <v>1423</v>
      </c>
      <c r="S28" s="1126">
        <f t="shared" ref="S28:S40" si="12">F28</f>
        <v>100</v>
      </c>
      <c r="T28" s="1125" t="s">
        <v>1423</v>
      </c>
      <c r="U28" s="1126">
        <f t="shared" ref="U28:U40" si="13">H28</f>
        <v>100</v>
      </c>
      <c r="V28" s="1125" t="s">
        <v>1423</v>
      </c>
      <c r="W28" s="1126">
        <f t="shared" ref="W28:W40" si="14">J28</f>
        <v>100</v>
      </c>
      <c r="X28" s="1130"/>
      <c r="Y28" s="3465"/>
      <c r="Z28" s="1099">
        <f t="shared" ref="Z28:Z40" si="15">Q28</f>
        <v>111</v>
      </c>
      <c r="AA28" s="1136">
        <f t="shared" si="3"/>
        <v>1</v>
      </c>
      <c r="AB28" s="1136">
        <f t="shared" si="4"/>
        <v>1</v>
      </c>
      <c r="AC28" s="1136">
        <f t="shared" si="5"/>
        <v>1</v>
      </c>
    </row>
    <row r="29" spans="1:29" ht="28.5">
      <c r="A29" s="1303" t="s">
        <v>1442</v>
      </c>
      <c r="B29" s="940" t="s">
        <v>1443</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502" t="s">
        <v>1444</v>
      </c>
      <c r="Q29" s="651" t="str">
        <f t="shared" si="11"/>
        <v>建筑类型</v>
      </c>
      <c r="R29" s="1125" t="s">
        <v>1423</v>
      </c>
      <c r="S29" s="1126">
        <f t="shared" si="12"/>
        <v>100</v>
      </c>
      <c r="T29" s="1125" t="s">
        <v>1423</v>
      </c>
      <c r="U29" s="1126">
        <f t="shared" si="13"/>
        <v>100</v>
      </c>
      <c r="V29" s="1125" t="s">
        <v>1423</v>
      </c>
      <c r="W29" s="1126">
        <f t="shared" si="14"/>
        <v>100</v>
      </c>
      <c r="X29" s="1130"/>
      <c r="Y29" s="3466" t="s">
        <v>1444</v>
      </c>
      <c r="Z29" s="1099" t="str">
        <f t="shared" si="15"/>
        <v>建筑类型</v>
      </c>
      <c r="AA29" s="1136">
        <f t="shared" si="3"/>
        <v>1</v>
      </c>
      <c r="AB29" s="1136">
        <f t="shared" si="4"/>
        <v>1</v>
      </c>
      <c r="AC29" s="1136">
        <f t="shared" si="5"/>
        <v>1</v>
      </c>
    </row>
    <row r="30" spans="1:29" s="913" customFormat="1" ht="15">
      <c r="A30" s="992"/>
      <c r="B30" s="944" t="s">
        <v>1445</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66"/>
      <c r="Q30" s="1354" t="str">
        <f t="shared" si="11"/>
        <v>项目建筑规模</v>
      </c>
      <c r="R30" s="1127" t="s">
        <v>1423</v>
      </c>
      <c r="S30" s="1128" t="e">
        <f t="shared" si="12"/>
        <v>#N/A</v>
      </c>
      <c r="T30" s="1127" t="s">
        <v>1423</v>
      </c>
      <c r="U30" s="1128" t="e">
        <f t="shared" si="13"/>
        <v>#N/A</v>
      </c>
      <c r="V30" s="1127" t="s">
        <v>1423</v>
      </c>
      <c r="W30" s="1128" t="e">
        <f t="shared" si="14"/>
        <v>#N/A</v>
      </c>
      <c r="X30" s="1132"/>
      <c r="Y30" s="3466"/>
      <c r="Z30" s="1137" t="str">
        <f t="shared" si="15"/>
        <v>项目建筑规模</v>
      </c>
      <c r="AA30" s="1136" t="e">
        <f t="shared" si="3"/>
        <v>#N/A</v>
      </c>
      <c r="AB30" s="1136" t="e">
        <f t="shared" si="4"/>
        <v>#N/A</v>
      </c>
      <c r="AC30" s="1136" t="e">
        <f t="shared" si="5"/>
        <v>#N/A</v>
      </c>
    </row>
    <row r="31" spans="1:29" ht="15">
      <c r="A31" s="987"/>
      <c r="B31" s="944" t="s">
        <v>1446</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66"/>
      <c r="Q31" s="651" t="str">
        <f t="shared" si="11"/>
        <v>建筑结构</v>
      </c>
      <c r="R31" s="1125" t="s">
        <v>1423</v>
      </c>
      <c r="S31" s="1126">
        <f t="shared" si="12"/>
        <v>100</v>
      </c>
      <c r="T31" s="1125" t="s">
        <v>1423</v>
      </c>
      <c r="U31" s="1126">
        <f t="shared" si="13"/>
        <v>100</v>
      </c>
      <c r="V31" s="1125" t="s">
        <v>1423</v>
      </c>
      <c r="W31" s="1126">
        <f t="shared" si="14"/>
        <v>100</v>
      </c>
      <c r="X31" s="1130"/>
      <c r="Y31" s="3466"/>
      <c r="Z31" s="1099" t="str">
        <f t="shared" si="15"/>
        <v>建筑结构</v>
      </c>
      <c r="AA31" s="1136">
        <f t="shared" si="3"/>
        <v>1</v>
      </c>
      <c r="AB31" s="1136">
        <f t="shared" si="4"/>
        <v>1</v>
      </c>
      <c r="AC31" s="1136">
        <f t="shared" si="5"/>
        <v>1</v>
      </c>
    </row>
    <row r="32" spans="1:29" ht="15">
      <c r="A32" s="987"/>
      <c r="B32" s="944" t="s">
        <v>1448</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66"/>
      <c r="Q32" s="651" t="str">
        <f t="shared" si="11"/>
        <v>公共部分装修</v>
      </c>
      <c r="R32" s="1125" t="s">
        <v>1423</v>
      </c>
      <c r="S32" s="1126">
        <f t="shared" si="12"/>
        <v>100</v>
      </c>
      <c r="T32" s="1125" t="s">
        <v>1423</v>
      </c>
      <c r="U32" s="1126">
        <f t="shared" si="13"/>
        <v>100</v>
      </c>
      <c r="V32" s="1125" t="s">
        <v>1423</v>
      </c>
      <c r="W32" s="1126">
        <f t="shared" si="14"/>
        <v>100</v>
      </c>
      <c r="X32" s="1130"/>
      <c r="Y32" s="3466"/>
      <c r="Z32" s="1099" t="str">
        <f t="shared" si="15"/>
        <v>公共部分装修</v>
      </c>
      <c r="AA32" s="1136">
        <f t="shared" si="3"/>
        <v>1</v>
      </c>
      <c r="AB32" s="1136">
        <f t="shared" si="4"/>
        <v>1</v>
      </c>
      <c r="AC32" s="1136">
        <f t="shared" si="5"/>
        <v>1</v>
      </c>
    </row>
    <row r="33" spans="1:29" ht="15">
      <c r="A33" s="987"/>
      <c r="B33" s="944" t="s">
        <v>573</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66"/>
      <c r="Q33" s="651" t="str">
        <f t="shared" si="11"/>
        <v>成新度</v>
      </c>
      <c r="R33" s="1125" t="s">
        <v>1423</v>
      </c>
      <c r="S33" s="1126" t="e">
        <f t="shared" si="12"/>
        <v>#N/A</v>
      </c>
      <c r="T33" s="1125" t="s">
        <v>1423</v>
      </c>
      <c r="U33" s="1126" t="e">
        <f t="shared" si="13"/>
        <v>#N/A</v>
      </c>
      <c r="V33" s="1125" t="s">
        <v>1423</v>
      </c>
      <c r="W33" s="1126" t="e">
        <f t="shared" si="14"/>
        <v>#N/A</v>
      </c>
      <c r="X33" s="1130"/>
      <c r="Y33" s="3466"/>
      <c r="Z33" s="1099" t="str">
        <f t="shared" si="15"/>
        <v>成新度</v>
      </c>
      <c r="AA33" s="1136" t="e">
        <f t="shared" si="3"/>
        <v>#N/A</v>
      </c>
      <c r="AB33" s="1136" t="e">
        <f t="shared" si="4"/>
        <v>#N/A</v>
      </c>
      <c r="AC33" s="1136" t="e">
        <f t="shared" si="5"/>
        <v>#N/A</v>
      </c>
    </row>
    <row r="34" spans="1:29" s="911" customFormat="1" ht="15">
      <c r="A34" s="989"/>
      <c r="B34" s="944" t="s">
        <v>1449</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66"/>
      <c r="Q34" s="1124" t="str">
        <f t="shared" si="11"/>
        <v>物业管理</v>
      </c>
      <c r="R34" s="1121" t="s">
        <v>1423</v>
      </c>
      <c r="S34" s="1122">
        <f t="shared" si="12"/>
        <v>100</v>
      </c>
      <c r="T34" s="1121" t="s">
        <v>1423</v>
      </c>
      <c r="U34" s="1122">
        <f t="shared" si="13"/>
        <v>100</v>
      </c>
      <c r="V34" s="1121" t="s">
        <v>1423</v>
      </c>
      <c r="W34" s="1122">
        <f t="shared" si="14"/>
        <v>100</v>
      </c>
      <c r="X34" s="1131"/>
      <c r="Y34" s="3466"/>
      <c r="Z34" s="1135" t="str">
        <f t="shared" si="15"/>
        <v>物业管理</v>
      </c>
      <c r="AA34" s="1134">
        <f t="shared" si="3"/>
        <v>1</v>
      </c>
      <c r="AB34" s="1134">
        <f t="shared" si="4"/>
        <v>1</v>
      </c>
      <c r="AC34" s="1134">
        <f t="shared" si="5"/>
        <v>1</v>
      </c>
    </row>
    <row r="35" spans="1:29" ht="15">
      <c r="A35" s="987"/>
      <c r="B35" s="944" t="s">
        <v>1450</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66" t="s">
        <v>1444</v>
      </c>
      <c r="Q35" s="651" t="str">
        <f t="shared" si="11"/>
        <v>市政基础设施</v>
      </c>
      <c r="R35" s="1125" t="s">
        <v>1423</v>
      </c>
      <c r="S35" s="1126">
        <f t="shared" si="12"/>
        <v>100</v>
      </c>
      <c r="T35" s="1125" t="s">
        <v>1423</v>
      </c>
      <c r="U35" s="1126">
        <f t="shared" si="13"/>
        <v>100</v>
      </c>
      <c r="V35" s="1125" t="s">
        <v>1423</v>
      </c>
      <c r="W35" s="1126">
        <f t="shared" si="14"/>
        <v>100</v>
      </c>
      <c r="X35" s="1130"/>
      <c r="Y35" s="3466" t="s">
        <v>1444</v>
      </c>
      <c r="Z35" s="1099" t="str">
        <f t="shared" si="15"/>
        <v>市政基础设施</v>
      </c>
      <c r="AA35" s="1136">
        <f t="shared" si="3"/>
        <v>1</v>
      </c>
      <c r="AB35" s="1136">
        <f t="shared" si="4"/>
        <v>1</v>
      </c>
      <c r="AC35" s="1136">
        <f t="shared" si="5"/>
        <v>1</v>
      </c>
    </row>
    <row r="36" spans="1:29" ht="15">
      <c r="A36" s="987"/>
      <c r="B36" s="944" t="s">
        <v>1453</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66"/>
      <c r="Q36" s="651" t="str">
        <f t="shared" si="11"/>
        <v>内部装修</v>
      </c>
      <c r="R36" s="1125" t="s">
        <v>1423</v>
      </c>
      <c r="S36" s="1126">
        <f t="shared" si="12"/>
        <v>100</v>
      </c>
      <c r="T36" s="1125" t="s">
        <v>1423</v>
      </c>
      <c r="U36" s="1126">
        <f t="shared" si="13"/>
        <v>100</v>
      </c>
      <c r="V36" s="1125" t="s">
        <v>1423</v>
      </c>
      <c r="W36" s="1126">
        <f t="shared" si="14"/>
        <v>100</v>
      </c>
      <c r="X36" s="1130"/>
      <c r="Y36" s="3466"/>
      <c r="Z36" s="1099" t="str">
        <f t="shared" si="15"/>
        <v>内部装修</v>
      </c>
      <c r="AA36" s="1136">
        <f t="shared" si="3"/>
        <v>1</v>
      </c>
      <c r="AB36" s="1136">
        <f t="shared" si="4"/>
        <v>1</v>
      </c>
      <c r="AC36" s="1136">
        <f t="shared" si="5"/>
        <v>1</v>
      </c>
    </row>
    <row r="37" spans="1:29" ht="15">
      <c r="A37" s="987"/>
      <c r="B37" s="944" t="s">
        <v>1524</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66"/>
      <c r="Q37" s="651" t="str">
        <f t="shared" si="11"/>
        <v>内部装修状况</v>
      </c>
      <c r="R37" s="1125" t="s">
        <v>1423</v>
      </c>
      <c r="S37" s="1126">
        <f t="shared" si="12"/>
        <v>100</v>
      </c>
      <c r="T37" s="1125" t="s">
        <v>1423</v>
      </c>
      <c r="U37" s="1126">
        <f t="shared" si="13"/>
        <v>100</v>
      </c>
      <c r="V37" s="1125" t="s">
        <v>1423</v>
      </c>
      <c r="W37" s="1126">
        <f t="shared" si="14"/>
        <v>100</v>
      </c>
      <c r="X37" s="1130"/>
      <c r="Y37" s="3466"/>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66"/>
      <c r="Q38" s="1354">
        <f t="shared" si="11"/>
        <v>111</v>
      </c>
      <c r="R38" s="1127" t="s">
        <v>1423</v>
      </c>
      <c r="S38" s="1128">
        <f t="shared" si="12"/>
        <v>100</v>
      </c>
      <c r="T38" s="1127" t="s">
        <v>1423</v>
      </c>
      <c r="U38" s="1128">
        <f t="shared" si="13"/>
        <v>100</v>
      </c>
      <c r="V38" s="1127" t="s">
        <v>1423</v>
      </c>
      <c r="W38" s="1128">
        <f t="shared" si="14"/>
        <v>100</v>
      </c>
      <c r="X38" s="1132"/>
      <c r="Y38" s="3466"/>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66"/>
      <c r="Q39" s="651">
        <f t="shared" si="11"/>
        <v>111</v>
      </c>
      <c r="R39" s="1125" t="s">
        <v>1423</v>
      </c>
      <c r="S39" s="1126">
        <f t="shared" si="12"/>
        <v>100</v>
      </c>
      <c r="T39" s="1125" t="s">
        <v>1423</v>
      </c>
      <c r="U39" s="1126">
        <f t="shared" si="13"/>
        <v>100</v>
      </c>
      <c r="V39" s="1125" t="s">
        <v>1423</v>
      </c>
      <c r="W39" s="1126">
        <f t="shared" si="14"/>
        <v>100</v>
      </c>
      <c r="X39" s="1130"/>
      <c r="Y39" s="3466"/>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67"/>
      <c r="Q40" s="651">
        <f t="shared" si="11"/>
        <v>111</v>
      </c>
      <c r="R40" s="1125" t="s">
        <v>1423</v>
      </c>
      <c r="S40" s="1126">
        <f t="shared" si="12"/>
        <v>100</v>
      </c>
      <c r="T40" s="1125" t="s">
        <v>1423</v>
      </c>
      <c r="U40" s="1126">
        <f t="shared" si="13"/>
        <v>100</v>
      </c>
      <c r="V40" s="1125" t="s">
        <v>1423</v>
      </c>
      <c r="W40" s="1126">
        <f t="shared" si="14"/>
        <v>100</v>
      </c>
      <c r="X40" s="1130"/>
      <c r="Y40" s="3467"/>
      <c r="Z40" s="1099">
        <f t="shared" si="15"/>
        <v>111</v>
      </c>
      <c r="AA40" s="1136">
        <f t="shared" si="3"/>
        <v>1</v>
      </c>
      <c r="AB40" s="1136">
        <f t="shared" si="4"/>
        <v>1</v>
      </c>
      <c r="AC40" s="1136">
        <f t="shared" si="5"/>
        <v>1</v>
      </c>
    </row>
    <row r="41" spans="1:29" ht="15">
      <c r="A41" s="994" t="s">
        <v>1455</v>
      </c>
      <c r="B41" s="1310"/>
      <c r="C41" s="1311" t="s">
        <v>124</v>
      </c>
      <c r="D41" s="1312"/>
      <c r="E41" s="1342"/>
      <c r="F41" s="1343"/>
      <c r="G41" s="1344"/>
      <c r="H41" s="1345"/>
      <c r="I41" s="1342"/>
      <c r="J41" s="1345"/>
      <c r="K41" s="1091"/>
      <c r="L41" s="1435"/>
      <c r="M41" s="1023"/>
      <c r="N41" s="1438"/>
      <c r="O41" s="1023"/>
      <c r="P41" s="3456" t="str">
        <f>A41</f>
        <v>成交单价（元/平方米）</v>
      </c>
      <c r="Q41" s="3456"/>
      <c r="R41" s="3457">
        <f>E41</f>
        <v>0</v>
      </c>
      <c r="S41" s="3457"/>
      <c r="T41" s="3457">
        <f>G41</f>
        <v>0</v>
      </c>
      <c r="U41" s="3457"/>
      <c r="V41" s="3457">
        <f>I41</f>
        <v>0</v>
      </c>
      <c r="W41" s="3457"/>
      <c r="X41" s="1028"/>
      <c r="Y41" s="1138"/>
      <c r="Z41" s="1028"/>
      <c r="AA41" s="1028"/>
      <c r="AB41" s="1028"/>
      <c r="AC41" s="1028"/>
    </row>
    <row r="42" spans="1:29" ht="15">
      <c r="A42" s="998" t="s">
        <v>1456</v>
      </c>
      <c r="B42" s="1313"/>
      <c r="C42" s="1314" t="e">
        <f>R43</f>
        <v>#DIV/0!</v>
      </c>
      <c r="D42" s="1001" t="s">
        <v>1457</v>
      </c>
      <c r="E42" s="1346" t="e">
        <f>R42</f>
        <v>#DIV/0!</v>
      </c>
      <c r="F42" s="1050"/>
      <c r="G42" s="1314" t="e">
        <f>T42</f>
        <v>#DIV/0!</v>
      </c>
      <c r="H42" s="1050"/>
      <c r="I42" s="1346" t="e">
        <f>V42</f>
        <v>#DIV/0!</v>
      </c>
      <c r="J42" s="1050"/>
      <c r="K42" s="1093">
        <f>F42+H42+J42</f>
        <v>0</v>
      </c>
      <c r="L42" s="1435"/>
      <c r="M42" s="1023"/>
      <c r="N42" s="1438"/>
      <c r="O42" s="1023"/>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028"/>
      <c r="Y42" s="1028"/>
      <c r="Z42" s="1028"/>
      <c r="AA42" s="1028"/>
      <c r="AB42" s="1028"/>
      <c r="AC42" s="1028"/>
    </row>
    <row r="43" spans="1:29" ht="15">
      <c r="A43" s="1002" t="s">
        <v>1458</v>
      </c>
      <c r="B43" s="1003"/>
      <c r="C43" s="1315" t="e">
        <f>R43</f>
        <v>#DIV/0!</v>
      </c>
      <c r="D43" s="1315"/>
      <c r="E43" s="1315"/>
      <c r="F43" s="1315"/>
      <c r="G43" s="1315"/>
      <c r="H43" s="1315"/>
      <c r="I43" s="1315"/>
      <c r="J43" s="1315"/>
      <c r="K43" s="1094"/>
      <c r="L43" s="1435"/>
      <c r="M43" s="1023"/>
      <c r="N43" s="1023"/>
      <c r="O43" s="1023"/>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
      <c r="A51" s="1027" t="s">
        <v>1462</v>
      </c>
      <c r="B51" s="1028"/>
      <c r="C51" s="1029"/>
      <c r="D51" s="1029"/>
      <c r="E51" s="1029"/>
      <c r="F51" s="1069"/>
      <c r="G51" s="1069"/>
      <c r="H51" s="1029"/>
      <c r="I51" s="1029"/>
      <c r="J51" s="1029"/>
      <c r="K51" s="1285"/>
      <c r="L51" s="1286"/>
      <c r="M51" s="1119"/>
      <c r="N51" s="1119"/>
      <c r="O51" s="1119"/>
      <c r="P51" s="1447"/>
      <c r="Q51" s="1449"/>
    </row>
    <row r="52" spans="1:17" s="916" customFormat="1" ht="15">
      <c r="A52" s="1317" t="s">
        <v>1421</v>
      </c>
      <c r="B52" s="1318"/>
      <c r="C52" s="1319" t="str">
        <f>YEAR(C7)&amp;"-"&amp;MONTH(C7)</f>
        <v>2022-9</v>
      </c>
      <c r="D52" s="1320">
        <f>EDATE(C52,-1)</f>
        <v>44774</v>
      </c>
      <c r="E52" s="1320">
        <f t="shared" ref="E52:O52" si="16">EDATE(D52,-1)</f>
        <v>44743</v>
      </c>
      <c r="F52" s="1320">
        <f t="shared" si="16"/>
        <v>44713</v>
      </c>
      <c r="G52" s="1320">
        <f t="shared" si="16"/>
        <v>44682</v>
      </c>
      <c r="H52" s="1320">
        <f t="shared" si="16"/>
        <v>44652</v>
      </c>
      <c r="I52" s="1320">
        <f t="shared" si="16"/>
        <v>44621</v>
      </c>
      <c r="J52" s="1320">
        <f t="shared" si="16"/>
        <v>44593</v>
      </c>
      <c r="K52" s="1320">
        <f t="shared" si="16"/>
        <v>44562</v>
      </c>
      <c r="L52" s="1320">
        <f t="shared" si="16"/>
        <v>44531</v>
      </c>
      <c r="M52" s="1320">
        <f t="shared" si="16"/>
        <v>44501</v>
      </c>
      <c r="N52" s="1320">
        <f t="shared" si="16"/>
        <v>44470</v>
      </c>
      <c r="O52" s="1320">
        <f t="shared" si="16"/>
        <v>44440</v>
      </c>
      <c r="P52" s="1448"/>
    </row>
    <row r="53" spans="1:17" s="911" customFormat="1" ht="15">
      <c r="A53" s="1321"/>
      <c r="B53" s="1152"/>
      <c r="C53" s="1322">
        <v>100</v>
      </c>
      <c r="D53" s="1156"/>
      <c r="E53" s="1156"/>
      <c r="F53" s="1156"/>
      <c r="G53" s="1156"/>
      <c r="H53" s="1156"/>
      <c r="I53" s="1156"/>
      <c r="J53" s="1156"/>
      <c r="K53" s="1156"/>
      <c r="L53" s="1156"/>
      <c r="M53" s="1353"/>
      <c r="N53" s="1156"/>
      <c r="O53" s="1223"/>
      <c r="P53" s="1449"/>
    </row>
    <row r="54" spans="1:17" s="911" customFormat="1" ht="15">
      <c r="A54" s="1147" t="s">
        <v>1463</v>
      </c>
      <c r="B54" s="1148"/>
      <c r="C54" s="1149"/>
      <c r="D54" s="1150"/>
      <c r="E54" s="1150"/>
      <c r="F54" s="1150"/>
      <c r="G54" s="1150"/>
      <c r="H54" s="1150"/>
      <c r="I54" s="1150"/>
      <c r="J54" s="1150"/>
      <c r="K54" s="1150"/>
      <c r="L54" s="1150"/>
      <c r="M54" s="1218"/>
      <c r="N54" s="1450"/>
      <c r="O54" s="1451"/>
      <c r="P54" s="1449"/>
      <c r="Q54" s="1449"/>
    </row>
    <row r="55" spans="1:17" s="911" customFormat="1" ht="15">
      <c r="A55" s="1151" t="s">
        <v>1424</v>
      </c>
      <c r="B55" s="1152"/>
      <c r="C55" s="1153" t="s">
        <v>1425</v>
      </c>
      <c r="D55" s="1154"/>
      <c r="E55" s="1154"/>
      <c r="F55" s="1154"/>
      <c r="G55" s="1154"/>
      <c r="H55" s="1154"/>
      <c r="I55" s="1154"/>
      <c r="J55" s="1154"/>
      <c r="K55" s="1154"/>
      <c r="L55" s="1195"/>
      <c r="M55" s="1220"/>
      <c r="N55" s="1452"/>
      <c r="O55" s="1452"/>
      <c r="P55" s="1453"/>
      <c r="Q55" s="1449"/>
    </row>
    <row r="56" spans="1:17" s="911" customFormat="1" ht="15">
      <c r="A56" s="1151"/>
      <c r="B56" s="1152"/>
      <c r="C56" s="1155">
        <v>100</v>
      </c>
      <c r="D56" s="1156"/>
      <c r="E56" s="1156"/>
      <c r="F56" s="1156"/>
      <c r="G56" s="1156"/>
      <c r="H56" s="1156"/>
      <c r="I56" s="1156"/>
      <c r="J56" s="1156"/>
      <c r="K56" s="1156"/>
      <c r="L56" s="1156"/>
      <c r="M56" s="1223"/>
      <c r="N56" s="1452"/>
      <c r="O56" s="1452"/>
      <c r="P56" s="1449"/>
      <c r="Q56" s="1449"/>
    </row>
    <row r="57" spans="1:17">
      <c r="A57" s="1157" t="s">
        <v>1464</v>
      </c>
      <c r="B57" s="1158" t="s">
        <v>1428</v>
      </c>
      <c r="C57" s="1183">
        <f>C9</f>
        <v>0</v>
      </c>
      <c r="D57" s="1089"/>
      <c r="E57" s="1089"/>
      <c r="F57" s="1089"/>
      <c r="G57" s="1089"/>
      <c r="H57" s="1089"/>
      <c r="I57" s="1089"/>
      <c r="J57" s="1089"/>
      <c r="K57" s="1196"/>
      <c r="L57" s="1197"/>
      <c r="M57" s="1224"/>
      <c r="N57" s="1454"/>
      <c r="O57" s="1454"/>
      <c r="P57" s="1455"/>
      <c r="Q57" s="1449"/>
    </row>
    <row r="58" spans="1:17" ht="15">
      <c r="A58" s="1159"/>
      <c r="B58" s="1160"/>
      <c r="C58" s="1161">
        <v>100</v>
      </c>
      <c r="D58" s="1161"/>
      <c r="E58" s="1161"/>
      <c r="F58" s="1161"/>
      <c r="G58" s="1161"/>
      <c r="H58" s="1161"/>
      <c r="I58" s="1161"/>
      <c r="J58" s="1161"/>
      <c r="K58" s="1161"/>
      <c r="L58" s="1161"/>
      <c r="M58" s="1227"/>
      <c r="N58" s="1456"/>
      <c r="O58" s="1456"/>
      <c r="P58" s="1455"/>
      <c r="Q58" s="1449"/>
    </row>
    <row r="59" spans="1:17" ht="27">
      <c r="A59" s="1159"/>
      <c r="B59" s="1162" t="s">
        <v>1431</v>
      </c>
      <c r="C59" s="1163" t="s">
        <v>1465</v>
      </c>
      <c r="D59" s="1163" t="s">
        <v>1466</v>
      </c>
      <c r="E59" s="1163" t="s">
        <v>1467</v>
      </c>
      <c r="F59" s="1163" t="s">
        <v>1468</v>
      </c>
      <c r="G59" s="1163" t="s">
        <v>1469</v>
      </c>
      <c r="H59" s="1163" t="s">
        <v>1470</v>
      </c>
      <c r="I59" s="1163" t="s">
        <v>1471</v>
      </c>
      <c r="J59" s="1163"/>
      <c r="K59" s="1198"/>
      <c r="L59" s="1199"/>
      <c r="M59" s="1229"/>
      <c r="N59" s="1454"/>
      <c r="O59" s="1454"/>
      <c r="P59" s="1455"/>
      <c r="Q59" s="1449"/>
    </row>
    <row r="60" spans="1:17" ht="15">
      <c r="A60" s="1159"/>
      <c r="B60" s="1164"/>
      <c r="C60" s="1165" t="s">
        <v>1513</v>
      </c>
      <c r="D60" s="1165" t="s">
        <v>1513</v>
      </c>
      <c r="E60" s="1165">
        <v>100</v>
      </c>
      <c r="F60" s="1165">
        <f>E60-$K10</f>
        <v>100</v>
      </c>
      <c r="G60" s="1165">
        <f>F60-$K10</f>
        <v>100</v>
      </c>
      <c r="H60" s="1165">
        <f>G60-$K10</f>
        <v>100</v>
      </c>
      <c r="I60" s="1165">
        <f>H60-$K10</f>
        <v>100</v>
      </c>
      <c r="J60" s="1165"/>
      <c r="K60" s="1165"/>
      <c r="L60" s="1165"/>
      <c r="M60" s="1230"/>
      <c r="N60" s="1456"/>
      <c r="O60" s="1456"/>
      <c r="P60" s="1455"/>
      <c r="Q60" s="1449"/>
    </row>
    <row r="61" spans="1:17" ht="15">
      <c r="A61" s="1159"/>
      <c r="B61" s="1166" t="s">
        <v>1432</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ht="15">
      <c r="A62" s="1159"/>
      <c r="B62" s="1168"/>
      <c r="C62" s="1036"/>
      <c r="D62" s="1036"/>
      <c r="E62" s="1036"/>
      <c r="F62" s="1036"/>
      <c r="G62" s="1036"/>
      <c r="H62" s="1036"/>
      <c r="I62" s="1036"/>
      <c r="J62" s="1036"/>
      <c r="K62" s="1200"/>
      <c r="L62" s="1201"/>
      <c r="M62" s="1231"/>
      <c r="N62" s="1454"/>
      <c r="O62" s="1454"/>
      <c r="P62" s="1455"/>
      <c r="Q62" s="1449"/>
    </row>
    <row r="63" spans="1:17" ht="15">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ht="15">
      <c r="A64" s="1169"/>
      <c r="B64" s="1162">
        <f>B12</f>
        <v>111</v>
      </c>
      <c r="C64" s="1170"/>
      <c r="D64" s="1170"/>
      <c r="E64" s="1170"/>
      <c r="F64" s="1170"/>
      <c r="G64" s="1170"/>
      <c r="H64" s="1187"/>
      <c r="I64" s="1187"/>
      <c r="J64" s="1187"/>
      <c r="K64" s="1187"/>
      <c r="L64" s="1202"/>
      <c r="M64" s="1232"/>
      <c r="N64" s="1457"/>
      <c r="O64" s="1457"/>
      <c r="P64" s="1458"/>
      <c r="Q64" s="1459"/>
    </row>
    <row r="65" spans="1:17" s="913" customFormat="1" ht="15">
      <c r="A65" s="1169"/>
      <c r="B65" s="1164"/>
      <c r="C65" s="1171"/>
      <c r="D65" s="1161"/>
      <c r="E65" s="1161"/>
      <c r="F65" s="1161"/>
      <c r="G65" s="1161"/>
      <c r="H65" s="1161"/>
      <c r="I65" s="1161"/>
      <c r="J65" s="1161"/>
      <c r="K65" s="1161"/>
      <c r="L65" s="1161"/>
      <c r="M65" s="1227"/>
      <c r="N65" s="1456"/>
      <c r="O65" s="1456"/>
      <c r="P65" s="1458"/>
      <c r="Q65" s="1459"/>
    </row>
    <row r="66" spans="1:17" s="913" customFormat="1" ht="15">
      <c r="A66" s="1169"/>
      <c r="B66" s="1162">
        <f>B13</f>
        <v>111</v>
      </c>
      <c r="C66" s="1170"/>
      <c r="D66" s="1170"/>
      <c r="E66" s="1170"/>
      <c r="F66" s="1170"/>
      <c r="G66" s="1170"/>
      <c r="H66" s="1187"/>
      <c r="I66" s="1187"/>
      <c r="J66" s="1187"/>
      <c r="K66" s="1187"/>
      <c r="L66" s="1202"/>
      <c r="M66" s="1232"/>
      <c r="N66" s="1457"/>
      <c r="O66" s="1457"/>
      <c r="P66" s="1461"/>
      <c r="Q66" s="1465"/>
    </row>
    <row r="67" spans="1:17" s="913" customFormat="1" ht="15">
      <c r="A67" s="1169"/>
      <c r="B67" s="1164"/>
      <c r="C67" s="1171"/>
      <c r="D67" s="1161"/>
      <c r="E67" s="1161"/>
      <c r="F67" s="1161"/>
      <c r="G67" s="1171"/>
      <c r="H67" s="1188"/>
      <c r="I67" s="1188"/>
      <c r="J67" s="1188"/>
      <c r="K67" s="1188"/>
      <c r="L67" s="1188"/>
      <c r="M67" s="1235"/>
      <c r="N67" s="1457"/>
      <c r="O67" s="1457"/>
      <c r="P67" s="1458"/>
      <c r="Q67" s="1459"/>
    </row>
    <row r="68" spans="1:17" s="913" customFormat="1" ht="15">
      <c r="A68" s="1169"/>
      <c r="B68" s="1166">
        <f>B14</f>
        <v>111</v>
      </c>
      <c r="C68" s="1154"/>
      <c r="D68" s="1154"/>
      <c r="E68" s="1154"/>
      <c r="F68" s="1154"/>
      <c r="G68" s="1154"/>
      <c r="H68" s="1189"/>
      <c r="I68" s="1189"/>
      <c r="J68" s="1189"/>
      <c r="K68" s="1189"/>
      <c r="L68" s="1203"/>
      <c r="M68" s="1236"/>
      <c r="N68" s="1457"/>
      <c r="O68" s="1457"/>
      <c r="P68" s="1462"/>
      <c r="Q68" s="1459"/>
    </row>
    <row r="69" spans="1:17" s="913" customFormat="1" ht="15">
      <c r="A69" s="1172"/>
      <c r="B69" s="1173"/>
      <c r="C69" s="1174"/>
      <c r="D69" s="1174"/>
      <c r="E69" s="1174"/>
      <c r="F69" s="1174"/>
      <c r="G69" s="1174"/>
      <c r="H69" s="1190"/>
      <c r="I69" s="1190"/>
      <c r="J69" s="1190"/>
      <c r="K69" s="1190"/>
      <c r="L69" s="1190"/>
      <c r="M69" s="1238"/>
      <c r="N69" s="1457"/>
      <c r="O69" s="1457"/>
      <c r="P69" s="1458"/>
      <c r="Q69" s="1459"/>
    </row>
    <row r="70" spans="1:17">
      <c r="A70" s="1157" t="s">
        <v>1433</v>
      </c>
      <c r="B70" s="1158" t="s">
        <v>1523</v>
      </c>
      <c r="C70" s="1175" t="s">
        <v>1472</v>
      </c>
      <c r="D70" s="1175" t="s">
        <v>1473</v>
      </c>
      <c r="E70" s="1175" t="s">
        <v>1474</v>
      </c>
      <c r="F70" s="1175" t="s">
        <v>1475</v>
      </c>
      <c r="G70" s="1175" t="s">
        <v>1476</v>
      </c>
      <c r="H70" s="1183"/>
      <c r="I70" s="1183"/>
      <c r="J70" s="1183"/>
      <c r="K70" s="1204"/>
      <c r="L70" s="1205"/>
      <c r="M70" s="1239"/>
      <c r="N70" s="1454"/>
      <c r="O70" s="1454"/>
      <c r="P70" s="1463"/>
      <c r="Q70" s="1449"/>
    </row>
    <row r="71" spans="1:17" ht="15">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5">
      <c r="A72" s="1159"/>
      <c r="B72" s="1162" t="s">
        <v>1436</v>
      </c>
      <c r="C72" s="1176" t="s">
        <v>1472</v>
      </c>
      <c r="D72" s="1176" t="s">
        <v>1473</v>
      </c>
      <c r="E72" s="1176" t="s">
        <v>1474</v>
      </c>
      <c r="F72" s="1176" t="s">
        <v>1475</v>
      </c>
      <c r="G72" s="1176" t="s">
        <v>1476</v>
      </c>
      <c r="H72" s="1163"/>
      <c r="I72" s="1163"/>
      <c r="J72" s="1163"/>
      <c r="K72" s="1198"/>
      <c r="L72" s="1199"/>
      <c r="M72" s="1229"/>
      <c r="N72" s="1454"/>
      <c r="O72" s="1454"/>
      <c r="P72" s="1455"/>
      <c r="Q72" s="1449"/>
    </row>
    <row r="73" spans="1:17" ht="15">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5">
      <c r="A74" s="1159"/>
      <c r="B74" s="1162" t="s">
        <v>1437</v>
      </c>
      <c r="C74" s="1176" t="s">
        <v>1472</v>
      </c>
      <c r="D74" s="1176" t="s">
        <v>1473</v>
      </c>
      <c r="E74" s="1176" t="s">
        <v>1474</v>
      </c>
      <c r="F74" s="1176" t="s">
        <v>1475</v>
      </c>
      <c r="G74" s="1176" t="s">
        <v>1476</v>
      </c>
      <c r="H74" s="1163"/>
      <c r="I74" s="1163"/>
      <c r="J74" s="1163"/>
      <c r="K74" s="1198"/>
      <c r="L74" s="1199"/>
      <c r="M74" s="1229"/>
      <c r="N74" s="1454"/>
      <c r="O74" s="1454"/>
      <c r="P74" s="1455"/>
      <c r="Q74" s="1449"/>
    </row>
    <row r="75" spans="1:17" ht="15">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5">
      <c r="A76" s="1159"/>
      <c r="B76" s="1166" t="s">
        <v>1438</v>
      </c>
      <c r="C76" s="1179" t="s">
        <v>1477</v>
      </c>
      <c r="D76" s="1179" t="s">
        <v>1478</v>
      </c>
      <c r="E76" s="1179" t="s">
        <v>1479</v>
      </c>
      <c r="F76" s="1179" t="s">
        <v>1480</v>
      </c>
      <c r="G76" s="1179" t="s">
        <v>1481</v>
      </c>
      <c r="H76" s="1163"/>
      <c r="I76" s="1163"/>
      <c r="J76" s="1163"/>
      <c r="K76" s="1163"/>
      <c r="L76" s="1163"/>
      <c r="M76" s="1363"/>
      <c r="N76" s="1456"/>
      <c r="O76" s="1456"/>
      <c r="P76" s="1455"/>
      <c r="Q76" s="1449"/>
    </row>
    <row r="77" spans="1:17" ht="15">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5">
      <c r="A78" s="1159"/>
      <c r="B78" s="1162" t="s">
        <v>1517</v>
      </c>
      <c r="C78" s="1176" t="s">
        <v>1472</v>
      </c>
      <c r="D78" s="1176" t="s">
        <v>1473</v>
      </c>
      <c r="E78" s="1176" t="s">
        <v>1474</v>
      </c>
      <c r="F78" s="1176" t="s">
        <v>1475</v>
      </c>
      <c r="G78" s="1176" t="s">
        <v>1476</v>
      </c>
      <c r="H78" s="1163"/>
      <c r="I78" s="1163"/>
      <c r="J78" s="1163"/>
      <c r="K78" s="1198"/>
      <c r="L78" s="1199"/>
      <c r="M78" s="1229"/>
      <c r="N78" s="1454"/>
      <c r="O78" s="1454"/>
      <c r="P78" s="1455"/>
      <c r="Q78" s="1449"/>
    </row>
    <row r="79" spans="1:17" ht="15">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ht="15">
      <c r="A80" s="1177"/>
      <c r="B80" s="1162">
        <f>B25</f>
        <v>111</v>
      </c>
      <c r="C80" s="1170"/>
      <c r="D80" s="1170"/>
      <c r="E80" s="1170"/>
      <c r="F80" s="1170"/>
      <c r="G80" s="1170"/>
      <c r="H80" s="1170"/>
      <c r="I80" s="1170"/>
      <c r="J80" s="1170"/>
      <c r="K80" s="1170"/>
      <c r="L80" s="1358"/>
      <c r="M80" s="1364"/>
      <c r="N80" s="1452"/>
      <c r="O80" s="1452"/>
      <c r="P80" s="1455"/>
      <c r="Q80" s="1449"/>
    </row>
    <row r="81" spans="1:17" s="911" customFormat="1" ht="15">
      <c r="A81" s="1177"/>
      <c r="B81" s="1164"/>
      <c r="C81" s="1171"/>
      <c r="D81" s="1161"/>
      <c r="E81" s="1161"/>
      <c r="F81" s="1161"/>
      <c r="G81" s="1161"/>
      <c r="H81" s="1161"/>
      <c r="I81" s="1161"/>
      <c r="J81" s="1161"/>
      <c r="K81" s="1161"/>
      <c r="L81" s="1161"/>
      <c r="M81" s="1227"/>
      <c r="N81" s="1456"/>
      <c r="O81" s="1456"/>
      <c r="P81" s="1455"/>
      <c r="Q81" s="1449"/>
    </row>
    <row r="82" spans="1:17" s="911" customFormat="1" ht="15">
      <c r="A82" s="1177"/>
      <c r="B82" s="1162">
        <f>B26</f>
        <v>111</v>
      </c>
      <c r="C82" s="1170"/>
      <c r="D82" s="1170"/>
      <c r="E82" s="1170"/>
      <c r="F82" s="1170"/>
      <c r="G82" s="1170"/>
      <c r="H82" s="1170"/>
      <c r="I82" s="1170"/>
      <c r="J82" s="1170"/>
      <c r="K82" s="1170"/>
      <c r="L82" s="1358"/>
      <c r="M82" s="1364"/>
      <c r="N82" s="1452"/>
      <c r="O82" s="1452"/>
      <c r="P82" s="1455"/>
      <c r="Q82" s="1449"/>
    </row>
    <row r="83" spans="1:17" s="911" customFormat="1" ht="15">
      <c r="A83" s="1177"/>
      <c r="B83" s="1164"/>
      <c r="C83" s="1171"/>
      <c r="D83" s="1161"/>
      <c r="E83" s="1161"/>
      <c r="F83" s="1161"/>
      <c r="G83" s="1161"/>
      <c r="H83" s="1161"/>
      <c r="I83" s="1161"/>
      <c r="J83" s="1161"/>
      <c r="K83" s="1161"/>
      <c r="L83" s="1161"/>
      <c r="M83" s="1227"/>
      <c r="N83" s="1456"/>
      <c r="O83" s="1456"/>
      <c r="P83" s="1455"/>
      <c r="Q83" s="1449"/>
    </row>
    <row r="84" spans="1:17" s="913" customFormat="1" ht="15">
      <c r="A84" s="1169"/>
      <c r="B84" s="1162">
        <f>B27</f>
        <v>111</v>
      </c>
      <c r="C84" s="1170"/>
      <c r="D84" s="1170"/>
      <c r="E84" s="1170"/>
      <c r="F84" s="1170"/>
      <c r="G84" s="1170"/>
      <c r="H84" s="1170"/>
      <c r="I84" s="1170"/>
      <c r="J84" s="1170"/>
      <c r="K84" s="1170"/>
      <c r="L84" s="1358"/>
      <c r="M84" s="1364"/>
      <c r="N84" s="1457"/>
      <c r="O84" s="1457"/>
      <c r="P84" s="1458"/>
      <c r="Q84" s="1459"/>
    </row>
    <row r="85" spans="1:17" s="913" customFormat="1" ht="15">
      <c r="A85" s="1169"/>
      <c r="B85" s="1164"/>
      <c r="C85" s="1171"/>
      <c r="D85" s="1161"/>
      <c r="E85" s="1161"/>
      <c r="F85" s="1161"/>
      <c r="G85" s="1161"/>
      <c r="H85" s="1161"/>
      <c r="I85" s="1161"/>
      <c r="J85" s="1161"/>
      <c r="K85" s="1161"/>
      <c r="L85" s="1161"/>
      <c r="M85" s="1227"/>
      <c r="N85" s="1457"/>
      <c r="O85" s="1457"/>
      <c r="P85" s="1458"/>
      <c r="Q85" s="1459"/>
    </row>
    <row r="86" spans="1:17" ht="15">
      <c r="A86" s="1159"/>
      <c r="B86" s="1166">
        <f>B28</f>
        <v>111</v>
      </c>
      <c r="C86" s="1154"/>
      <c r="D86" s="1154"/>
      <c r="E86" s="1154"/>
      <c r="F86" s="1154"/>
      <c r="G86" s="1193"/>
      <c r="H86" s="1193"/>
      <c r="I86" s="1193"/>
      <c r="J86" s="1193"/>
      <c r="K86" s="1210"/>
      <c r="L86" s="1211"/>
      <c r="M86" s="1246"/>
      <c r="N86" s="1454"/>
      <c r="O86" s="1454"/>
      <c r="P86" s="1455"/>
      <c r="Q86" s="1449"/>
    </row>
    <row r="87" spans="1:17" ht="15">
      <c r="A87" s="1460"/>
      <c r="B87" s="1173"/>
      <c r="C87" s="1174"/>
      <c r="D87" s="1174"/>
      <c r="E87" s="1174"/>
      <c r="F87" s="1174"/>
      <c r="G87" s="1184"/>
      <c r="H87" s="1184"/>
      <c r="I87" s="1184"/>
      <c r="J87" s="1184"/>
      <c r="K87" s="1184"/>
      <c r="L87" s="1184"/>
      <c r="M87" s="1247"/>
      <c r="N87" s="1456"/>
      <c r="O87" s="1456"/>
      <c r="P87" s="1455"/>
      <c r="Q87" s="1449"/>
    </row>
    <row r="88" spans="1:17">
      <c r="A88" s="1157" t="s">
        <v>1442</v>
      </c>
      <c r="B88" s="1158" t="s">
        <v>1443</v>
      </c>
      <c r="C88" s="1089"/>
      <c r="D88" s="1089"/>
      <c r="E88" s="1089"/>
      <c r="F88" s="1089"/>
      <c r="G88" s="1089"/>
      <c r="H88" s="1089"/>
      <c r="I88" s="1089"/>
      <c r="J88" s="1089"/>
      <c r="K88" s="1196"/>
      <c r="L88" s="1197"/>
      <c r="M88" s="1224"/>
      <c r="N88" s="1454"/>
      <c r="O88" s="1454"/>
      <c r="P88" s="1455"/>
      <c r="Q88" s="1449"/>
    </row>
    <row r="89" spans="1:17" ht="15">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5">
      <c r="A90" s="1159"/>
      <c r="B90" s="1162" t="s">
        <v>1445</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ht="15">
      <c r="A92" s="1169"/>
      <c r="B92" s="1164"/>
      <c r="C92" s="1171"/>
      <c r="D92" s="1161"/>
      <c r="E92" s="1161"/>
      <c r="F92" s="1161"/>
      <c r="G92" s="1161"/>
      <c r="H92" s="1161"/>
      <c r="I92" s="1161"/>
      <c r="J92" s="1161"/>
      <c r="K92" s="1161"/>
      <c r="L92" s="1161"/>
      <c r="M92" s="1227"/>
      <c r="N92" s="1456"/>
      <c r="O92" s="1456"/>
      <c r="P92" s="1458"/>
      <c r="Q92" s="1459"/>
    </row>
    <row r="93" spans="1:17">
      <c r="A93" s="1185"/>
      <c r="B93" s="1162" t="s">
        <v>1446</v>
      </c>
      <c r="C93" s="1170"/>
      <c r="D93" s="1170"/>
      <c r="E93" s="1180"/>
      <c r="F93" s="1180"/>
      <c r="G93" s="1180"/>
      <c r="H93" s="1180"/>
      <c r="I93" s="1180"/>
      <c r="J93" s="1180"/>
      <c r="K93" s="1208"/>
      <c r="L93" s="1209"/>
      <c r="M93" s="1245"/>
      <c r="N93" s="1454"/>
      <c r="O93" s="1454"/>
      <c r="P93" s="1455"/>
      <c r="Q93" s="1449"/>
    </row>
    <row r="94" spans="1:17" ht="15">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c r="A95" s="1185"/>
      <c r="B95" s="1162" t="s">
        <v>1448</v>
      </c>
      <c r="C95" s="1170"/>
      <c r="D95" s="1170"/>
      <c r="E95" s="1170"/>
      <c r="F95" s="1180"/>
      <c r="G95" s="1180"/>
      <c r="H95" s="1180"/>
      <c r="I95" s="1180"/>
      <c r="J95" s="1180"/>
      <c r="K95" s="1208"/>
      <c r="L95" s="1209"/>
      <c r="M95" s="1245"/>
      <c r="N95" s="1454"/>
      <c r="O95" s="1454"/>
      <c r="P95" s="1455"/>
      <c r="Q95" s="1449"/>
    </row>
    <row r="96" spans="1:17" ht="15">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c r="A97" s="1185"/>
      <c r="B97" s="1162" t="s">
        <v>573</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ht="15">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c r="A100" s="1181"/>
      <c r="B100" s="1162" t="s">
        <v>1449</v>
      </c>
      <c r="C100" s="1170"/>
      <c r="D100" s="1170"/>
      <c r="E100" s="1170"/>
      <c r="F100" s="1170"/>
      <c r="G100" s="1170"/>
      <c r="H100" s="1180"/>
      <c r="I100" s="1180"/>
      <c r="J100" s="1180"/>
      <c r="K100" s="1208"/>
      <c r="L100" s="1209"/>
      <c r="M100" s="1245"/>
      <c r="N100" s="1457"/>
      <c r="O100" s="1457"/>
      <c r="P100" s="1458"/>
      <c r="Q100" s="1459"/>
    </row>
    <row r="101" spans="1:17" s="913" customFormat="1" ht="15">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c r="A102" s="1185"/>
      <c r="B102" s="1162" t="s">
        <v>1450</v>
      </c>
      <c r="C102" s="1170"/>
      <c r="D102" s="1170"/>
      <c r="E102" s="1170"/>
      <c r="F102" s="1170"/>
      <c r="G102" s="1170"/>
      <c r="H102" s="1180"/>
      <c r="I102" s="1180"/>
      <c r="J102" s="1180"/>
      <c r="K102" s="1208"/>
      <c r="L102" s="1209"/>
      <c r="M102" s="1245"/>
      <c r="N102" s="1454"/>
      <c r="O102" s="1454"/>
      <c r="P102" s="1455"/>
      <c r="Q102" s="1449"/>
    </row>
    <row r="103" spans="1:17" ht="15">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c r="A104" s="1185"/>
      <c r="B104" s="1162" t="s">
        <v>1453</v>
      </c>
      <c r="C104" s="1170"/>
      <c r="D104" s="1170"/>
      <c r="E104" s="1170"/>
      <c r="F104" s="1170"/>
      <c r="G104" s="1170"/>
      <c r="H104" s="1180"/>
      <c r="I104" s="1180"/>
      <c r="J104" s="1180"/>
      <c r="K104" s="1208"/>
      <c r="L104" s="1209"/>
      <c r="M104" s="1245"/>
      <c r="N104" s="1454"/>
      <c r="O104" s="1454"/>
      <c r="P104" s="1455"/>
      <c r="Q104" s="1449"/>
    </row>
    <row r="105" spans="1:17" ht="15">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c r="A106" s="1185"/>
      <c r="B106" s="1356" t="s">
        <v>1525</v>
      </c>
      <c r="C106" s="1176" t="s">
        <v>1472</v>
      </c>
      <c r="D106" s="1176" t="s">
        <v>1473</v>
      </c>
      <c r="E106" s="1176" t="s">
        <v>1474</v>
      </c>
      <c r="F106" s="1176" t="s">
        <v>1475</v>
      </c>
      <c r="G106" s="1176" t="s">
        <v>1476</v>
      </c>
      <c r="H106" s="1163"/>
      <c r="I106" s="1163"/>
      <c r="J106" s="1163"/>
      <c r="K106" s="1198"/>
      <c r="L106" s="1199"/>
      <c r="M106" s="1229"/>
      <c r="N106" s="1456"/>
      <c r="O106" s="1456"/>
      <c r="P106" s="1464"/>
      <c r="Q106" s="1466"/>
    </row>
    <row r="107" spans="1:17" ht="15">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ht="15">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ht="15">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ht="15">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v>
      </c>
    </row>
    <row r="4" spans="1:1" ht="18">
      <c r="A4" s="3190" t="str">
        <f>"受贵公司委托，我公司对"&amp;项目基本情况!S1&amp;"进行了预评估。"</f>
        <v>受贵公司委托，我公司对北京市房地产抵押价值进行了预评估。</v>
      </c>
    </row>
    <row r="5" spans="1:1" ht="18.75">
      <c r="A5" s="3191" t="s">
        <v>83</v>
      </c>
    </row>
    <row r="6" spans="1:1" ht="18.75">
      <c r="A6" s="3192" t="s">
        <v>84</v>
      </c>
    </row>
    <row r="7" spans="1:1" ht="54">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估价对象为北京市房地产，为所有。根据《国有土地使用证》[]，估价对象（分摊）出让国有建设用地使用权面积为8299.16平方米，建筑面积为29009.8平方米。</v>
      </c>
    </row>
    <row r="8" spans="1:1" ht="57.75">
      <c r="A8" s="3193" t="s">
        <v>85</v>
      </c>
    </row>
    <row r="9" spans="1:1" ht="18.75">
      <c r="A9" s="3192" t="s">
        <v>86</v>
      </c>
    </row>
    <row r="10" spans="1:1" ht="54">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估价对象为北京市房地产,属开发建设的商业项目，该项目尚在开发建设中。根据《国有土地使用证》[]，估价对象（分摊）出让国有建设用地使用权面积为8299.16平方米，规划建筑面积为29009.8平方米。</v>
      </c>
    </row>
    <row r="11" spans="1:1" ht="76.5">
      <c r="A11" s="3193" t="s">
        <v>87</v>
      </c>
    </row>
    <row r="12" spans="1:1" ht="18.75">
      <c r="A12" s="3191" t="s">
        <v>88</v>
      </c>
    </row>
    <row r="13" spans="1:1" ht="38.25" customHeight="1">
      <c r="A13" s="31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5" t="s">
        <v>89</v>
      </c>
    </row>
    <row r="15" spans="1:1" ht="18">
      <c r="A15" s="3196" t="str">
        <f>TEXT(项目基本情况!D3,"yyyy年m月d日;;")&amp;IF(项目基本情况!D3=项目基本情况!B3,"（评估专业人员实地查勘之日）","")</f>
        <v>2022年9月23日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5" t="s">
        <v>92</v>
      </c>
    </row>
    <row r="24" spans="1:1" ht="18">
      <c r="A24" s="3162" t="str">
        <f>"本次评估采用的主估价方法为"&amp;结果表!K4&amp;"和"&amp;结果表!L4&amp;"。"</f>
        <v>本次评估采用的主估价方法为成本法和收益法。</v>
      </c>
    </row>
    <row r="25" spans="1:1" ht="18">
      <c r="A25" s="3162"/>
    </row>
    <row r="26" spans="1:1" ht="18.75">
      <c r="A26" s="3197"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1526</v>
      </c>
      <c r="B1" s="1291"/>
      <c r="C1" s="1292" t="s">
        <v>1404</v>
      </c>
      <c r="D1" s="1293"/>
      <c r="E1" s="1392"/>
      <c r="F1" s="1324"/>
      <c r="G1" s="1393" t="s">
        <v>1406</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924</v>
      </c>
      <c r="B2" s="1295" t="e">
        <f ca="1">IF(C2="——",IF(B37="元/平方米",ROUND(C39*D3/10000,0),ROUND(F3*C39/10000,0)),IF(B37="元/平方米",ROUND(C39*D3/10000,0),ROUND(F3*C39/10000,0))-D2)</f>
        <v>#DIV/0!</v>
      </c>
      <c r="C2" s="1296"/>
      <c r="D2" s="1256" t="e">
        <f ca="1">SUMIF(INDIRECT("'"&amp;F2&amp;"'"&amp;"!A:A"),"承租人权益价值",INDIRECT("'"&amp;F2&amp;"'"&amp;"!c:c"))</f>
        <v>#REF!</v>
      </c>
      <c r="E2" s="1326" t="s">
        <v>925</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926</v>
      </c>
      <c r="B3" s="926" t="e">
        <f ca="1">IF(AND(C2="——",B37="元/平方米"),C39,ROUND(B2*10000/D3,0))</f>
        <v>#DIV/0!</v>
      </c>
      <c r="C3" s="1297" t="s">
        <v>1407</v>
      </c>
      <c r="D3" s="1298">
        <f>SUMIF('数据-汇总表'!$C19:$C33,D1,'数据-汇总表'!$E19:$E33)</f>
        <v>0</v>
      </c>
      <c r="E3" s="1297" t="s">
        <v>1527</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5">
      <c r="A4" s="928" t="s">
        <v>1408</v>
      </c>
      <c r="B4" s="929"/>
      <c r="C4" s="3441" t="s">
        <v>1409</v>
      </c>
      <c r="D4" s="3442"/>
      <c r="E4" s="3443" t="s">
        <v>1410</v>
      </c>
      <c r="F4" s="3444"/>
      <c r="G4" s="3441" t="s">
        <v>1411</v>
      </c>
      <c r="H4" s="3442"/>
      <c r="I4" s="3441" t="s">
        <v>1412</v>
      </c>
      <c r="J4" s="3442"/>
      <c r="K4" s="1074" t="s">
        <v>1413</v>
      </c>
      <c r="L4" s="1075"/>
      <c r="M4" s="1110"/>
      <c r="N4" s="1110"/>
      <c r="O4" s="1110"/>
      <c r="P4" s="3474" t="s">
        <v>1414</v>
      </c>
      <c r="Q4" s="3475"/>
      <c r="R4" s="3480" t="s">
        <v>1410</v>
      </c>
      <c r="S4" s="3481"/>
      <c r="T4" s="3480" t="s">
        <v>1411</v>
      </c>
      <c r="U4" s="3481"/>
      <c r="V4" s="3486" t="s">
        <v>1412</v>
      </c>
      <c r="W4" s="3486"/>
      <c r="X4" s="1130"/>
      <c r="Y4" s="3480" t="s">
        <v>1414</v>
      </c>
      <c r="Z4" s="3481"/>
      <c r="AA4" s="3471" t="s">
        <v>1410</v>
      </c>
      <c r="AB4" s="3472" t="s">
        <v>1411</v>
      </c>
      <c r="AC4" s="3471" t="s">
        <v>1412</v>
      </c>
    </row>
    <row r="5" spans="1:29" ht="15">
      <c r="A5" s="930"/>
      <c r="B5" s="931"/>
      <c r="C5" s="3445" t="s">
        <v>1415</v>
      </c>
      <c r="D5" s="3446"/>
      <c r="E5" s="3447" t="s">
        <v>1416</v>
      </c>
      <c r="F5" s="3448"/>
      <c r="G5" s="3445" t="s">
        <v>1417</v>
      </c>
      <c r="H5" s="3446"/>
      <c r="I5" s="3445" t="s">
        <v>1418</v>
      </c>
      <c r="J5" s="3446"/>
      <c r="K5" s="1074"/>
      <c r="L5" s="1075"/>
      <c r="M5" s="1110"/>
      <c r="N5" s="1110"/>
      <c r="O5" s="1110"/>
      <c r="P5" s="3476"/>
      <c r="Q5" s="3477"/>
      <c r="R5" s="3482"/>
      <c r="S5" s="3483"/>
      <c r="T5" s="3482"/>
      <c r="U5" s="3483"/>
      <c r="V5" s="3486"/>
      <c r="W5" s="3486"/>
      <c r="X5" s="1130"/>
      <c r="Y5" s="3482"/>
      <c r="Z5" s="3483"/>
      <c r="AA5" s="3472"/>
      <c r="AB5" s="3472"/>
      <c r="AC5" s="3472"/>
    </row>
    <row r="6" spans="1:29" ht="15">
      <c r="A6" s="932"/>
      <c r="B6" s="933"/>
      <c r="C6" s="3449" t="s">
        <v>1419</v>
      </c>
      <c r="D6" s="3450"/>
      <c r="E6" s="3451" t="s">
        <v>1419</v>
      </c>
      <c r="F6" s="3452"/>
      <c r="G6" s="3449" t="s">
        <v>1419</v>
      </c>
      <c r="H6" s="3450"/>
      <c r="I6" s="3449" t="s">
        <v>1419</v>
      </c>
      <c r="J6" s="3450"/>
      <c r="K6" s="1074" t="s">
        <v>1420</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1421</v>
      </c>
      <c r="B7" s="935"/>
      <c r="C7" s="936">
        <f>'数据-取费表'!B2</f>
        <v>44827</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53" t="s">
        <v>1422</v>
      </c>
      <c r="Q7" s="3454"/>
      <c r="R7" s="1121" t="s">
        <v>1423</v>
      </c>
      <c r="S7" s="1122">
        <f t="shared" ref="S7:S14" si="0">F7</f>
        <v>0</v>
      </c>
      <c r="T7" s="1121" t="s">
        <v>1423</v>
      </c>
      <c r="U7" s="1122">
        <f t="shared" ref="U7:U14" si="1">H7</f>
        <v>0</v>
      </c>
      <c r="V7" s="1121" t="s">
        <v>1423</v>
      </c>
      <c r="W7" s="1122">
        <f t="shared" ref="W7:W14" si="2">J7</f>
        <v>0</v>
      </c>
      <c r="X7" s="1131"/>
      <c r="Y7" s="3453" t="s">
        <v>1422</v>
      </c>
      <c r="Z7" s="3455"/>
      <c r="AA7" s="1134" t="e">
        <f>D7/F7</f>
        <v>#DIV/0!</v>
      </c>
      <c r="AB7" s="1134" t="e">
        <f>D7/H7</f>
        <v>#DIV/0!</v>
      </c>
      <c r="AC7" s="1134" t="e">
        <f>D7/J7</f>
        <v>#DIV/0!</v>
      </c>
    </row>
    <row r="8" spans="1:29" s="911" customFormat="1" ht="15">
      <c r="A8" s="934" t="s">
        <v>1424</v>
      </c>
      <c r="B8" s="935"/>
      <c r="C8" s="938" t="s">
        <v>1425</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36" si="3">D8/F8</f>
        <v>#DIV/0!</v>
      </c>
      <c r="AB8" s="1134" t="e">
        <f t="shared" ref="AB8:AB36" si="4">D8/H8</f>
        <v>#DIV/0!</v>
      </c>
      <c r="AC8" s="1134" t="e">
        <f t="shared" ref="AC8:AC36" si="5">D8/J8</f>
        <v>#DIV/0!</v>
      </c>
    </row>
    <row r="9" spans="1:29" s="911" customFormat="1">
      <c r="A9" s="1369" t="s">
        <v>1427</v>
      </c>
      <c r="B9" s="1370" t="s">
        <v>1428</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6" t="s">
        <v>1429</v>
      </c>
      <c r="Q9" s="1124" t="str">
        <f t="shared" ref="Q9:Q14" si="6">B9</f>
        <v>用途</v>
      </c>
      <c r="R9" s="1121" t="s">
        <v>1423</v>
      </c>
      <c r="S9" s="1122">
        <f t="shared" si="0"/>
        <v>100</v>
      </c>
      <c r="T9" s="1121" t="s">
        <v>1423</v>
      </c>
      <c r="U9" s="1122">
        <f t="shared" si="1"/>
        <v>100</v>
      </c>
      <c r="V9" s="1121" t="s">
        <v>1423</v>
      </c>
      <c r="W9" s="1122">
        <f t="shared" si="2"/>
        <v>100</v>
      </c>
      <c r="X9" s="1131"/>
      <c r="Y9" s="3411" t="s">
        <v>1430</v>
      </c>
      <c r="Z9" s="1135" t="str">
        <f t="shared" ref="Z9:Z14" si="7">Q9</f>
        <v>用途</v>
      </c>
      <c r="AA9" s="1134">
        <f t="shared" si="3"/>
        <v>1</v>
      </c>
      <c r="AB9" s="1134">
        <f t="shared" si="4"/>
        <v>1</v>
      </c>
      <c r="AC9" s="1134">
        <f t="shared" si="5"/>
        <v>1</v>
      </c>
    </row>
    <row r="10" spans="1:29" s="912" customFormat="1" ht="27">
      <c r="A10" s="1371"/>
      <c r="B10" s="1372" t="s">
        <v>1431</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6"/>
      <c r="Q10" s="1124" t="str">
        <f t="shared" si="6"/>
        <v>土地使用年限（年）</v>
      </c>
      <c r="R10" s="1121" t="s">
        <v>1423</v>
      </c>
      <c r="S10" s="1122">
        <f t="shared" si="0"/>
        <v>100</v>
      </c>
      <c r="T10" s="1121" t="s">
        <v>1423</v>
      </c>
      <c r="U10" s="1122">
        <f t="shared" si="1"/>
        <v>100</v>
      </c>
      <c r="V10" s="1121" t="s">
        <v>1423</v>
      </c>
      <c r="W10" s="1122">
        <f t="shared" si="2"/>
        <v>100</v>
      </c>
      <c r="X10" s="1131"/>
      <c r="Y10" s="3411"/>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6"/>
      <c r="Q11" s="1124">
        <f t="shared" si="6"/>
        <v>111</v>
      </c>
      <c r="R11" s="1121" t="s">
        <v>1423</v>
      </c>
      <c r="S11" s="1122">
        <f t="shared" si="0"/>
        <v>100</v>
      </c>
      <c r="T11" s="1121" t="s">
        <v>1423</v>
      </c>
      <c r="U11" s="1122">
        <f t="shared" si="1"/>
        <v>100</v>
      </c>
      <c r="V11" s="1121" t="s">
        <v>1423</v>
      </c>
      <c r="W11" s="1122">
        <f t="shared" si="2"/>
        <v>100</v>
      </c>
      <c r="X11" s="1131"/>
      <c r="Y11" s="3411"/>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6"/>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6"/>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29" ht="85.5">
      <c r="A14" s="928" t="s">
        <v>1433</v>
      </c>
      <c r="B14" s="959" t="s">
        <v>1436</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64" t="s">
        <v>1435</v>
      </c>
      <c r="Q14" s="651" t="str">
        <f t="shared" si="6"/>
        <v>交通便捷度</v>
      </c>
      <c r="R14" s="1125" t="s">
        <v>1423</v>
      </c>
      <c r="S14" s="1126">
        <f t="shared" si="0"/>
        <v>100</v>
      </c>
      <c r="T14" s="1125" t="s">
        <v>1423</v>
      </c>
      <c r="U14" s="1126">
        <f t="shared" si="1"/>
        <v>100</v>
      </c>
      <c r="V14" s="1125" t="s">
        <v>1423</v>
      </c>
      <c r="W14" s="1126">
        <f t="shared" si="2"/>
        <v>100</v>
      </c>
      <c r="X14" s="1130"/>
      <c r="Y14" s="3464" t="s">
        <v>1435</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65"/>
      <c r="Q15" s="651"/>
      <c r="R15" s="1125"/>
      <c r="S15" s="1126"/>
      <c r="T15" s="1125"/>
      <c r="U15" s="1126"/>
      <c r="V15" s="1125"/>
      <c r="W15" s="1126"/>
      <c r="X15" s="1130"/>
      <c r="Y15" s="3465"/>
      <c r="Z15" s="1099"/>
      <c r="AA15" s="1136">
        <v>1</v>
      </c>
      <c r="AB15" s="1136">
        <v>1</v>
      </c>
      <c r="AC15" s="1136">
        <v>1</v>
      </c>
    </row>
    <row r="16" spans="1:29" ht="42.75">
      <c r="A16" s="930"/>
      <c r="B16" s="965" t="s">
        <v>1437</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65"/>
      <c r="Q16" s="651" t="str">
        <f>B16</f>
        <v>公共配套设施</v>
      </c>
      <c r="R16" s="1125" t="s">
        <v>1423</v>
      </c>
      <c r="S16" s="1126">
        <f>F16</f>
        <v>100</v>
      </c>
      <c r="T16" s="1125" t="s">
        <v>1423</v>
      </c>
      <c r="U16" s="1126">
        <f>H16</f>
        <v>100</v>
      </c>
      <c r="V16" s="1125" t="s">
        <v>1423</v>
      </c>
      <c r="W16" s="1126">
        <f>J16</f>
        <v>100</v>
      </c>
      <c r="X16" s="1130"/>
      <c r="Y16" s="3465"/>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65"/>
      <c r="Q17" s="651"/>
      <c r="R17" s="1125"/>
      <c r="S17" s="1126"/>
      <c r="T17" s="1125"/>
      <c r="U17" s="1126"/>
      <c r="V17" s="1125"/>
      <c r="W17" s="1126"/>
      <c r="X17" s="1130"/>
      <c r="Y17" s="3465"/>
      <c r="Z17" s="1099"/>
      <c r="AA17" s="1136">
        <v>1</v>
      </c>
      <c r="AB17" s="1136">
        <v>1</v>
      </c>
      <c r="AC17" s="1136">
        <v>1</v>
      </c>
    </row>
    <row r="18" spans="1:29" ht="28.5">
      <c r="A18" s="930"/>
      <c r="B18" s="970" t="s">
        <v>1438</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65"/>
      <c r="Q18" s="651" t="str">
        <f>B18</f>
        <v>基础设施水平</v>
      </c>
      <c r="R18" s="1125" t="s">
        <v>1423</v>
      </c>
      <c r="S18" s="1126">
        <f>F18</f>
        <v>100</v>
      </c>
      <c r="T18" s="1125" t="s">
        <v>1423</v>
      </c>
      <c r="U18" s="1126">
        <f>H18</f>
        <v>100</v>
      </c>
      <c r="V18" s="1125" t="s">
        <v>1423</v>
      </c>
      <c r="W18" s="1126">
        <f>J18</f>
        <v>100</v>
      </c>
      <c r="X18" s="1130"/>
      <c r="Y18" s="3465"/>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65"/>
      <c r="Q19" s="651"/>
      <c r="R19" s="1125"/>
      <c r="S19" s="1126"/>
      <c r="T19" s="1125"/>
      <c r="U19" s="1126"/>
      <c r="V19" s="1125"/>
      <c r="W19" s="1126"/>
      <c r="X19" s="1130"/>
      <c r="Y19" s="3465"/>
      <c r="Z19" s="1099"/>
      <c r="AA19" s="1136">
        <v>1</v>
      </c>
      <c r="AB19" s="1136">
        <v>1</v>
      </c>
      <c r="AC19" s="1136">
        <v>1</v>
      </c>
    </row>
    <row r="20" spans="1:29" ht="57">
      <c r="A20" s="930"/>
      <c r="B20" s="965" t="s">
        <v>1439</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65"/>
      <c r="Q20" s="651" t="str">
        <f>B20</f>
        <v>自然及人文环境</v>
      </c>
      <c r="R20" s="1125" t="s">
        <v>1423</v>
      </c>
      <c r="S20" s="1126">
        <f>F20</f>
        <v>100</v>
      </c>
      <c r="T20" s="1125" t="s">
        <v>1423</v>
      </c>
      <c r="U20" s="1126">
        <f>H20</f>
        <v>100</v>
      </c>
      <c r="V20" s="1125" t="s">
        <v>1423</v>
      </c>
      <c r="W20" s="1126">
        <f>J20</f>
        <v>100</v>
      </c>
      <c r="X20" s="1130"/>
      <c r="Y20" s="3465"/>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65"/>
      <c r="Q21" s="651"/>
      <c r="R21" s="1125"/>
      <c r="S21" s="1126"/>
      <c r="T21" s="1125"/>
      <c r="U21" s="1126"/>
      <c r="V21" s="1125"/>
      <c r="W21" s="1126"/>
      <c r="X21" s="1130"/>
      <c r="Y21" s="3465"/>
      <c r="Z21" s="1099"/>
      <c r="AA21" s="1136">
        <v>1</v>
      </c>
      <c r="AB21" s="1136">
        <v>1</v>
      </c>
      <c r="AC21" s="1136">
        <v>1</v>
      </c>
    </row>
    <row r="22" spans="1:29" ht="15">
      <c r="A22" s="930"/>
      <c r="B22" s="965" t="s">
        <v>1507</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65"/>
      <c r="Q22" s="651" t="str">
        <f>B22</f>
        <v>楼层</v>
      </c>
      <c r="R22" s="1125" t="s">
        <v>1423</v>
      </c>
      <c r="S22" s="1126">
        <f>F22</f>
        <v>100</v>
      </c>
      <c r="T22" s="1125" t="s">
        <v>1423</v>
      </c>
      <c r="U22" s="1126">
        <f>H22</f>
        <v>100</v>
      </c>
      <c r="V22" s="1125" t="s">
        <v>1423</v>
      </c>
      <c r="W22" s="1126">
        <f>J22</f>
        <v>100</v>
      </c>
      <c r="X22" s="1130"/>
      <c r="Y22" s="3465"/>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65"/>
      <c r="Q23" s="651">
        <f>B23</f>
        <v>111</v>
      </c>
      <c r="R23" s="1125" t="s">
        <v>1423</v>
      </c>
      <c r="S23" s="1126">
        <f>F23</f>
        <v>100</v>
      </c>
      <c r="T23" s="1125" t="s">
        <v>1423</v>
      </c>
      <c r="U23" s="1126">
        <f>H23</f>
        <v>100</v>
      </c>
      <c r="V23" s="1125" t="s">
        <v>1423</v>
      </c>
      <c r="W23" s="1126">
        <f>J23</f>
        <v>100</v>
      </c>
      <c r="X23" s="1130"/>
      <c r="Y23" s="3465"/>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65"/>
      <c r="Q24" s="651">
        <f t="shared" ref="Q24:Q36" si="11">B24</f>
        <v>111</v>
      </c>
      <c r="R24" s="1125" t="s">
        <v>1423</v>
      </c>
      <c r="S24" s="1126">
        <f>F24</f>
        <v>100</v>
      </c>
      <c r="T24" s="1125" t="s">
        <v>1423</v>
      </c>
      <c r="U24" s="1126">
        <f>H24</f>
        <v>100</v>
      </c>
      <c r="V24" s="1125" t="s">
        <v>1423</v>
      </c>
      <c r="W24" s="1126">
        <f>J24</f>
        <v>100</v>
      </c>
      <c r="X24" s="1130"/>
      <c r="Y24" s="3465"/>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65"/>
      <c r="Q25" s="1124">
        <f t="shared" si="11"/>
        <v>111</v>
      </c>
      <c r="R25" s="1121" t="s">
        <v>1423</v>
      </c>
      <c r="S25" s="1122">
        <f>F25</f>
        <v>100</v>
      </c>
      <c r="T25" s="1121" t="s">
        <v>1423</v>
      </c>
      <c r="U25" s="1122">
        <f>H25</f>
        <v>100</v>
      </c>
      <c r="V25" s="1121" t="s">
        <v>1423</v>
      </c>
      <c r="W25" s="1122">
        <f>J25</f>
        <v>100</v>
      </c>
      <c r="X25" s="1131"/>
      <c r="Y25" s="3465"/>
      <c r="Z25" s="1135">
        <f>Q25</f>
        <v>111</v>
      </c>
      <c r="AA25" s="1136">
        <f t="shared" si="3"/>
        <v>1</v>
      </c>
      <c r="AB25" s="1136">
        <f t="shared" si="4"/>
        <v>1</v>
      </c>
      <c r="AC25" s="1136">
        <f t="shared" si="5"/>
        <v>1</v>
      </c>
    </row>
    <row r="26" spans="1:29" ht="28.5">
      <c r="A26" s="1381" t="s">
        <v>1442</v>
      </c>
      <c r="B26" s="1382" t="s">
        <v>1528</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502" t="s">
        <v>1444</v>
      </c>
      <c r="Q26" s="651" t="str">
        <f t="shared" si="11"/>
        <v>配套类型</v>
      </c>
      <c r="R26" s="1125" t="s">
        <v>1423</v>
      </c>
      <c r="S26" s="1126">
        <f t="shared" ref="S26:S36" si="12">F26</f>
        <v>100</v>
      </c>
      <c r="T26" s="1125" t="s">
        <v>1423</v>
      </c>
      <c r="U26" s="1126">
        <f t="shared" ref="U26:U36" si="13">H26</f>
        <v>100</v>
      </c>
      <c r="V26" s="1125" t="s">
        <v>1423</v>
      </c>
      <c r="W26" s="1126">
        <f t="shared" ref="W26:W36" si="14">J26</f>
        <v>100</v>
      </c>
      <c r="X26" s="1130"/>
      <c r="Y26" s="3466" t="s">
        <v>1444</v>
      </c>
      <c r="Z26" s="1099" t="str">
        <f t="shared" ref="Z26:Z36" si="15">Q26</f>
        <v>配套类型</v>
      </c>
      <c r="AA26" s="1136">
        <f t="shared" si="3"/>
        <v>1</v>
      </c>
      <c r="AB26" s="1136">
        <f t="shared" si="4"/>
        <v>1</v>
      </c>
      <c r="AC26" s="1136">
        <f t="shared" si="5"/>
        <v>1</v>
      </c>
    </row>
    <row r="27" spans="1:29" s="913" customFormat="1" ht="15">
      <c r="A27" s="1384"/>
      <c r="B27" s="974" t="s">
        <v>1529</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66"/>
      <c r="Q27" s="1354" t="str">
        <f t="shared" si="11"/>
        <v>项目停车位配比</v>
      </c>
      <c r="R27" s="1127" t="s">
        <v>1423</v>
      </c>
      <c r="S27" s="1128">
        <f t="shared" si="12"/>
        <v>100</v>
      </c>
      <c r="T27" s="1127" t="s">
        <v>1423</v>
      </c>
      <c r="U27" s="1128">
        <f t="shared" si="13"/>
        <v>100</v>
      </c>
      <c r="V27" s="1127" t="s">
        <v>1423</v>
      </c>
      <c r="W27" s="1128">
        <f t="shared" si="14"/>
        <v>100</v>
      </c>
      <c r="X27" s="1132"/>
      <c r="Y27" s="3466"/>
      <c r="Z27" s="1137" t="str">
        <f t="shared" si="15"/>
        <v>项目停车位配比</v>
      </c>
      <c r="AA27" s="1136">
        <f t="shared" si="3"/>
        <v>1</v>
      </c>
      <c r="AB27" s="1136">
        <f t="shared" si="4"/>
        <v>1</v>
      </c>
      <c r="AC27" s="1136">
        <f t="shared" si="5"/>
        <v>1</v>
      </c>
    </row>
    <row r="28" spans="1:29" ht="15">
      <c r="A28" s="1386"/>
      <c r="B28" s="974" t="s">
        <v>1448</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66"/>
      <c r="Q28" s="651" t="str">
        <f t="shared" si="11"/>
        <v>公共部分装修</v>
      </c>
      <c r="R28" s="1125" t="s">
        <v>1423</v>
      </c>
      <c r="S28" s="1126">
        <f t="shared" si="12"/>
        <v>100</v>
      </c>
      <c r="T28" s="1125" t="s">
        <v>1423</v>
      </c>
      <c r="U28" s="1126">
        <f t="shared" si="13"/>
        <v>100</v>
      </c>
      <c r="V28" s="1125" t="s">
        <v>1423</v>
      </c>
      <c r="W28" s="1126">
        <f t="shared" si="14"/>
        <v>100</v>
      </c>
      <c r="X28" s="1130"/>
      <c r="Y28" s="3466"/>
      <c r="Z28" s="1099" t="str">
        <f t="shared" si="15"/>
        <v>公共部分装修</v>
      </c>
      <c r="AA28" s="1136">
        <f t="shared" si="3"/>
        <v>1</v>
      </c>
      <c r="AB28" s="1136">
        <f t="shared" si="4"/>
        <v>1</v>
      </c>
      <c r="AC28" s="1136">
        <f t="shared" si="5"/>
        <v>1</v>
      </c>
    </row>
    <row r="29" spans="1:29" ht="15">
      <c r="A29" s="1386"/>
      <c r="B29" s="974" t="s">
        <v>1530</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66"/>
      <c r="Q29" s="651" t="str">
        <f t="shared" si="11"/>
        <v>成新率</v>
      </c>
      <c r="R29" s="1125" t="s">
        <v>1423</v>
      </c>
      <c r="S29" s="1126" t="e">
        <f t="shared" si="12"/>
        <v>#N/A</v>
      </c>
      <c r="T29" s="1125" t="s">
        <v>1423</v>
      </c>
      <c r="U29" s="1126" t="e">
        <f t="shared" si="13"/>
        <v>#N/A</v>
      </c>
      <c r="V29" s="1125" t="s">
        <v>1423</v>
      </c>
      <c r="W29" s="1126" t="e">
        <f t="shared" si="14"/>
        <v>#N/A</v>
      </c>
      <c r="X29" s="1130"/>
      <c r="Y29" s="3466"/>
      <c r="Z29" s="1099" t="str">
        <f t="shared" si="15"/>
        <v>成新率</v>
      </c>
      <c r="AA29" s="1136" t="e">
        <f t="shared" si="3"/>
        <v>#N/A</v>
      </c>
      <c r="AB29" s="1136" t="e">
        <f t="shared" si="4"/>
        <v>#N/A</v>
      </c>
      <c r="AC29" s="1136" t="e">
        <f t="shared" si="5"/>
        <v>#N/A</v>
      </c>
    </row>
    <row r="30" spans="1:29" ht="15">
      <c r="A30" s="1386"/>
      <c r="B30" s="974" t="s">
        <v>1531</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66"/>
      <c r="Q30" s="651" t="str">
        <f t="shared" si="11"/>
        <v>物业等级</v>
      </c>
      <c r="R30" s="1125" t="s">
        <v>1423</v>
      </c>
      <c r="S30" s="1126">
        <f t="shared" si="12"/>
        <v>100</v>
      </c>
      <c r="T30" s="1125" t="s">
        <v>1423</v>
      </c>
      <c r="U30" s="1126">
        <f t="shared" si="13"/>
        <v>100</v>
      </c>
      <c r="V30" s="1125" t="s">
        <v>1423</v>
      </c>
      <c r="W30" s="1126">
        <f t="shared" si="14"/>
        <v>100</v>
      </c>
      <c r="X30" s="1130"/>
      <c r="Y30" s="3466"/>
      <c r="Z30" s="1099" t="str">
        <f t="shared" si="15"/>
        <v>物业等级</v>
      </c>
      <c r="AA30" s="1136">
        <f t="shared" si="3"/>
        <v>1</v>
      </c>
      <c r="AB30" s="1136">
        <f t="shared" si="4"/>
        <v>1</v>
      </c>
      <c r="AC30" s="1136">
        <f t="shared" si="5"/>
        <v>1</v>
      </c>
    </row>
    <row r="31" spans="1:29" s="911" customFormat="1" ht="15">
      <c r="A31" s="1387"/>
      <c r="B31" s="974" t="s">
        <v>1532</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66"/>
      <c r="Q31" s="1124" t="str">
        <f t="shared" si="11"/>
        <v>停车位面积</v>
      </c>
      <c r="R31" s="1121" t="s">
        <v>1423</v>
      </c>
      <c r="S31" s="1122" t="e">
        <f t="shared" si="12"/>
        <v>#N/A</v>
      </c>
      <c r="T31" s="1121" t="s">
        <v>1423</v>
      </c>
      <c r="U31" s="1122" t="e">
        <f t="shared" si="13"/>
        <v>#N/A</v>
      </c>
      <c r="V31" s="1121" t="s">
        <v>1423</v>
      </c>
      <c r="W31" s="1122" t="e">
        <f t="shared" si="14"/>
        <v>#N/A</v>
      </c>
      <c r="X31" s="1131"/>
      <c r="Y31" s="3466"/>
      <c r="Z31" s="1135" t="str">
        <f t="shared" si="15"/>
        <v>停车位面积</v>
      </c>
      <c r="AA31" s="1134" t="e">
        <f t="shared" si="3"/>
        <v>#N/A</v>
      </c>
      <c r="AB31" s="1134" t="e">
        <f t="shared" si="4"/>
        <v>#N/A</v>
      </c>
      <c r="AC31" s="1134" t="e">
        <f t="shared" si="5"/>
        <v>#N/A</v>
      </c>
    </row>
    <row r="32" spans="1:29" ht="15">
      <c r="A32" s="1386"/>
      <c r="B32" s="974" t="s">
        <v>1533</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66" t="s">
        <v>1444</v>
      </c>
      <c r="Q32" s="651" t="str">
        <f t="shared" si="11"/>
        <v>车位类型</v>
      </c>
      <c r="R32" s="1125" t="s">
        <v>1423</v>
      </c>
      <c r="S32" s="1126">
        <f t="shared" si="12"/>
        <v>100</v>
      </c>
      <c r="T32" s="1125" t="s">
        <v>1423</v>
      </c>
      <c r="U32" s="1126">
        <f t="shared" si="13"/>
        <v>100</v>
      </c>
      <c r="V32" s="1125" t="s">
        <v>1423</v>
      </c>
      <c r="W32" s="1126">
        <f t="shared" si="14"/>
        <v>100</v>
      </c>
      <c r="X32" s="1130"/>
      <c r="Y32" s="3466" t="s">
        <v>1444</v>
      </c>
      <c r="Z32" s="1099" t="str">
        <f t="shared" si="15"/>
        <v>车位类型</v>
      </c>
      <c r="AA32" s="1136">
        <f t="shared" si="3"/>
        <v>1</v>
      </c>
      <c r="AB32" s="1136">
        <f t="shared" si="4"/>
        <v>1</v>
      </c>
      <c r="AC32" s="1136">
        <f t="shared" si="5"/>
        <v>1</v>
      </c>
    </row>
    <row r="33" spans="1:29" ht="15">
      <c r="A33" s="1386"/>
      <c r="B33" s="974" t="s">
        <v>1534</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66"/>
      <c r="Q33" s="651" t="str">
        <f t="shared" si="11"/>
        <v>是否直接入户</v>
      </c>
      <c r="R33" s="1125" t="s">
        <v>1423</v>
      </c>
      <c r="S33" s="1126">
        <f t="shared" si="12"/>
        <v>100</v>
      </c>
      <c r="T33" s="1125" t="s">
        <v>1423</v>
      </c>
      <c r="U33" s="1126">
        <f t="shared" si="13"/>
        <v>100</v>
      </c>
      <c r="V33" s="1125" t="s">
        <v>1423</v>
      </c>
      <c r="W33" s="1126">
        <f t="shared" si="14"/>
        <v>100</v>
      </c>
      <c r="X33" s="1130"/>
      <c r="Y33" s="3466"/>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66"/>
      <c r="Q34" s="651">
        <f t="shared" si="11"/>
        <v>111</v>
      </c>
      <c r="R34" s="1125" t="s">
        <v>1423</v>
      </c>
      <c r="S34" s="1126">
        <f t="shared" si="12"/>
        <v>100</v>
      </c>
      <c r="T34" s="1125" t="s">
        <v>1423</v>
      </c>
      <c r="U34" s="1126">
        <f t="shared" si="13"/>
        <v>100</v>
      </c>
      <c r="V34" s="1125" t="s">
        <v>1423</v>
      </c>
      <c r="W34" s="1126">
        <f t="shared" si="14"/>
        <v>100</v>
      </c>
      <c r="X34" s="1130"/>
      <c r="Y34" s="3466"/>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66"/>
      <c r="Q35" s="1354">
        <f t="shared" si="11"/>
        <v>111</v>
      </c>
      <c r="R35" s="1127" t="s">
        <v>1423</v>
      </c>
      <c r="S35" s="1128">
        <f t="shared" si="12"/>
        <v>100</v>
      </c>
      <c r="T35" s="1127" t="s">
        <v>1423</v>
      </c>
      <c r="U35" s="1128">
        <f t="shared" si="13"/>
        <v>100</v>
      </c>
      <c r="V35" s="1127" t="s">
        <v>1423</v>
      </c>
      <c r="W35" s="1128">
        <f t="shared" si="14"/>
        <v>100</v>
      </c>
      <c r="X35" s="1132"/>
      <c r="Y35" s="3466"/>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66"/>
      <c r="Q36" s="651">
        <f t="shared" si="11"/>
        <v>111</v>
      </c>
      <c r="R36" s="1125" t="s">
        <v>1423</v>
      </c>
      <c r="S36" s="1126">
        <f t="shared" si="12"/>
        <v>100</v>
      </c>
      <c r="T36" s="1125" t="s">
        <v>1423</v>
      </c>
      <c r="U36" s="1126">
        <f t="shared" si="13"/>
        <v>100</v>
      </c>
      <c r="V36" s="1125" t="s">
        <v>1423</v>
      </c>
      <c r="W36" s="1126">
        <f t="shared" si="14"/>
        <v>100</v>
      </c>
      <c r="X36" s="1130"/>
      <c r="Y36" s="3466"/>
      <c r="Z36" s="1099">
        <f t="shared" si="15"/>
        <v>111</v>
      </c>
      <c r="AA36" s="1136">
        <f t="shared" si="3"/>
        <v>1</v>
      </c>
      <c r="AB36" s="1136">
        <f t="shared" si="4"/>
        <v>1</v>
      </c>
      <c r="AC36" s="1136">
        <f t="shared" si="5"/>
        <v>1</v>
      </c>
    </row>
    <row r="37" spans="1:29" ht="15">
      <c r="A37" s="994" t="s">
        <v>1535</v>
      </c>
      <c r="B37" s="1389" t="s">
        <v>1536</v>
      </c>
      <c r="C37" s="1311" t="s">
        <v>124</v>
      </c>
      <c r="D37" s="1312"/>
      <c r="E37" s="1342"/>
      <c r="F37" s="1343"/>
      <c r="G37" s="1344"/>
      <c r="H37" s="1345"/>
      <c r="I37" s="1342"/>
      <c r="J37" s="1345"/>
      <c r="K37" s="1401"/>
      <c r="L37" s="1092"/>
      <c r="M37" s="1005"/>
      <c r="N37" s="1110"/>
      <c r="O37" s="1005"/>
      <c r="P37" s="3456" t="str">
        <f>A37</f>
        <v>成交单价</v>
      </c>
      <c r="Q37" s="3456"/>
      <c r="R37" s="3457">
        <f>E37</f>
        <v>0</v>
      </c>
      <c r="S37" s="3457"/>
      <c r="T37" s="3457">
        <f>G37</f>
        <v>0</v>
      </c>
      <c r="U37" s="3457"/>
      <c r="V37" s="3457">
        <f>I37</f>
        <v>0</v>
      </c>
      <c r="W37" s="3457"/>
      <c r="X37" s="1028"/>
      <c r="Y37" s="1138"/>
      <c r="Z37" s="1028"/>
      <c r="AA37" s="1028"/>
      <c r="AB37" s="1028"/>
      <c r="AC37" s="1028"/>
    </row>
    <row r="38" spans="1:29" ht="15">
      <c r="A38" s="998" t="s">
        <v>1456</v>
      </c>
      <c r="B38" s="1313" t="str">
        <f>B37</f>
        <v>元/车位</v>
      </c>
      <c r="C38" s="1314" t="e">
        <f>R39</f>
        <v>#DIV/0!</v>
      </c>
      <c r="D38" s="1001" t="s">
        <v>1457</v>
      </c>
      <c r="E38" s="1346" t="e">
        <f>R38</f>
        <v>#DIV/0!</v>
      </c>
      <c r="F38" s="1050"/>
      <c r="G38" s="1314" t="e">
        <f>T38</f>
        <v>#DIV/0!</v>
      </c>
      <c r="H38" s="1050"/>
      <c r="I38" s="1346" t="e">
        <f>V38</f>
        <v>#DIV/0!</v>
      </c>
      <c r="J38" s="1050"/>
      <c r="K38" s="1093">
        <f>F38+H38+J38</f>
        <v>0</v>
      </c>
      <c r="L38" s="1092"/>
      <c r="M38" s="1005"/>
      <c r="N38" s="1005"/>
      <c r="O38" s="1005"/>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028"/>
      <c r="Y38" s="1028"/>
      <c r="Z38" s="1028"/>
      <c r="AA38" s="1028"/>
      <c r="AB38" s="1028"/>
      <c r="AC38" s="1028"/>
    </row>
    <row r="39" spans="1:29" ht="15">
      <c r="A39" s="1002" t="s">
        <v>1537</v>
      </c>
      <c r="B39" s="1003"/>
      <c r="C39" s="1315" t="e">
        <f>R39</f>
        <v>#DIV/0!</v>
      </c>
      <c r="D39" s="1315"/>
      <c r="E39" s="1315"/>
      <c r="F39" s="1315"/>
      <c r="G39" s="1315"/>
      <c r="H39" s="1315"/>
      <c r="I39" s="1315"/>
      <c r="J39" s="1315"/>
      <c r="K39" s="1402"/>
      <c r="L39" s="1092"/>
      <c r="M39" s="1005"/>
      <c r="N39" s="1005"/>
      <c r="O39" s="1005"/>
      <c r="P39" s="3468" t="str">
        <f>A39</f>
        <v>估价对象XX用房的比较价值（楼面单价，元/平方米）</v>
      </c>
      <c r="Q39" s="3469"/>
      <c r="R39" s="3503" t="e">
        <f>IF(F1="售价",ROUND(IF(D38="简单平均",AVERAGE(R38:W38),R38*F38+T38*H38+V38*J38),0),ROUND(IF(D38="简单平均",AVERAGE(R38:V38),R38*F38+T38*H38+V38*J38),1))</f>
        <v>#DIV/0!</v>
      </c>
      <c r="S39" s="3503"/>
      <c r="T39" s="3503"/>
      <c r="U39" s="3503"/>
      <c r="V39" s="3503"/>
      <c r="W39" s="3503"/>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1459</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1460</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1461</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
      <c r="A47" s="1390" t="s">
        <v>1462</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5">
      <c r="A48" s="1317" t="s">
        <v>1421</v>
      </c>
      <c r="B48" s="1318"/>
      <c r="C48" s="1319" t="str">
        <f>YEAR(C7)&amp;"-"&amp;MONTH(C7)</f>
        <v>2022-9</v>
      </c>
      <c r="D48" s="1320">
        <f>EDATE(C48,-1)</f>
        <v>44774</v>
      </c>
      <c r="E48" s="1320">
        <f t="shared" ref="E48:O48" si="16">EDATE(D48,-1)</f>
        <v>44743</v>
      </c>
      <c r="F48" s="1320">
        <f t="shared" si="16"/>
        <v>44713</v>
      </c>
      <c r="G48" s="1320">
        <f t="shared" si="16"/>
        <v>44682</v>
      </c>
      <c r="H48" s="1320">
        <f t="shared" si="16"/>
        <v>44652</v>
      </c>
      <c r="I48" s="1320">
        <f t="shared" si="16"/>
        <v>44621</v>
      </c>
      <c r="J48" s="1320">
        <f t="shared" si="16"/>
        <v>44593</v>
      </c>
      <c r="K48" s="1320">
        <f t="shared" si="16"/>
        <v>44562</v>
      </c>
      <c r="L48" s="1320">
        <f t="shared" si="16"/>
        <v>44531</v>
      </c>
      <c r="M48" s="1320">
        <f t="shared" si="16"/>
        <v>44501</v>
      </c>
      <c r="N48" s="1320">
        <f t="shared" si="16"/>
        <v>44470</v>
      </c>
      <c r="O48" s="1320">
        <f t="shared" si="16"/>
        <v>44440</v>
      </c>
      <c r="P48" s="1409"/>
      <c r="Q48" s="1251"/>
      <c r="R48" s="1251"/>
      <c r="S48" s="1251"/>
      <c r="T48" s="1251"/>
      <c r="U48" s="1251"/>
      <c r="V48" s="1251"/>
      <c r="W48" s="1251"/>
      <c r="X48" s="1251"/>
      <c r="Y48" s="1251"/>
      <c r="Z48" s="1251"/>
      <c r="AA48" s="1251"/>
      <c r="AB48" s="1251"/>
      <c r="AC48" s="1251"/>
    </row>
    <row r="49" spans="1:29" s="911" customFormat="1" ht="15">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5">
      <c r="A50" s="1147" t="s">
        <v>1463</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5">
      <c r="A51" s="1151" t="s">
        <v>1424</v>
      </c>
      <c r="B51" s="1152"/>
      <c r="C51" s="1153" t="s">
        <v>1425</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ht="15">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c r="A53" s="1157" t="s">
        <v>1464</v>
      </c>
      <c r="B53" s="1158" t="s">
        <v>1428</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ht="15">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7">
      <c r="A55" s="1159"/>
      <c r="B55" s="1162" t="s">
        <v>1431</v>
      </c>
      <c r="C55" s="1163" t="s">
        <v>1465</v>
      </c>
      <c r="D55" s="1163" t="s">
        <v>1466</v>
      </c>
      <c r="E55" s="1163" t="s">
        <v>1467</v>
      </c>
      <c r="F55" s="1163" t="s">
        <v>1468</v>
      </c>
      <c r="G55" s="1163" t="s">
        <v>1469</v>
      </c>
      <c r="H55" s="1163" t="s">
        <v>1470</v>
      </c>
      <c r="I55" s="1163" t="s">
        <v>1471</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ht="15">
      <c r="A56" s="1159"/>
      <c r="B56" s="1164"/>
      <c r="C56" s="1165" t="s">
        <v>1513</v>
      </c>
      <c r="D56" s="1165" t="s">
        <v>1513</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ht="15">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ht="15">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ht="15">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ht="15">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ht="15">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ht="15">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c r="A63" s="1157" t="s">
        <v>1433</v>
      </c>
      <c r="B63" s="1158" t="s">
        <v>1436</v>
      </c>
      <c r="C63" s="1175" t="s">
        <v>1472</v>
      </c>
      <c r="D63" s="1175" t="s">
        <v>1473</v>
      </c>
      <c r="E63" s="1175" t="s">
        <v>1474</v>
      </c>
      <c r="F63" s="1175" t="s">
        <v>1475</v>
      </c>
      <c r="G63" s="1175" t="s">
        <v>1476</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ht="15">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5">
      <c r="A65" s="1159"/>
      <c r="B65" s="1162" t="s">
        <v>1437</v>
      </c>
      <c r="C65" s="1176" t="s">
        <v>1472</v>
      </c>
      <c r="D65" s="1176" t="s">
        <v>1473</v>
      </c>
      <c r="E65" s="1176" t="s">
        <v>1474</v>
      </c>
      <c r="F65" s="1176" t="s">
        <v>1475</v>
      </c>
      <c r="G65" s="1176" t="s">
        <v>1476</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ht="15">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5">
      <c r="A67" s="1159"/>
      <c r="B67" s="1166" t="s">
        <v>1438</v>
      </c>
      <c r="C67" s="1179" t="s">
        <v>1477</v>
      </c>
      <c r="D67" s="1179" t="s">
        <v>1478</v>
      </c>
      <c r="E67" s="1179" t="s">
        <v>1479</v>
      </c>
      <c r="F67" s="1179" t="s">
        <v>1480</v>
      </c>
      <c r="G67" s="1179" t="s">
        <v>1481</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ht="15">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5">
      <c r="A69" s="1159"/>
      <c r="B69" s="1162" t="s">
        <v>1439</v>
      </c>
      <c r="C69" s="1176" t="s">
        <v>1472</v>
      </c>
      <c r="D69" s="1176" t="s">
        <v>1473</v>
      </c>
      <c r="E69" s="1176" t="s">
        <v>1474</v>
      </c>
      <c r="F69" s="1176" t="s">
        <v>1475</v>
      </c>
      <c r="G69" s="1176" t="s">
        <v>1476</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ht="15">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5">
      <c r="A71" s="1159"/>
      <c r="B71" s="1162" t="s">
        <v>1507</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ht="15">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ht="15">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ht="15">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ht="15">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ht="15">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ht="15">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ht="15">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7">
      <c r="A79" s="1157" t="s">
        <v>1442</v>
      </c>
      <c r="B79" s="1158" t="s">
        <v>1538</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5">
      <c r="A81" s="1159"/>
      <c r="B81" s="1162" t="s">
        <v>1529</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ht="15">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c r="A83" s="1185"/>
      <c r="B83" s="1162" t="s">
        <v>1448</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ht="15">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c r="A85" s="1185"/>
      <c r="B85" s="1162" t="s">
        <v>1530</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ht="15">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c r="A88" s="1185"/>
      <c r="B88" s="1166" t="s">
        <v>1531</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ht="15">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c r="A90" s="1181"/>
      <c r="B90" s="1162" t="s">
        <v>1532</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c r="A93" s="1185"/>
      <c r="B93" s="1162" t="s">
        <v>1533</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ht="15">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c r="A95" s="1185"/>
      <c r="B95" s="1162" t="s">
        <v>1534</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ht="15">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ht="15">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ht="15">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1526</v>
      </c>
      <c r="B1" s="1291"/>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IF(C2="——",ROUND(C37*D3/10000,0),ROUND(C37*D3/10000,0)-D2)</f>
        <v>#DIV/0!</v>
      </c>
      <c r="C2" s="1296"/>
      <c r="D2" s="1256" t="e">
        <f ca="1">SUMIF(INDIRECT("'"&amp;F2&amp;"'"&amp;"!A:A"),"承租人权益价值",INDIRECT("'"&amp;F2&amp;"'"&amp;"!c:c"))</f>
        <v>#REF!</v>
      </c>
      <c r="E2" s="1326" t="s">
        <v>925</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 ca="1">IF(C2="——",C37,ROUND(B2*10000/D3,0))</f>
        <v>#DIV/0!</v>
      </c>
      <c r="C3" s="1297" t="s">
        <v>1407</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1408</v>
      </c>
      <c r="B4" s="929"/>
      <c r="C4" s="3441" t="s">
        <v>1409</v>
      </c>
      <c r="D4" s="3442"/>
      <c r="E4" s="3443" t="s">
        <v>1410</v>
      </c>
      <c r="F4" s="3444"/>
      <c r="G4" s="3441" t="s">
        <v>1411</v>
      </c>
      <c r="H4" s="3442"/>
      <c r="I4" s="3441" t="s">
        <v>1412</v>
      </c>
      <c r="J4" s="3442"/>
      <c r="K4" s="1074" t="s">
        <v>1413</v>
      </c>
      <c r="L4" s="1075"/>
      <c r="M4" s="1110"/>
      <c r="N4" s="1110"/>
      <c r="O4" s="1110"/>
      <c r="P4" s="3474" t="s">
        <v>1414</v>
      </c>
      <c r="Q4" s="3475"/>
      <c r="R4" s="3480" t="s">
        <v>1410</v>
      </c>
      <c r="S4" s="3481"/>
      <c r="T4" s="3480" t="s">
        <v>1411</v>
      </c>
      <c r="U4" s="3481"/>
      <c r="V4" s="3486" t="s">
        <v>1412</v>
      </c>
      <c r="W4" s="3486"/>
      <c r="X4" s="1130"/>
      <c r="Y4" s="3480" t="s">
        <v>1414</v>
      </c>
      <c r="Z4" s="3481"/>
      <c r="AA4" s="3471" t="s">
        <v>1410</v>
      </c>
      <c r="AB4" s="3472" t="s">
        <v>1411</v>
      </c>
      <c r="AC4" s="3471" t="s">
        <v>1412</v>
      </c>
    </row>
    <row r="5" spans="1:29" ht="15">
      <c r="A5" s="930"/>
      <c r="B5" s="931"/>
      <c r="C5" s="3445" t="s">
        <v>1415</v>
      </c>
      <c r="D5" s="3446"/>
      <c r="E5" s="3447" t="s">
        <v>1416</v>
      </c>
      <c r="F5" s="3448"/>
      <c r="G5" s="3445" t="s">
        <v>1417</v>
      </c>
      <c r="H5" s="3446"/>
      <c r="I5" s="3445" t="s">
        <v>1418</v>
      </c>
      <c r="J5" s="3446"/>
      <c r="K5" s="1074"/>
      <c r="L5" s="1075"/>
      <c r="M5" s="1110"/>
      <c r="N5" s="1110"/>
      <c r="O5" s="1110"/>
      <c r="P5" s="3476"/>
      <c r="Q5" s="3477"/>
      <c r="R5" s="3482"/>
      <c r="S5" s="3483"/>
      <c r="T5" s="3482"/>
      <c r="U5" s="3483"/>
      <c r="V5" s="3486"/>
      <c r="W5" s="3486"/>
      <c r="X5" s="1130"/>
      <c r="Y5" s="3482"/>
      <c r="Z5" s="3483"/>
      <c r="AA5" s="3472"/>
      <c r="AB5" s="3472"/>
      <c r="AC5" s="3472"/>
    </row>
    <row r="6" spans="1:29" ht="15">
      <c r="A6" s="932"/>
      <c r="B6" s="933"/>
      <c r="C6" s="3449" t="s">
        <v>1419</v>
      </c>
      <c r="D6" s="3450"/>
      <c r="E6" s="3451" t="s">
        <v>1419</v>
      </c>
      <c r="F6" s="3452"/>
      <c r="G6" s="3449" t="s">
        <v>1419</v>
      </c>
      <c r="H6" s="3450"/>
      <c r="I6" s="3449" t="s">
        <v>1419</v>
      </c>
      <c r="J6" s="3450"/>
      <c r="K6" s="1074" t="s">
        <v>1420</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1421</v>
      </c>
      <c r="B7" s="935"/>
      <c r="C7" s="936">
        <f>'数据-取费表'!B2</f>
        <v>44827</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53" t="s">
        <v>1422</v>
      </c>
      <c r="Q7" s="3454"/>
      <c r="R7" s="1121" t="s">
        <v>1423</v>
      </c>
      <c r="S7" s="1122">
        <f t="shared" ref="S7:S14" si="0">F7</f>
        <v>0</v>
      </c>
      <c r="T7" s="1121" t="s">
        <v>1423</v>
      </c>
      <c r="U7" s="1122">
        <f t="shared" ref="U7:U14" si="1">H7</f>
        <v>0</v>
      </c>
      <c r="V7" s="1121" t="s">
        <v>1423</v>
      </c>
      <c r="W7" s="1122">
        <f t="shared" ref="W7:W14" si="2">J7</f>
        <v>0</v>
      </c>
      <c r="X7" s="1131"/>
      <c r="Y7" s="3453" t="s">
        <v>1422</v>
      </c>
      <c r="Z7" s="3455"/>
      <c r="AA7" s="1134" t="e">
        <f>D7/F7</f>
        <v>#DIV/0!</v>
      </c>
      <c r="AB7" s="1134" t="e">
        <f>D7/H7</f>
        <v>#DIV/0!</v>
      </c>
      <c r="AC7" s="1134" t="e">
        <f>D7/J7</f>
        <v>#DIV/0!</v>
      </c>
    </row>
    <row r="8" spans="1:29" s="911" customFormat="1" ht="15">
      <c r="A8" s="934" t="s">
        <v>1424</v>
      </c>
      <c r="B8" s="935"/>
      <c r="C8" s="938" t="s">
        <v>1425</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34" si="3">D8/F8</f>
        <v>#DIV/0!</v>
      </c>
      <c r="AB8" s="1134" t="e">
        <f t="shared" ref="AB8:AB34" si="4">D8/H8</f>
        <v>#DIV/0!</v>
      </c>
      <c r="AC8" s="1134" t="e">
        <f t="shared" ref="AC8:AC34" si="5">D8/J8</f>
        <v>#DIV/0!</v>
      </c>
    </row>
    <row r="9" spans="1:29" s="911" customFormat="1">
      <c r="A9" s="939" t="s">
        <v>1427</v>
      </c>
      <c r="B9" s="940" t="s">
        <v>1428</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6" t="s">
        <v>1429</v>
      </c>
      <c r="Q9" s="1124" t="str">
        <f t="shared" ref="Q9:Q14" si="6">B9</f>
        <v>用途</v>
      </c>
      <c r="R9" s="1121" t="s">
        <v>1423</v>
      </c>
      <c r="S9" s="1122">
        <f t="shared" si="0"/>
        <v>100</v>
      </c>
      <c r="T9" s="1121" t="s">
        <v>1423</v>
      </c>
      <c r="U9" s="1122">
        <f t="shared" si="1"/>
        <v>100</v>
      </c>
      <c r="V9" s="1121" t="s">
        <v>1423</v>
      </c>
      <c r="W9" s="1122">
        <f t="shared" si="2"/>
        <v>100</v>
      </c>
      <c r="X9" s="1131"/>
      <c r="Y9" s="3411" t="s">
        <v>1430</v>
      </c>
      <c r="Z9" s="1135" t="str">
        <f t="shared" ref="Z9:Z14" si="7">Q9</f>
        <v>用途</v>
      </c>
      <c r="AA9" s="1134">
        <f t="shared" si="3"/>
        <v>1</v>
      </c>
      <c r="AB9" s="1134">
        <f t="shared" si="4"/>
        <v>1</v>
      </c>
      <c r="AC9" s="1134">
        <f t="shared" si="5"/>
        <v>1</v>
      </c>
    </row>
    <row r="10" spans="1:29" s="912" customFormat="1" ht="27">
      <c r="A10" s="943"/>
      <c r="B10" s="944" t="s">
        <v>1431</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6"/>
      <c r="Q10" s="1124" t="str">
        <f t="shared" si="6"/>
        <v>土地使用年限（年）</v>
      </c>
      <c r="R10" s="1121" t="s">
        <v>1423</v>
      </c>
      <c r="S10" s="1122">
        <f t="shared" si="0"/>
        <v>100</v>
      </c>
      <c r="T10" s="1121" t="s">
        <v>1423</v>
      </c>
      <c r="U10" s="1122">
        <f t="shared" si="1"/>
        <v>100</v>
      </c>
      <c r="V10" s="1121" t="s">
        <v>1423</v>
      </c>
      <c r="W10" s="1122">
        <f t="shared" si="2"/>
        <v>100</v>
      </c>
      <c r="X10" s="1131"/>
      <c r="Y10" s="3411"/>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6"/>
      <c r="Q11" s="1124">
        <f t="shared" si="6"/>
        <v>111</v>
      </c>
      <c r="R11" s="1121" t="s">
        <v>1423</v>
      </c>
      <c r="S11" s="1122">
        <f t="shared" si="0"/>
        <v>100</v>
      </c>
      <c r="T11" s="1121" t="s">
        <v>1423</v>
      </c>
      <c r="U11" s="1122">
        <f t="shared" si="1"/>
        <v>100</v>
      </c>
      <c r="V11" s="1121" t="s">
        <v>1423</v>
      </c>
      <c r="W11" s="1122">
        <f t="shared" si="2"/>
        <v>100</v>
      </c>
      <c r="X11" s="1131"/>
      <c r="Y11" s="3411"/>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6"/>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6"/>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29" ht="85.5">
      <c r="A14" s="958" t="s">
        <v>1433</v>
      </c>
      <c r="B14" s="1257" t="s">
        <v>1436</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64" t="s">
        <v>1435</v>
      </c>
      <c r="Q14" s="651" t="str">
        <f t="shared" si="6"/>
        <v>交通便捷度</v>
      </c>
      <c r="R14" s="1125" t="s">
        <v>1423</v>
      </c>
      <c r="S14" s="1126">
        <f t="shared" si="0"/>
        <v>100</v>
      </c>
      <c r="T14" s="1125" t="s">
        <v>1423</v>
      </c>
      <c r="U14" s="1126">
        <f t="shared" si="1"/>
        <v>100</v>
      </c>
      <c r="V14" s="1125" t="s">
        <v>1423</v>
      </c>
      <c r="W14" s="1126">
        <f t="shared" si="2"/>
        <v>100</v>
      </c>
      <c r="X14" s="1130"/>
      <c r="Y14" s="3464" t="s">
        <v>1435</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65"/>
      <c r="Q15" s="651"/>
      <c r="R15" s="1125"/>
      <c r="S15" s="1126"/>
      <c r="T15" s="1125"/>
      <c r="U15" s="1126"/>
      <c r="V15" s="1125"/>
      <c r="W15" s="1126"/>
      <c r="X15" s="1130"/>
      <c r="Y15" s="3465"/>
      <c r="Z15" s="1099"/>
      <c r="AA15" s="1136">
        <v>1</v>
      </c>
      <c r="AB15" s="1136">
        <v>1</v>
      </c>
      <c r="AC15" s="1136">
        <v>1</v>
      </c>
    </row>
    <row r="16" spans="1:29" ht="42.75">
      <c r="A16" s="947"/>
      <c r="B16" s="1260" t="s">
        <v>1437</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65"/>
      <c r="Q16" s="651" t="str">
        <f>B16</f>
        <v>公共配套设施</v>
      </c>
      <c r="R16" s="1125" t="s">
        <v>1423</v>
      </c>
      <c r="S16" s="1126">
        <f>F16</f>
        <v>100</v>
      </c>
      <c r="T16" s="1125" t="s">
        <v>1423</v>
      </c>
      <c r="U16" s="1126">
        <f>H16</f>
        <v>100</v>
      </c>
      <c r="V16" s="1125" t="s">
        <v>1423</v>
      </c>
      <c r="W16" s="1126">
        <f>J16</f>
        <v>100</v>
      </c>
      <c r="X16" s="1130"/>
      <c r="Y16" s="3465"/>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65"/>
      <c r="Q17" s="651"/>
      <c r="R17" s="1125"/>
      <c r="S17" s="1126"/>
      <c r="T17" s="1125"/>
      <c r="U17" s="1126"/>
      <c r="V17" s="1125"/>
      <c r="W17" s="1126"/>
      <c r="X17" s="1130"/>
      <c r="Y17" s="3465"/>
      <c r="Z17" s="1099"/>
      <c r="AA17" s="1136">
        <v>1</v>
      </c>
      <c r="AB17" s="1136">
        <v>1</v>
      </c>
      <c r="AC17" s="1136">
        <v>1</v>
      </c>
    </row>
    <row r="18" spans="1:29" ht="28.5">
      <c r="A18" s="947"/>
      <c r="B18" s="1262" t="s">
        <v>1438</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65"/>
      <c r="Q18" s="651" t="str">
        <f>B18</f>
        <v>基础设施水平</v>
      </c>
      <c r="R18" s="1125" t="s">
        <v>1423</v>
      </c>
      <c r="S18" s="1126">
        <f>F18</f>
        <v>100</v>
      </c>
      <c r="T18" s="1125" t="s">
        <v>1423</v>
      </c>
      <c r="U18" s="1126">
        <f>H18</f>
        <v>100</v>
      </c>
      <c r="V18" s="1125" t="s">
        <v>1423</v>
      </c>
      <c r="W18" s="1126">
        <f>J18</f>
        <v>100</v>
      </c>
      <c r="X18" s="1130"/>
      <c r="Y18" s="3465"/>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65"/>
      <c r="Q19" s="651"/>
      <c r="R19" s="1125"/>
      <c r="S19" s="1126"/>
      <c r="T19" s="1125"/>
      <c r="U19" s="1126"/>
      <c r="V19" s="1125"/>
      <c r="W19" s="1126"/>
      <c r="X19" s="1130"/>
      <c r="Y19" s="3465"/>
      <c r="Z19" s="1099"/>
      <c r="AA19" s="1136">
        <v>1</v>
      </c>
      <c r="AB19" s="1136">
        <v>1</v>
      </c>
      <c r="AC19" s="1136">
        <v>1</v>
      </c>
    </row>
    <row r="20" spans="1:29" ht="57">
      <c r="A20" s="947"/>
      <c r="B20" s="1260" t="s">
        <v>1439</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65"/>
      <c r="Q20" s="651" t="str">
        <f>B20</f>
        <v>自然及人文环境</v>
      </c>
      <c r="R20" s="1125" t="s">
        <v>1423</v>
      </c>
      <c r="S20" s="1126">
        <f>F20</f>
        <v>100</v>
      </c>
      <c r="T20" s="1125" t="s">
        <v>1423</v>
      </c>
      <c r="U20" s="1126">
        <f>H20</f>
        <v>100</v>
      </c>
      <c r="V20" s="1125" t="s">
        <v>1423</v>
      </c>
      <c r="W20" s="1126">
        <f>J20</f>
        <v>100</v>
      </c>
      <c r="X20" s="1130"/>
      <c r="Y20" s="3465"/>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65"/>
      <c r="Q21" s="651"/>
      <c r="R21" s="1125"/>
      <c r="S21" s="1126"/>
      <c r="T21" s="1125"/>
      <c r="U21" s="1126"/>
      <c r="V21" s="1125"/>
      <c r="W21" s="1126"/>
      <c r="X21" s="1130"/>
      <c r="Y21" s="3465"/>
      <c r="Z21" s="1099"/>
      <c r="AA21" s="1136">
        <v>1</v>
      </c>
      <c r="AB21" s="1136">
        <v>1</v>
      </c>
      <c r="AC21" s="1136">
        <v>1</v>
      </c>
    </row>
    <row r="22" spans="1:29" ht="15">
      <c r="A22" s="947"/>
      <c r="B22" s="1260" t="s">
        <v>1507</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65"/>
      <c r="Q22" s="651" t="str">
        <f>B22</f>
        <v>楼层</v>
      </c>
      <c r="R22" s="1125" t="s">
        <v>1423</v>
      </c>
      <c r="S22" s="1126">
        <f>F22</f>
        <v>100</v>
      </c>
      <c r="T22" s="1125" t="s">
        <v>1423</v>
      </c>
      <c r="U22" s="1126">
        <f>H22</f>
        <v>100</v>
      </c>
      <c r="V22" s="1125" t="s">
        <v>1423</v>
      </c>
      <c r="W22" s="1126">
        <f>J22</f>
        <v>100</v>
      </c>
      <c r="X22" s="1130"/>
      <c r="Y22" s="3465"/>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65"/>
      <c r="Q23" s="651">
        <f>B23</f>
        <v>111</v>
      </c>
      <c r="R23" s="1125" t="s">
        <v>1423</v>
      </c>
      <c r="S23" s="1126">
        <f>F23</f>
        <v>100</v>
      </c>
      <c r="T23" s="1125" t="s">
        <v>1423</v>
      </c>
      <c r="U23" s="1126">
        <f>H23</f>
        <v>100</v>
      </c>
      <c r="V23" s="1125" t="s">
        <v>1423</v>
      </c>
      <c r="W23" s="1126">
        <f>J23</f>
        <v>100</v>
      </c>
      <c r="X23" s="1130"/>
      <c r="Y23" s="3465"/>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65"/>
      <c r="Q24" s="651">
        <f t="shared" ref="Q24:Q34" si="11">B24</f>
        <v>111</v>
      </c>
      <c r="R24" s="1125" t="s">
        <v>1423</v>
      </c>
      <c r="S24" s="1126">
        <f>F24</f>
        <v>100</v>
      </c>
      <c r="T24" s="1125" t="s">
        <v>1423</v>
      </c>
      <c r="U24" s="1126">
        <f>H24</f>
        <v>100</v>
      </c>
      <c r="V24" s="1125" t="s">
        <v>1423</v>
      </c>
      <c r="W24" s="1126">
        <f>J24</f>
        <v>100</v>
      </c>
      <c r="X24" s="1130"/>
      <c r="Y24" s="3465"/>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65"/>
      <c r="Q25" s="1124">
        <f t="shared" si="11"/>
        <v>111</v>
      </c>
      <c r="R25" s="1121" t="s">
        <v>1423</v>
      </c>
      <c r="S25" s="1122">
        <f>F25</f>
        <v>100</v>
      </c>
      <c r="T25" s="1121" t="s">
        <v>1423</v>
      </c>
      <c r="U25" s="1122">
        <f>H25</f>
        <v>100</v>
      </c>
      <c r="V25" s="1121" t="s">
        <v>1423</v>
      </c>
      <c r="W25" s="1122">
        <f>J25</f>
        <v>100</v>
      </c>
      <c r="X25" s="1131"/>
      <c r="Y25" s="3465"/>
      <c r="Z25" s="1135">
        <f>Q25</f>
        <v>111</v>
      </c>
      <c r="AA25" s="1136">
        <f t="shared" si="3"/>
        <v>1</v>
      </c>
      <c r="AB25" s="1136">
        <f t="shared" si="4"/>
        <v>1</v>
      </c>
      <c r="AC25" s="1136">
        <f t="shared" si="5"/>
        <v>1</v>
      </c>
    </row>
    <row r="26" spans="1:29" ht="28.5">
      <c r="A26" s="1303" t="s">
        <v>1442</v>
      </c>
      <c r="B26" s="940" t="s">
        <v>1448</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502" t="s">
        <v>1444</v>
      </c>
      <c r="Q26" s="651" t="str">
        <f t="shared" si="11"/>
        <v>公共部分装修</v>
      </c>
      <c r="R26" s="1125" t="s">
        <v>1423</v>
      </c>
      <c r="S26" s="1126">
        <f t="shared" ref="S26:S34" si="12">F26</f>
        <v>100</v>
      </c>
      <c r="T26" s="1125" t="s">
        <v>1423</v>
      </c>
      <c r="U26" s="1126">
        <f t="shared" ref="U26:U34" si="13">H26</f>
        <v>100</v>
      </c>
      <c r="V26" s="1125" t="s">
        <v>1423</v>
      </c>
      <c r="W26" s="1126">
        <f t="shared" ref="W26:W34" si="14">J26</f>
        <v>100</v>
      </c>
      <c r="X26" s="1130"/>
      <c r="Y26" s="3466" t="s">
        <v>1444</v>
      </c>
      <c r="Z26" s="1099" t="str">
        <f t="shared" ref="Z26:Z34" si="15">Q26</f>
        <v>公共部分装修</v>
      </c>
      <c r="AA26" s="1136">
        <f t="shared" si="3"/>
        <v>1</v>
      </c>
      <c r="AB26" s="1136">
        <f t="shared" si="4"/>
        <v>1</v>
      </c>
      <c r="AC26" s="1136">
        <f t="shared" si="5"/>
        <v>1</v>
      </c>
    </row>
    <row r="27" spans="1:29" s="913" customFormat="1" ht="15">
      <c r="A27" s="992"/>
      <c r="B27" s="944" t="s">
        <v>1530</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66"/>
      <c r="Q27" s="1354" t="str">
        <f t="shared" si="11"/>
        <v>成新率</v>
      </c>
      <c r="R27" s="1127" t="s">
        <v>1423</v>
      </c>
      <c r="S27" s="1128" t="e">
        <f t="shared" si="12"/>
        <v>#N/A</v>
      </c>
      <c r="T27" s="1127" t="s">
        <v>1423</v>
      </c>
      <c r="U27" s="1128" t="e">
        <f t="shared" si="13"/>
        <v>#N/A</v>
      </c>
      <c r="V27" s="1127" t="s">
        <v>1423</v>
      </c>
      <c r="W27" s="1128" t="e">
        <f t="shared" si="14"/>
        <v>#N/A</v>
      </c>
      <c r="X27" s="1132"/>
      <c r="Y27" s="3466"/>
      <c r="Z27" s="1137" t="str">
        <f t="shared" si="15"/>
        <v>成新率</v>
      </c>
      <c r="AA27" s="1136" t="e">
        <f t="shared" si="3"/>
        <v>#N/A</v>
      </c>
      <c r="AB27" s="1136" t="e">
        <f t="shared" si="4"/>
        <v>#N/A</v>
      </c>
      <c r="AC27" s="1136" t="e">
        <f t="shared" si="5"/>
        <v>#N/A</v>
      </c>
    </row>
    <row r="28" spans="1:29" ht="15">
      <c r="A28" s="987"/>
      <c r="B28" s="944" t="s">
        <v>1531</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66"/>
      <c r="Q28" s="651" t="str">
        <f t="shared" si="11"/>
        <v>物业等级</v>
      </c>
      <c r="R28" s="1125" t="s">
        <v>1423</v>
      </c>
      <c r="S28" s="1126">
        <f t="shared" si="12"/>
        <v>100</v>
      </c>
      <c r="T28" s="1125" t="s">
        <v>1423</v>
      </c>
      <c r="U28" s="1126">
        <f t="shared" si="13"/>
        <v>100</v>
      </c>
      <c r="V28" s="1125" t="s">
        <v>1423</v>
      </c>
      <c r="W28" s="1126">
        <f t="shared" si="14"/>
        <v>100</v>
      </c>
      <c r="X28" s="1130"/>
      <c r="Y28" s="3466"/>
      <c r="Z28" s="1099" t="str">
        <f t="shared" si="15"/>
        <v>物业等级</v>
      </c>
      <c r="AA28" s="1136">
        <f t="shared" si="3"/>
        <v>1</v>
      </c>
      <c r="AB28" s="1136">
        <f t="shared" si="4"/>
        <v>1</v>
      </c>
      <c r="AC28" s="1136">
        <f t="shared" si="5"/>
        <v>1</v>
      </c>
    </row>
    <row r="29" spans="1:29" ht="15">
      <c r="A29" s="987"/>
      <c r="B29" s="944" t="s">
        <v>1539</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66"/>
      <c r="Q29" s="651" t="str">
        <f t="shared" si="11"/>
        <v>有无电梯</v>
      </c>
      <c r="R29" s="1125" t="s">
        <v>1423</v>
      </c>
      <c r="S29" s="1126">
        <f t="shared" si="12"/>
        <v>100</v>
      </c>
      <c r="T29" s="1125" t="s">
        <v>1423</v>
      </c>
      <c r="U29" s="1126">
        <f t="shared" si="13"/>
        <v>100</v>
      </c>
      <c r="V29" s="1125" t="s">
        <v>1423</v>
      </c>
      <c r="W29" s="1126">
        <f t="shared" si="14"/>
        <v>100</v>
      </c>
      <c r="X29" s="1130"/>
      <c r="Y29" s="3466"/>
      <c r="Z29" s="1099" t="str">
        <f t="shared" si="15"/>
        <v>有无电梯</v>
      </c>
      <c r="AA29" s="1136">
        <f t="shared" si="3"/>
        <v>1</v>
      </c>
      <c r="AB29" s="1136">
        <f t="shared" si="4"/>
        <v>1</v>
      </c>
      <c r="AC29" s="1136">
        <f t="shared" si="5"/>
        <v>1</v>
      </c>
    </row>
    <row r="30" spans="1:29" ht="15">
      <c r="A30" s="987"/>
      <c r="B30" s="944" t="s">
        <v>534</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66"/>
      <c r="Q30" s="651" t="str">
        <f t="shared" si="11"/>
        <v>建筑面积</v>
      </c>
      <c r="R30" s="1125" t="s">
        <v>1423</v>
      </c>
      <c r="S30" s="1126" t="e">
        <f t="shared" si="12"/>
        <v>#N/A</v>
      </c>
      <c r="T30" s="1125" t="s">
        <v>1423</v>
      </c>
      <c r="U30" s="1126" t="e">
        <f t="shared" si="13"/>
        <v>#N/A</v>
      </c>
      <c r="V30" s="1125" t="s">
        <v>1423</v>
      </c>
      <c r="W30" s="1126" t="e">
        <f t="shared" si="14"/>
        <v>#N/A</v>
      </c>
      <c r="X30" s="1130"/>
      <c r="Y30" s="3466"/>
      <c r="Z30" s="1099" t="str">
        <f t="shared" si="15"/>
        <v>建筑面积</v>
      </c>
      <c r="AA30" s="1136" t="e">
        <f t="shared" si="3"/>
        <v>#N/A</v>
      </c>
      <c r="AB30" s="1136" t="e">
        <f t="shared" si="4"/>
        <v>#N/A</v>
      </c>
      <c r="AC30" s="1136" t="e">
        <f t="shared" si="5"/>
        <v>#N/A</v>
      </c>
    </row>
    <row r="31" spans="1:29" s="911" customFormat="1" ht="15">
      <c r="A31" s="989"/>
      <c r="B31" s="944" t="s">
        <v>1540</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66"/>
      <c r="Q31" s="1124" t="str">
        <f t="shared" si="11"/>
        <v>是否封闭</v>
      </c>
      <c r="R31" s="1121" t="s">
        <v>1423</v>
      </c>
      <c r="S31" s="1122">
        <f t="shared" si="12"/>
        <v>100</v>
      </c>
      <c r="T31" s="1121" t="s">
        <v>1423</v>
      </c>
      <c r="U31" s="1122">
        <f t="shared" si="13"/>
        <v>100</v>
      </c>
      <c r="V31" s="1121" t="s">
        <v>1423</v>
      </c>
      <c r="W31" s="1122">
        <f t="shared" si="14"/>
        <v>100</v>
      </c>
      <c r="X31" s="1131"/>
      <c r="Y31" s="3466"/>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66" t="s">
        <v>1444</v>
      </c>
      <c r="Q32" s="651">
        <f t="shared" si="11"/>
        <v>111</v>
      </c>
      <c r="R32" s="1125" t="s">
        <v>1423</v>
      </c>
      <c r="S32" s="1126">
        <f t="shared" si="12"/>
        <v>100</v>
      </c>
      <c r="T32" s="1125" t="s">
        <v>1423</v>
      </c>
      <c r="U32" s="1126">
        <f t="shared" si="13"/>
        <v>100</v>
      </c>
      <c r="V32" s="1125" t="s">
        <v>1423</v>
      </c>
      <c r="W32" s="1126">
        <f t="shared" si="14"/>
        <v>100</v>
      </c>
      <c r="X32" s="1130"/>
      <c r="Y32" s="3466" t="s">
        <v>1444</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66"/>
      <c r="Q33" s="651">
        <f t="shared" si="11"/>
        <v>111</v>
      </c>
      <c r="R33" s="1125" t="s">
        <v>1423</v>
      </c>
      <c r="S33" s="1126">
        <f t="shared" si="12"/>
        <v>100</v>
      </c>
      <c r="T33" s="1125" t="s">
        <v>1423</v>
      </c>
      <c r="U33" s="1126">
        <f t="shared" si="13"/>
        <v>100</v>
      </c>
      <c r="V33" s="1125" t="s">
        <v>1423</v>
      </c>
      <c r="W33" s="1126">
        <f t="shared" si="14"/>
        <v>100</v>
      </c>
      <c r="X33" s="1130"/>
      <c r="Y33" s="3466"/>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66"/>
      <c r="Q34" s="651">
        <f t="shared" si="11"/>
        <v>111</v>
      </c>
      <c r="R34" s="1125" t="s">
        <v>1423</v>
      </c>
      <c r="S34" s="1126">
        <f t="shared" si="12"/>
        <v>100</v>
      </c>
      <c r="T34" s="1125" t="s">
        <v>1423</v>
      </c>
      <c r="U34" s="1126">
        <f t="shared" si="13"/>
        <v>100</v>
      </c>
      <c r="V34" s="1125" t="s">
        <v>1423</v>
      </c>
      <c r="W34" s="1126">
        <f t="shared" si="14"/>
        <v>100</v>
      </c>
      <c r="X34" s="1130"/>
      <c r="Y34" s="3466"/>
      <c r="Z34" s="1099">
        <f t="shared" si="15"/>
        <v>111</v>
      </c>
      <c r="AA34" s="1136">
        <f t="shared" si="3"/>
        <v>1</v>
      </c>
      <c r="AB34" s="1136">
        <f t="shared" si="4"/>
        <v>1</v>
      </c>
      <c r="AC34" s="1136">
        <f t="shared" si="5"/>
        <v>1</v>
      </c>
    </row>
    <row r="35" spans="1:30" ht="15">
      <c r="A35" s="994" t="s">
        <v>1455</v>
      </c>
      <c r="B35" s="1310"/>
      <c r="C35" s="1311" t="s">
        <v>124</v>
      </c>
      <c r="D35" s="1312"/>
      <c r="E35" s="1342"/>
      <c r="F35" s="1343"/>
      <c r="G35" s="1344"/>
      <c r="H35" s="1345"/>
      <c r="I35" s="1342"/>
      <c r="J35" s="1345"/>
      <c r="K35" s="1091"/>
      <c r="L35" s="1092"/>
      <c r="M35" s="1005"/>
      <c r="N35" s="1110"/>
      <c r="O35" s="1005"/>
      <c r="P35" s="3456" t="str">
        <f>A35</f>
        <v>成交单价（元/平方米）</v>
      </c>
      <c r="Q35" s="3456"/>
      <c r="R35" s="3457">
        <f>E35</f>
        <v>0</v>
      </c>
      <c r="S35" s="3457"/>
      <c r="T35" s="3457">
        <f>G35</f>
        <v>0</v>
      </c>
      <c r="U35" s="3457"/>
      <c r="V35" s="3457">
        <f>I35</f>
        <v>0</v>
      </c>
      <c r="W35" s="3457"/>
      <c r="X35" s="1028"/>
      <c r="Y35" s="1138"/>
      <c r="Z35" s="1028"/>
      <c r="AA35" s="1028"/>
      <c r="AB35" s="1028"/>
      <c r="AC35" s="1028"/>
    </row>
    <row r="36" spans="1:30" ht="15">
      <c r="A36" s="998" t="s">
        <v>1456</v>
      </c>
      <c r="B36" s="1313"/>
      <c r="C36" s="1314" t="e">
        <f>R37</f>
        <v>#DIV/0!</v>
      </c>
      <c r="D36" s="1001" t="s">
        <v>1457</v>
      </c>
      <c r="E36" s="1346" t="e">
        <f>R36</f>
        <v>#DIV/0!</v>
      </c>
      <c r="F36" s="1050"/>
      <c r="G36" s="1314" t="e">
        <f>T36</f>
        <v>#DIV/0!</v>
      </c>
      <c r="H36" s="1050"/>
      <c r="I36" s="1346" t="e">
        <f>V36</f>
        <v>#DIV/0!</v>
      </c>
      <c r="J36" s="1050"/>
      <c r="K36" s="1093">
        <f>F36+H36+J36</f>
        <v>0</v>
      </c>
      <c r="L36" s="1092"/>
      <c r="M36" s="1005"/>
      <c r="N36" s="1110"/>
      <c r="O36" s="1005"/>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028"/>
      <c r="Y36" s="1028"/>
      <c r="Z36" s="1028"/>
      <c r="AA36" s="1028"/>
      <c r="AB36" s="1028"/>
      <c r="AC36" s="1028"/>
    </row>
    <row r="37" spans="1:30" ht="15">
      <c r="A37" s="1002" t="s">
        <v>1458</v>
      </c>
      <c r="B37" s="1003"/>
      <c r="C37" s="1315" t="e">
        <f>R37</f>
        <v>#DIV/0!</v>
      </c>
      <c r="D37" s="1315"/>
      <c r="E37" s="1315"/>
      <c r="F37" s="1315"/>
      <c r="G37" s="1315"/>
      <c r="H37" s="1315"/>
      <c r="I37" s="1315"/>
      <c r="J37" s="1315"/>
      <c r="K37" s="1094"/>
      <c r="L37" s="1092"/>
      <c r="M37" s="1005"/>
      <c r="N37" s="1005"/>
      <c r="O37" s="1005"/>
      <c r="P37" s="3468" t="str">
        <f>A37</f>
        <v>估价对象XX用房的比较价值（楼面单价，元/平方米）</v>
      </c>
      <c r="Q37" s="3469"/>
      <c r="R37" s="3503" t="e">
        <f>IF(F1="售价",ROUND(IF(D36="简单平均",AVERAGE(R36:W36),R36*F36+T36*H36+V36*J36),0),ROUND(IF(D36="简单平均",AVERAGE(R36:V36),R36*F36+T36*H36+V36*J36),1))</f>
        <v>#DIV/0!</v>
      </c>
      <c r="S37" s="3503"/>
      <c r="T37" s="3503"/>
      <c r="U37" s="3503"/>
      <c r="V37" s="3503"/>
      <c r="W37" s="3503"/>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1459</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1460</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1461</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
      <c r="A45" s="1027" t="s">
        <v>1462</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5">
      <c r="A46" s="1317" t="s">
        <v>1421</v>
      </c>
      <c r="B46" s="1318"/>
      <c r="C46" s="1319" t="str">
        <f>YEAR(C7)&amp;"-"&amp;MONTH(C7)</f>
        <v>2022-9</v>
      </c>
      <c r="D46" s="1320">
        <f>EDATE(C46,-1)</f>
        <v>44774</v>
      </c>
      <c r="E46" s="1320">
        <f t="shared" ref="E46:O46" si="16">EDATE(D46,-1)</f>
        <v>44743</v>
      </c>
      <c r="F46" s="1320">
        <f t="shared" si="16"/>
        <v>44713</v>
      </c>
      <c r="G46" s="1320">
        <f t="shared" si="16"/>
        <v>44682</v>
      </c>
      <c r="H46" s="1320">
        <f t="shared" si="16"/>
        <v>44652</v>
      </c>
      <c r="I46" s="1320">
        <f t="shared" si="16"/>
        <v>44621</v>
      </c>
      <c r="J46" s="1320">
        <f t="shared" si="16"/>
        <v>44593</v>
      </c>
      <c r="K46" s="1320">
        <f t="shared" si="16"/>
        <v>44562</v>
      </c>
      <c r="L46" s="1320">
        <f t="shared" si="16"/>
        <v>44531</v>
      </c>
      <c r="M46" s="1320">
        <f t="shared" si="16"/>
        <v>44501</v>
      </c>
      <c r="N46" s="1320">
        <f t="shared" si="16"/>
        <v>44470</v>
      </c>
      <c r="O46" s="1320">
        <f t="shared" si="16"/>
        <v>44440</v>
      </c>
      <c r="P46" s="1215"/>
      <c r="Q46" s="1251"/>
      <c r="R46" s="1251"/>
      <c r="S46" s="1251"/>
      <c r="T46" s="1251"/>
      <c r="U46" s="1251"/>
      <c r="V46" s="1251"/>
      <c r="W46" s="1251"/>
      <c r="X46" s="1251"/>
      <c r="Y46" s="1251"/>
      <c r="Z46" s="1251"/>
      <c r="AA46" s="1251"/>
      <c r="AB46" s="1251"/>
      <c r="AC46" s="1251"/>
      <c r="AD46" s="1251"/>
    </row>
    <row r="47" spans="1:30" s="911" customFormat="1" ht="15">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5">
      <c r="A48" s="1147" t="s">
        <v>1463</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5">
      <c r="A49" s="1151" t="s">
        <v>1424</v>
      </c>
      <c r="B49" s="1152"/>
      <c r="C49" s="1153" t="s">
        <v>1425</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ht="15">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c r="A51" s="1157" t="s">
        <v>1464</v>
      </c>
      <c r="B51" s="1158" t="s">
        <v>1428</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ht="15">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7">
      <c r="A53" s="1159"/>
      <c r="B53" s="1162" t="s">
        <v>1431</v>
      </c>
      <c r="C53" s="1163" t="s">
        <v>1465</v>
      </c>
      <c r="D53" s="1163" t="s">
        <v>1466</v>
      </c>
      <c r="E53" s="1163" t="s">
        <v>1467</v>
      </c>
      <c r="F53" s="1163" t="s">
        <v>1468</v>
      </c>
      <c r="G53" s="1163" t="s">
        <v>1469</v>
      </c>
      <c r="H53" s="1163" t="s">
        <v>1470</v>
      </c>
      <c r="I53" s="1163" t="s">
        <v>1471</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ht="15">
      <c r="A54" s="1159"/>
      <c r="B54" s="1164"/>
      <c r="C54" s="1165" t="s">
        <v>1513</v>
      </c>
      <c r="D54" s="1165" t="s">
        <v>1513</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ht="15">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ht="15">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ht="15">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ht="15">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ht="15">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ht="15">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c r="A61" s="1157" t="s">
        <v>1433</v>
      </c>
      <c r="B61" s="1158" t="s">
        <v>1436</v>
      </c>
      <c r="C61" s="1175" t="s">
        <v>1472</v>
      </c>
      <c r="D61" s="1175" t="s">
        <v>1473</v>
      </c>
      <c r="E61" s="1175" t="s">
        <v>1474</v>
      </c>
      <c r="F61" s="1175" t="s">
        <v>1475</v>
      </c>
      <c r="G61" s="1175" t="s">
        <v>1476</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ht="15">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7">
      <c r="A63" s="1159"/>
      <c r="B63" s="1162" t="s">
        <v>1541</v>
      </c>
      <c r="C63" s="1176" t="s">
        <v>1472</v>
      </c>
      <c r="D63" s="1176" t="s">
        <v>1473</v>
      </c>
      <c r="E63" s="1176" t="s">
        <v>1474</v>
      </c>
      <c r="F63" s="1176" t="s">
        <v>1475</v>
      </c>
      <c r="G63" s="1176" t="s">
        <v>1476</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ht="15">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5">
      <c r="A65" s="1159"/>
      <c r="B65" s="1166" t="s">
        <v>1438</v>
      </c>
      <c r="C65" s="1179" t="s">
        <v>1477</v>
      </c>
      <c r="D65" s="1179" t="s">
        <v>1478</v>
      </c>
      <c r="E65" s="1179" t="s">
        <v>1479</v>
      </c>
      <c r="F65" s="1179" t="s">
        <v>1480</v>
      </c>
      <c r="G65" s="1179" t="s">
        <v>1481</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ht="15">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5">
      <c r="A67" s="1159"/>
      <c r="B67" s="1162" t="s">
        <v>1439</v>
      </c>
      <c r="C67" s="1176" t="s">
        <v>1472</v>
      </c>
      <c r="D67" s="1176" t="s">
        <v>1473</v>
      </c>
      <c r="E67" s="1176" t="s">
        <v>1474</v>
      </c>
      <c r="F67" s="1176" t="s">
        <v>1475</v>
      </c>
      <c r="G67" s="1176" t="s">
        <v>1476</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ht="15">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5">
      <c r="A69" s="1159"/>
      <c r="B69" s="1162" t="s">
        <v>1507</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ht="15">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ht="15">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ht="15">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ht="15">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ht="15">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ht="15">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ht="15">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c r="A77" s="1157" t="s">
        <v>1442</v>
      </c>
      <c r="B77" s="1158" t="s">
        <v>1448</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ht="15">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5">
      <c r="A79" s="1159"/>
      <c r="B79" s="1162" t="s">
        <v>1530</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ht="15">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ht="15">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c r="A82" s="1185"/>
      <c r="B82" s="1166" t="s">
        <v>1531</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ht="15">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c r="A84" s="1185"/>
      <c r="B84" s="1162" t="s">
        <v>1539</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ht="15">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c r="A86" s="1185"/>
      <c r="B86" s="1166" t="s">
        <v>534</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ht="15">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c r="A89" s="1181"/>
      <c r="B89" s="1162" t="s">
        <v>1540</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ht="15">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ht="15">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ht="15">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ht="15">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1542</v>
      </c>
      <c r="B1" s="921"/>
      <c r="C1" s="922" t="s">
        <v>1543</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924</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5">
      <c r="A4" s="928" t="s">
        <v>1408</v>
      </c>
      <c r="B4" s="929"/>
      <c r="C4" s="3441" t="s">
        <v>1409</v>
      </c>
      <c r="D4" s="3442"/>
      <c r="E4" s="3443" t="s">
        <v>1410</v>
      </c>
      <c r="F4" s="3444"/>
      <c r="G4" s="3441" t="s">
        <v>1411</v>
      </c>
      <c r="H4" s="3442"/>
      <c r="I4" s="3441" t="s">
        <v>1412</v>
      </c>
      <c r="J4" s="3442"/>
      <c r="K4" s="1074" t="s">
        <v>1413</v>
      </c>
      <c r="L4" s="1075"/>
      <c r="M4" s="1110"/>
      <c r="N4" s="1110"/>
      <c r="O4" s="1110"/>
      <c r="P4" s="3474" t="s">
        <v>1414</v>
      </c>
      <c r="Q4" s="3475"/>
      <c r="R4" s="3480" t="s">
        <v>1410</v>
      </c>
      <c r="S4" s="3481"/>
      <c r="T4" s="3480" t="s">
        <v>1411</v>
      </c>
      <c r="U4" s="3481"/>
      <c r="V4" s="3486" t="s">
        <v>1412</v>
      </c>
      <c r="W4" s="3486"/>
      <c r="X4" s="1130"/>
      <c r="Y4" s="3480" t="s">
        <v>1414</v>
      </c>
      <c r="Z4" s="3481"/>
      <c r="AA4" s="3471" t="s">
        <v>1410</v>
      </c>
      <c r="AB4" s="3472" t="s">
        <v>1411</v>
      </c>
      <c r="AC4" s="3471" t="s">
        <v>1412</v>
      </c>
    </row>
    <row r="5" spans="1:30" ht="15">
      <c r="A5" s="930"/>
      <c r="B5" s="931"/>
      <c r="C5" s="3445" t="s">
        <v>1415</v>
      </c>
      <c r="D5" s="3446"/>
      <c r="E5" s="3447" t="s">
        <v>1416</v>
      </c>
      <c r="F5" s="3448"/>
      <c r="G5" s="3445" t="s">
        <v>1417</v>
      </c>
      <c r="H5" s="3446"/>
      <c r="I5" s="3445" t="s">
        <v>1418</v>
      </c>
      <c r="J5" s="3446"/>
      <c r="K5" s="1074"/>
      <c r="L5" s="1075"/>
      <c r="M5" s="1110"/>
      <c r="N5" s="1110"/>
      <c r="O5" s="1110"/>
      <c r="P5" s="3476"/>
      <c r="Q5" s="3477"/>
      <c r="R5" s="3482"/>
      <c r="S5" s="3483"/>
      <c r="T5" s="3482"/>
      <c r="U5" s="3483"/>
      <c r="V5" s="3486"/>
      <c r="W5" s="3486"/>
      <c r="X5" s="1130"/>
      <c r="Y5" s="3482"/>
      <c r="Z5" s="3483"/>
      <c r="AA5" s="3472"/>
      <c r="AB5" s="3472"/>
      <c r="AC5" s="3472"/>
    </row>
    <row r="6" spans="1:30" ht="15">
      <c r="A6" s="932"/>
      <c r="B6" s="933"/>
      <c r="C6" s="3449" t="s">
        <v>1419</v>
      </c>
      <c r="D6" s="3450"/>
      <c r="E6" s="3451" t="s">
        <v>1419</v>
      </c>
      <c r="F6" s="3452"/>
      <c r="G6" s="3449" t="s">
        <v>1419</v>
      </c>
      <c r="H6" s="3450"/>
      <c r="I6" s="3449" t="s">
        <v>1419</v>
      </c>
      <c r="J6" s="3450"/>
      <c r="K6" s="1074" t="s">
        <v>1420</v>
      </c>
      <c r="L6" s="1075"/>
      <c r="M6" s="1110"/>
      <c r="N6" s="1110"/>
      <c r="O6" s="1110"/>
      <c r="P6" s="3478"/>
      <c r="Q6" s="3479"/>
      <c r="R6" s="3482"/>
      <c r="S6" s="3483"/>
      <c r="T6" s="3484"/>
      <c r="U6" s="3485"/>
      <c r="V6" s="3486"/>
      <c r="W6" s="3486"/>
      <c r="X6" s="1130"/>
      <c r="Y6" s="3484"/>
      <c r="Z6" s="3485"/>
      <c r="AA6" s="3473"/>
      <c r="AB6" s="3473"/>
      <c r="AC6" s="3473"/>
    </row>
    <row r="7" spans="1:30" s="911" customFormat="1" ht="15">
      <c r="A7" s="934" t="s">
        <v>1421</v>
      </c>
      <c r="B7" s="935"/>
      <c r="C7" s="936">
        <f>'数据-取费表'!B2</f>
        <v>44827</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53" t="s">
        <v>1422</v>
      </c>
      <c r="Q7" s="3454"/>
      <c r="R7" s="1121" t="s">
        <v>1423</v>
      </c>
      <c r="S7" s="1122">
        <f t="shared" ref="S7:S15" si="0">F7</f>
        <v>0</v>
      </c>
      <c r="T7" s="1121" t="s">
        <v>1423</v>
      </c>
      <c r="U7" s="1122">
        <f t="shared" ref="U7:U15" si="1">H7</f>
        <v>0</v>
      </c>
      <c r="V7" s="1121" t="s">
        <v>1423</v>
      </c>
      <c r="W7" s="1122">
        <f t="shared" ref="W7:W15" si="2">J7</f>
        <v>0</v>
      </c>
      <c r="X7" s="1131"/>
      <c r="Y7" s="3453" t="s">
        <v>1422</v>
      </c>
      <c r="Z7" s="3455"/>
      <c r="AA7" s="1134" t="e">
        <f>D7/F7</f>
        <v>#DIV/0!</v>
      </c>
      <c r="AB7" s="1134" t="e">
        <f>D7/H7</f>
        <v>#DIV/0!</v>
      </c>
      <c r="AC7" s="1134" t="e">
        <f>D7/J7</f>
        <v>#DIV/0!</v>
      </c>
    </row>
    <row r="8" spans="1:30" s="911" customFormat="1" ht="15">
      <c r="A8" s="934" t="s">
        <v>1424</v>
      </c>
      <c r="B8" s="935"/>
      <c r="C8" s="938" t="s">
        <v>1425</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45" si="3">D8/F8</f>
        <v>#DIV/0!</v>
      </c>
      <c r="AB8" s="1134" t="e">
        <f t="shared" ref="AB8:AB45" si="4">D8/H8</f>
        <v>#DIV/0!</v>
      </c>
      <c r="AC8" s="1134" t="e">
        <f t="shared" ref="AC8:AC45" si="5">D8/J8</f>
        <v>#DIV/0!</v>
      </c>
    </row>
    <row r="9" spans="1:30" s="911" customFormat="1">
      <c r="A9" s="939" t="s">
        <v>1427</v>
      </c>
      <c r="B9" s="940" t="s">
        <v>1428</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6" t="s">
        <v>1429</v>
      </c>
      <c r="Q9" s="1124" t="str">
        <f t="shared" ref="Q9:Q15" si="6">B9</f>
        <v>用途</v>
      </c>
      <c r="R9" s="1121" t="s">
        <v>1423</v>
      </c>
      <c r="S9" s="1122">
        <f t="shared" si="0"/>
        <v>100</v>
      </c>
      <c r="T9" s="1121" t="s">
        <v>1423</v>
      </c>
      <c r="U9" s="1122">
        <f t="shared" si="1"/>
        <v>100</v>
      </c>
      <c r="V9" s="1121" t="s">
        <v>1423</v>
      </c>
      <c r="W9" s="1122">
        <f t="shared" si="2"/>
        <v>100</v>
      </c>
      <c r="X9" s="1131"/>
      <c r="Y9" s="3411" t="s">
        <v>1430</v>
      </c>
      <c r="Z9" s="1135" t="str">
        <f t="shared" ref="Z9:Z15" si="7">Q9</f>
        <v>用途</v>
      </c>
      <c r="AA9" s="1134">
        <f t="shared" si="3"/>
        <v>1</v>
      </c>
      <c r="AB9" s="1134">
        <f t="shared" si="4"/>
        <v>1</v>
      </c>
      <c r="AC9" s="1134">
        <f t="shared" si="5"/>
        <v>1</v>
      </c>
    </row>
    <row r="10" spans="1:30" s="912" customFormat="1" ht="27">
      <c r="A10" s="943"/>
      <c r="B10" s="944" t="s">
        <v>1431</v>
      </c>
      <c r="C10" s="945"/>
      <c r="D10" s="946">
        <v>100</v>
      </c>
      <c r="E10" s="1266"/>
      <c r="F10" s="946">
        <f>ROUND(100/'数据-取费表'!G16,0)</f>
        <v>116</v>
      </c>
      <c r="G10" s="1267"/>
      <c r="H10" s="946">
        <f>ROUND(100/'数据-取费表'!G16,0)</f>
        <v>116</v>
      </c>
      <c r="I10" s="1267"/>
      <c r="J10" s="946">
        <f>ROUND(100/'数据-取费表'!G16,0)</f>
        <v>116</v>
      </c>
      <c r="K10" s="1078"/>
      <c r="L10" s="1079"/>
      <c r="M10" s="1113"/>
      <c r="N10" s="1113"/>
      <c r="O10" s="1114"/>
      <c r="P10" s="3456"/>
      <c r="Q10" s="1124" t="str">
        <f t="shared" si="6"/>
        <v>土地使用年限（年）</v>
      </c>
      <c r="R10" s="1121" t="s">
        <v>1423</v>
      </c>
      <c r="S10" s="1122">
        <f t="shared" si="0"/>
        <v>116</v>
      </c>
      <c r="T10" s="1121" t="s">
        <v>1423</v>
      </c>
      <c r="U10" s="1122">
        <f t="shared" si="1"/>
        <v>116</v>
      </c>
      <c r="V10" s="1121" t="s">
        <v>1423</v>
      </c>
      <c r="W10" s="1122">
        <f t="shared" si="2"/>
        <v>116</v>
      </c>
      <c r="X10" s="1131"/>
      <c r="Y10" s="3411"/>
      <c r="Z10" s="1135" t="str">
        <f t="shared" si="7"/>
        <v>土地使用年限（年）</v>
      </c>
      <c r="AA10" s="1134">
        <f t="shared" si="3"/>
        <v>0.86206896551724099</v>
      </c>
      <c r="AB10" s="1134">
        <f t="shared" si="4"/>
        <v>0.86206896551724099</v>
      </c>
      <c r="AC10" s="1134">
        <f t="shared" si="5"/>
        <v>0.86206896551724099</v>
      </c>
    </row>
    <row r="11" spans="1:30" ht="15">
      <c r="A11" s="947"/>
      <c r="B11" s="944" t="s">
        <v>1432</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6"/>
      <c r="Q11" s="1124" t="str">
        <f t="shared" si="6"/>
        <v>容积率</v>
      </c>
      <c r="R11" s="1121" t="s">
        <v>1423</v>
      </c>
      <c r="S11" s="1122" t="e">
        <f t="shared" si="0"/>
        <v>#N/A</v>
      </c>
      <c r="T11" s="1121" t="s">
        <v>1423</v>
      </c>
      <c r="U11" s="1122" t="e">
        <f t="shared" si="1"/>
        <v>#N/A</v>
      </c>
      <c r="V11" s="1121" t="s">
        <v>1423</v>
      </c>
      <c r="W11" s="1122" t="e">
        <f t="shared" si="2"/>
        <v>#N/A</v>
      </c>
      <c r="X11" s="1131"/>
      <c r="Y11" s="3411"/>
      <c r="Z11" s="1135" t="str">
        <f t="shared" si="7"/>
        <v>容积率</v>
      </c>
      <c r="AA11" s="1134" t="e">
        <f t="shared" si="3"/>
        <v>#N/A</v>
      </c>
      <c r="AB11" s="1134" t="e">
        <f t="shared" si="4"/>
        <v>#N/A</v>
      </c>
      <c r="AC11" s="1134" t="e">
        <f t="shared" si="5"/>
        <v>#N/A</v>
      </c>
    </row>
    <row r="12" spans="1:30" s="911" customFormat="1" ht="15">
      <c r="A12" s="949"/>
      <c r="B12" s="950" t="s">
        <v>1544</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6"/>
      <c r="Q12" s="1124" t="str">
        <f t="shared" si="6"/>
        <v>配建</v>
      </c>
      <c r="R12" s="1121" t="s">
        <v>1423</v>
      </c>
      <c r="S12" s="1122">
        <f t="shared" si="0"/>
        <v>100</v>
      </c>
      <c r="T12" s="1121" t="s">
        <v>1423</v>
      </c>
      <c r="U12" s="1122">
        <f t="shared" si="1"/>
        <v>100</v>
      </c>
      <c r="V12" s="1121" t="s">
        <v>1423</v>
      </c>
      <c r="W12" s="1122">
        <f t="shared" si="2"/>
        <v>100</v>
      </c>
      <c r="X12" s="1131"/>
      <c r="Y12" s="3411"/>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6"/>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6"/>
      <c r="Q14" s="1124">
        <f t="shared" si="6"/>
        <v>111</v>
      </c>
      <c r="R14" s="1121" t="s">
        <v>1423</v>
      </c>
      <c r="S14" s="1122">
        <f t="shared" si="0"/>
        <v>100</v>
      </c>
      <c r="T14" s="1121" t="s">
        <v>1423</v>
      </c>
      <c r="U14" s="1122">
        <f t="shared" si="1"/>
        <v>100</v>
      </c>
      <c r="V14" s="1121" t="s">
        <v>1423</v>
      </c>
      <c r="W14" s="1122">
        <f t="shared" si="2"/>
        <v>100</v>
      </c>
      <c r="X14" s="1131"/>
      <c r="Y14" s="3411"/>
      <c r="Z14" s="1135">
        <f t="shared" si="7"/>
        <v>111</v>
      </c>
      <c r="AA14" s="1134">
        <f t="shared" si="3"/>
        <v>1</v>
      </c>
      <c r="AB14" s="1134">
        <f t="shared" si="4"/>
        <v>1</v>
      </c>
      <c r="AC14" s="1134">
        <f t="shared" si="5"/>
        <v>1</v>
      </c>
    </row>
    <row r="15" spans="1:30" ht="99.75">
      <c r="A15" s="958" t="s">
        <v>1433</v>
      </c>
      <c r="B15" s="1257" t="s">
        <v>1434</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64" t="s">
        <v>1435</v>
      </c>
      <c r="Q15" s="651" t="str">
        <f t="shared" si="6"/>
        <v>居住社区成熟度</v>
      </c>
      <c r="R15" s="1125" t="s">
        <v>1423</v>
      </c>
      <c r="S15" s="1126">
        <f t="shared" si="0"/>
        <v>100</v>
      </c>
      <c r="T15" s="1125" t="s">
        <v>1423</v>
      </c>
      <c r="U15" s="1126">
        <f t="shared" si="1"/>
        <v>100</v>
      </c>
      <c r="V15" s="1125" t="s">
        <v>1423</v>
      </c>
      <c r="W15" s="1126">
        <f t="shared" si="2"/>
        <v>100</v>
      </c>
      <c r="X15" s="1130"/>
      <c r="Y15" s="3464" t="s">
        <v>1435</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65"/>
      <c r="Q16" s="651"/>
      <c r="R16" s="1125"/>
      <c r="S16" s="1126"/>
      <c r="T16" s="1125"/>
      <c r="U16" s="1126"/>
      <c r="V16" s="1125"/>
      <c r="W16" s="1126"/>
      <c r="X16" s="1130"/>
      <c r="Y16" s="3465"/>
      <c r="Z16" s="1099"/>
      <c r="AA16" s="1136">
        <v>1</v>
      </c>
      <c r="AB16" s="1136">
        <v>1</v>
      </c>
      <c r="AC16" s="1136">
        <v>1</v>
      </c>
    </row>
    <row r="17" spans="1:29" ht="71.25">
      <c r="A17" s="947"/>
      <c r="B17" s="1260" t="s">
        <v>1503</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65"/>
      <c r="Q17" s="651" t="str">
        <f>B17</f>
        <v>商业繁华度</v>
      </c>
      <c r="R17" s="1125" t="s">
        <v>1423</v>
      </c>
      <c r="S17" s="1126">
        <f>F17</f>
        <v>100</v>
      </c>
      <c r="T17" s="1125" t="s">
        <v>1423</v>
      </c>
      <c r="U17" s="1126">
        <f>H17</f>
        <v>100</v>
      </c>
      <c r="V17" s="1125" t="s">
        <v>1423</v>
      </c>
      <c r="W17" s="1126">
        <f>J17</f>
        <v>100</v>
      </c>
      <c r="X17" s="1130"/>
      <c r="Y17" s="3465"/>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65"/>
      <c r="Q18" s="651"/>
      <c r="R18" s="1125"/>
      <c r="S18" s="1126"/>
      <c r="T18" s="1125"/>
      <c r="U18" s="1126"/>
      <c r="V18" s="1125"/>
      <c r="W18" s="1126"/>
      <c r="X18" s="1130"/>
      <c r="Y18" s="3465"/>
      <c r="Z18" s="1099"/>
      <c r="AA18" s="1136">
        <v>1</v>
      </c>
      <c r="AB18" s="1136">
        <v>1</v>
      </c>
      <c r="AC18" s="1136">
        <v>1</v>
      </c>
    </row>
    <row r="19" spans="1:29" ht="71.25">
      <c r="A19" s="947"/>
      <c r="B19" s="1260" t="s">
        <v>1516</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65"/>
      <c r="Q19" s="651" t="str">
        <f>B19</f>
        <v>办公集聚程度</v>
      </c>
      <c r="R19" s="1125" t="s">
        <v>1423</v>
      </c>
      <c r="S19" s="1126">
        <f>F19</f>
        <v>100</v>
      </c>
      <c r="T19" s="1125" t="s">
        <v>1423</v>
      </c>
      <c r="U19" s="1126">
        <f>H19</f>
        <v>100</v>
      </c>
      <c r="V19" s="1125" t="s">
        <v>1423</v>
      </c>
      <c r="W19" s="1126">
        <f>J19</f>
        <v>100</v>
      </c>
      <c r="X19" s="1130"/>
      <c r="Y19" s="3465"/>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65"/>
      <c r="Q20" s="651"/>
      <c r="R20" s="1125"/>
      <c r="S20" s="1126"/>
      <c r="T20" s="1125"/>
      <c r="U20" s="1126"/>
      <c r="V20" s="1125"/>
      <c r="W20" s="1126"/>
      <c r="X20" s="1130"/>
      <c r="Y20" s="3465"/>
      <c r="Z20" s="1099"/>
      <c r="AA20" s="1136">
        <v>1</v>
      </c>
      <c r="AB20" s="1136">
        <v>1</v>
      </c>
      <c r="AC20" s="1136">
        <v>1</v>
      </c>
    </row>
    <row r="21" spans="1:29" ht="85.5">
      <c r="A21" s="947"/>
      <c r="B21" s="1260" t="s">
        <v>1436</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65"/>
      <c r="Q21" s="651" t="str">
        <f>B21</f>
        <v>交通便捷度</v>
      </c>
      <c r="R21" s="1125" t="s">
        <v>1423</v>
      </c>
      <c r="S21" s="1126">
        <f>F21</f>
        <v>100</v>
      </c>
      <c r="T21" s="1125" t="s">
        <v>1423</v>
      </c>
      <c r="U21" s="1126">
        <f>H21</f>
        <v>100</v>
      </c>
      <c r="V21" s="1125" t="s">
        <v>1423</v>
      </c>
      <c r="W21" s="1126">
        <f>J21</f>
        <v>100</v>
      </c>
      <c r="X21" s="1130"/>
      <c r="Y21" s="3465"/>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65"/>
      <c r="Q22" s="651"/>
      <c r="R22" s="1125"/>
      <c r="S22" s="1126"/>
      <c r="T22" s="1125"/>
      <c r="U22" s="1126"/>
      <c r="V22" s="1125"/>
      <c r="W22" s="1126"/>
      <c r="X22" s="1130"/>
      <c r="Y22" s="3465"/>
      <c r="Z22" s="1099"/>
      <c r="AA22" s="1136">
        <v>1</v>
      </c>
      <c r="AB22" s="1136">
        <v>1</v>
      </c>
      <c r="AC22" s="1136">
        <v>1</v>
      </c>
    </row>
    <row r="23" spans="1:29" ht="15">
      <c r="A23" s="930"/>
      <c r="B23" s="1260" t="s">
        <v>1545</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65"/>
      <c r="Q23" s="651" t="str">
        <f t="shared" ref="Q23:Q38" si="8">B23</f>
        <v>区域土地利用方向</v>
      </c>
      <c r="R23" s="1125" t="s">
        <v>1423</v>
      </c>
      <c r="S23" s="1126">
        <f>F23</f>
        <v>100</v>
      </c>
      <c r="T23" s="1125" t="s">
        <v>1423</v>
      </c>
      <c r="U23" s="1126">
        <f>H23</f>
        <v>100</v>
      </c>
      <c r="V23" s="1125" t="s">
        <v>1423</v>
      </c>
      <c r="W23" s="1126">
        <f>J23</f>
        <v>100</v>
      </c>
      <c r="X23" s="1130"/>
      <c r="Y23" s="3465"/>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65"/>
      <c r="Q24" s="651"/>
      <c r="R24" s="1125"/>
      <c r="S24" s="1126"/>
      <c r="T24" s="1125"/>
      <c r="U24" s="1126"/>
      <c r="V24" s="1125"/>
      <c r="W24" s="1126"/>
      <c r="X24" s="1130"/>
      <c r="Y24" s="3465"/>
      <c r="Z24" s="1099"/>
      <c r="AA24" s="1136"/>
      <c r="AB24" s="1136"/>
      <c r="AC24" s="1136"/>
    </row>
    <row r="25" spans="1:29" ht="57">
      <c r="A25" s="930"/>
      <c r="B25" s="1262" t="s">
        <v>1546</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65"/>
      <c r="Q25" s="651" t="str">
        <f t="shared" si="8"/>
        <v>自然及人文环境状况</v>
      </c>
      <c r="R25" s="1125" t="s">
        <v>1423</v>
      </c>
      <c r="S25" s="1126">
        <f>F25</f>
        <v>100</v>
      </c>
      <c r="T25" s="1125" t="s">
        <v>1423</v>
      </c>
      <c r="U25" s="1126">
        <f>H25</f>
        <v>100</v>
      </c>
      <c r="V25" s="1125" t="s">
        <v>1423</v>
      </c>
      <c r="W25" s="1126">
        <f>J25</f>
        <v>100</v>
      </c>
      <c r="X25" s="1130"/>
      <c r="Y25" s="3465"/>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65"/>
      <c r="Q26" s="651"/>
      <c r="R26" s="1125"/>
      <c r="S26" s="1126"/>
      <c r="T26" s="1125"/>
      <c r="U26" s="1126"/>
      <c r="V26" s="1125"/>
      <c r="W26" s="1126"/>
      <c r="X26" s="1130"/>
      <c r="Y26" s="3465"/>
      <c r="Z26" s="1099"/>
      <c r="AA26" s="1136">
        <v>1</v>
      </c>
      <c r="AB26" s="1136">
        <v>1</v>
      </c>
      <c r="AC26" s="1136">
        <v>1</v>
      </c>
    </row>
    <row r="27" spans="1:29" s="911" customFormat="1" ht="42.75">
      <c r="A27" s="969"/>
      <c r="B27" s="1262" t="s">
        <v>1437</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65"/>
      <c r="Q27" s="1124" t="str">
        <f t="shared" si="8"/>
        <v>公共配套设施</v>
      </c>
      <c r="R27" s="1121" t="s">
        <v>1423</v>
      </c>
      <c r="S27" s="1122">
        <f>F27</f>
        <v>100</v>
      </c>
      <c r="T27" s="1121" t="s">
        <v>1423</v>
      </c>
      <c r="U27" s="1122">
        <f>H27</f>
        <v>100</v>
      </c>
      <c r="V27" s="1121" t="s">
        <v>1423</v>
      </c>
      <c r="W27" s="1122">
        <f>J27</f>
        <v>100</v>
      </c>
      <c r="X27" s="1131"/>
      <c r="Y27" s="3465"/>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65"/>
      <c r="Q28" s="1124"/>
      <c r="R28" s="1121"/>
      <c r="S28" s="1122"/>
      <c r="T28" s="1121"/>
      <c r="U28" s="1122"/>
      <c r="V28" s="1121"/>
      <c r="W28" s="1122"/>
      <c r="X28" s="1131"/>
      <c r="Y28" s="3465"/>
      <c r="Z28" s="1135"/>
      <c r="AA28" s="1136">
        <v>1</v>
      </c>
      <c r="AB28" s="1136">
        <v>1</v>
      </c>
      <c r="AC28" s="1136">
        <v>1</v>
      </c>
    </row>
    <row r="29" spans="1:29" s="911" customFormat="1" ht="28.5">
      <c r="A29" s="969"/>
      <c r="B29" s="1262" t="s">
        <v>1438</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65"/>
      <c r="Q29" s="1124" t="str">
        <f t="shared" ref="Q29" si="9">B29</f>
        <v>基础设施水平</v>
      </c>
      <c r="R29" s="1121" t="s">
        <v>1423</v>
      </c>
      <c r="S29" s="1122">
        <f>F29</f>
        <v>100</v>
      </c>
      <c r="T29" s="1121" t="s">
        <v>1423</v>
      </c>
      <c r="U29" s="1122">
        <f>H29</f>
        <v>100</v>
      </c>
      <c r="V29" s="1121" t="s">
        <v>1423</v>
      </c>
      <c r="W29" s="1122">
        <f>J29</f>
        <v>100</v>
      </c>
      <c r="X29" s="1131"/>
      <c r="Y29" s="3465"/>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65"/>
      <c r="Q30" s="1124"/>
      <c r="R30" s="1121"/>
      <c r="S30" s="1122"/>
      <c r="T30" s="1121"/>
      <c r="U30" s="1122"/>
      <c r="V30" s="1121"/>
      <c r="W30" s="1122"/>
      <c r="X30" s="1131"/>
      <c r="Y30" s="3465"/>
      <c r="Z30" s="1135"/>
      <c r="AA30" s="1136">
        <v>1</v>
      </c>
      <c r="AB30" s="1136">
        <v>1</v>
      </c>
      <c r="AC30" s="1136">
        <v>1</v>
      </c>
    </row>
    <row r="31" spans="1:29" ht="15">
      <c r="A31" s="947"/>
      <c r="B31" s="984" t="s">
        <v>1504</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65"/>
      <c r="Q31" s="651" t="str">
        <f t="shared" si="8"/>
        <v>临街状况</v>
      </c>
      <c r="R31" s="1125" t="s">
        <v>1423</v>
      </c>
      <c r="S31" s="1126">
        <f t="shared" ref="S31:S45" si="10">F31</f>
        <v>100</v>
      </c>
      <c r="T31" s="1125" t="s">
        <v>1423</v>
      </c>
      <c r="U31" s="1126">
        <f t="shared" ref="U31:U45" si="11">H31</f>
        <v>100</v>
      </c>
      <c r="V31" s="1125" t="s">
        <v>1423</v>
      </c>
      <c r="W31" s="1126">
        <f t="shared" ref="W31:W45" si="12">J31</f>
        <v>100</v>
      </c>
      <c r="X31" s="1130"/>
      <c r="Y31" s="3465"/>
      <c r="Z31" s="1099" t="str">
        <f t="shared" ref="Z31:Z45" si="13">Q31</f>
        <v>临街状况</v>
      </c>
      <c r="AA31" s="1136">
        <f t="shared" si="3"/>
        <v>1</v>
      </c>
      <c r="AB31" s="1136">
        <f t="shared" si="4"/>
        <v>1</v>
      </c>
      <c r="AC31" s="1136">
        <f t="shared" si="5"/>
        <v>1</v>
      </c>
    </row>
    <row r="32" spans="1:29" ht="27">
      <c r="A32" s="947"/>
      <c r="B32" s="1262" t="s">
        <v>1518</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65"/>
      <c r="Q32" s="651" t="str">
        <f t="shared" si="8"/>
        <v>毗邻道路的类型与等级</v>
      </c>
      <c r="R32" s="1125" t="s">
        <v>1423</v>
      </c>
      <c r="S32" s="1126">
        <f t="shared" si="10"/>
        <v>100</v>
      </c>
      <c r="T32" s="1125" t="s">
        <v>1423</v>
      </c>
      <c r="U32" s="1126">
        <f t="shared" si="11"/>
        <v>100</v>
      </c>
      <c r="V32" s="1125" t="s">
        <v>1423</v>
      </c>
      <c r="W32" s="1126">
        <f t="shared" si="12"/>
        <v>100</v>
      </c>
      <c r="X32" s="1130"/>
      <c r="Y32" s="3465"/>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65"/>
      <c r="Q33" s="651"/>
      <c r="R33" s="1125"/>
      <c r="S33" s="1126"/>
      <c r="T33" s="1125"/>
      <c r="U33" s="1126"/>
      <c r="V33" s="1125"/>
      <c r="W33" s="1126"/>
      <c r="X33" s="1130"/>
      <c r="Y33" s="3465"/>
      <c r="Z33" s="1099"/>
      <c r="AA33" s="1136">
        <v>1</v>
      </c>
      <c r="AB33" s="1136">
        <v>1</v>
      </c>
      <c r="AC33" s="1136">
        <v>1</v>
      </c>
    </row>
    <row r="34" spans="1:29" ht="15">
      <c r="A34" s="947"/>
      <c r="B34" s="944" t="s">
        <v>1547</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65"/>
      <c r="Q34" s="651" t="str">
        <f t="shared" si="8"/>
        <v>土地级别</v>
      </c>
      <c r="R34" s="1125" t="s">
        <v>1423</v>
      </c>
      <c r="S34" s="1126">
        <f t="shared" si="10"/>
        <v>100</v>
      </c>
      <c r="T34" s="1125" t="s">
        <v>1423</v>
      </c>
      <c r="U34" s="1126">
        <f t="shared" si="11"/>
        <v>100</v>
      </c>
      <c r="V34" s="1125" t="s">
        <v>1423</v>
      </c>
      <c r="W34" s="1126">
        <f t="shared" si="12"/>
        <v>100</v>
      </c>
      <c r="X34" s="1130"/>
      <c r="Y34" s="3465"/>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65"/>
      <c r="Q35" s="651">
        <f t="shared" si="8"/>
        <v>111</v>
      </c>
      <c r="R35" s="1125" t="s">
        <v>1423</v>
      </c>
      <c r="S35" s="1126">
        <f t="shared" si="10"/>
        <v>100</v>
      </c>
      <c r="T35" s="1125" t="s">
        <v>1423</v>
      </c>
      <c r="U35" s="1126">
        <f t="shared" si="11"/>
        <v>100</v>
      </c>
      <c r="V35" s="1125" t="s">
        <v>1423</v>
      </c>
      <c r="W35" s="1126">
        <f t="shared" si="12"/>
        <v>100</v>
      </c>
      <c r="X35" s="1130"/>
      <c r="Y35" s="3465"/>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502" t="s">
        <v>1444</v>
      </c>
      <c r="Q36" s="651">
        <f t="shared" si="8"/>
        <v>111</v>
      </c>
      <c r="R36" s="1125" t="s">
        <v>1423</v>
      </c>
      <c r="S36" s="1126">
        <f t="shared" si="10"/>
        <v>100</v>
      </c>
      <c r="T36" s="1125" t="s">
        <v>1423</v>
      </c>
      <c r="U36" s="1126">
        <f t="shared" si="11"/>
        <v>100</v>
      </c>
      <c r="V36" s="1125" t="s">
        <v>1423</v>
      </c>
      <c r="W36" s="1126">
        <f t="shared" si="12"/>
        <v>100</v>
      </c>
      <c r="X36" s="1130"/>
      <c r="Y36" s="3466" t="s">
        <v>1444</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66"/>
      <c r="Q37" s="651">
        <f t="shared" si="8"/>
        <v>111</v>
      </c>
      <c r="R37" s="1127" t="s">
        <v>1423</v>
      </c>
      <c r="S37" s="1128">
        <f t="shared" si="10"/>
        <v>100</v>
      </c>
      <c r="T37" s="1127" t="s">
        <v>1423</v>
      </c>
      <c r="U37" s="1128">
        <f t="shared" si="11"/>
        <v>100</v>
      </c>
      <c r="V37" s="1127" t="s">
        <v>1423</v>
      </c>
      <c r="W37" s="1128">
        <f t="shared" si="12"/>
        <v>100</v>
      </c>
      <c r="X37" s="1132"/>
      <c r="Y37" s="3466"/>
      <c r="Z37" s="1137">
        <f t="shared" si="13"/>
        <v>111</v>
      </c>
      <c r="AA37" s="1136">
        <f t="shared" si="3"/>
        <v>1</v>
      </c>
      <c r="AB37" s="1136">
        <f t="shared" si="4"/>
        <v>1</v>
      </c>
      <c r="AC37" s="1136">
        <f t="shared" si="5"/>
        <v>1</v>
      </c>
    </row>
    <row r="38" spans="1:29" ht="15">
      <c r="A38" s="987" t="s">
        <v>1442</v>
      </c>
      <c r="B38" s="984" t="s">
        <v>1548</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66"/>
      <c r="Q38" s="651" t="str">
        <f t="shared" si="8"/>
        <v>宗地面积</v>
      </c>
      <c r="R38" s="1125" t="s">
        <v>1423</v>
      </c>
      <c r="S38" s="1126" t="e">
        <f t="shared" si="10"/>
        <v>#N/A</v>
      </c>
      <c r="T38" s="1125" t="s">
        <v>1423</v>
      </c>
      <c r="U38" s="1126" t="e">
        <f t="shared" si="11"/>
        <v>#N/A</v>
      </c>
      <c r="V38" s="1125" t="s">
        <v>1423</v>
      </c>
      <c r="W38" s="1126" t="e">
        <f t="shared" si="12"/>
        <v>#N/A</v>
      </c>
      <c r="X38" s="1130"/>
      <c r="Y38" s="3466"/>
      <c r="Z38" s="1099" t="str">
        <f t="shared" si="13"/>
        <v>宗地面积</v>
      </c>
      <c r="AA38" s="1136" t="e">
        <f t="shared" si="3"/>
        <v>#N/A</v>
      </c>
      <c r="AB38" s="1136" t="e">
        <f t="shared" si="4"/>
        <v>#N/A</v>
      </c>
      <c r="AC38" s="1136" t="e">
        <f t="shared" si="5"/>
        <v>#N/A</v>
      </c>
    </row>
    <row r="39" spans="1:29" ht="15">
      <c r="A39" s="987"/>
      <c r="B39" s="944" t="s">
        <v>1549</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66"/>
      <c r="Q39" s="651" t="str">
        <f t="shared" ref="Q39:Q45" si="14">B39</f>
        <v>宗地形状</v>
      </c>
      <c r="R39" s="1125" t="s">
        <v>1423</v>
      </c>
      <c r="S39" s="1126">
        <f t="shared" si="10"/>
        <v>100</v>
      </c>
      <c r="T39" s="1125" t="s">
        <v>1423</v>
      </c>
      <c r="U39" s="1126">
        <f t="shared" si="11"/>
        <v>100</v>
      </c>
      <c r="V39" s="1125" t="s">
        <v>1423</v>
      </c>
      <c r="W39" s="1126">
        <f t="shared" si="12"/>
        <v>100</v>
      </c>
      <c r="X39" s="1130"/>
      <c r="Y39" s="3466"/>
      <c r="Z39" s="1099" t="str">
        <f t="shared" si="13"/>
        <v>宗地形状</v>
      </c>
      <c r="AA39" s="1136">
        <f t="shared" si="3"/>
        <v>1</v>
      </c>
      <c r="AB39" s="1136">
        <f t="shared" si="4"/>
        <v>1</v>
      </c>
      <c r="AC39" s="1136">
        <f t="shared" si="5"/>
        <v>1</v>
      </c>
    </row>
    <row r="40" spans="1:29" ht="15">
      <c r="A40" s="987"/>
      <c r="B40" s="944" t="s">
        <v>1550</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66"/>
      <c r="Q40" s="651" t="str">
        <f t="shared" si="14"/>
        <v>临街宽度及深度</v>
      </c>
      <c r="R40" s="1125" t="s">
        <v>1423</v>
      </c>
      <c r="S40" s="1126">
        <f t="shared" si="10"/>
        <v>100</v>
      </c>
      <c r="T40" s="1125" t="s">
        <v>1423</v>
      </c>
      <c r="U40" s="1126">
        <f t="shared" si="11"/>
        <v>100</v>
      </c>
      <c r="V40" s="1125" t="s">
        <v>1423</v>
      </c>
      <c r="W40" s="1126">
        <f t="shared" si="12"/>
        <v>100</v>
      </c>
      <c r="X40" s="1130"/>
      <c r="Y40" s="3466"/>
      <c r="Z40" s="1099" t="str">
        <f t="shared" si="13"/>
        <v>临街宽度及深度</v>
      </c>
      <c r="AA40" s="1136">
        <f t="shared" si="3"/>
        <v>1</v>
      </c>
      <c r="AB40" s="1136">
        <f t="shared" si="4"/>
        <v>1</v>
      </c>
      <c r="AC40" s="1136">
        <f t="shared" si="5"/>
        <v>1</v>
      </c>
    </row>
    <row r="41" spans="1:29" s="911" customFormat="1" ht="15">
      <c r="A41" s="989"/>
      <c r="B41" s="944" t="s">
        <v>1551</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66"/>
      <c r="Q41" s="651" t="str">
        <f t="shared" si="14"/>
        <v>宗地开发程度</v>
      </c>
      <c r="R41" s="1121" t="s">
        <v>1423</v>
      </c>
      <c r="S41" s="1122">
        <f t="shared" si="10"/>
        <v>100</v>
      </c>
      <c r="T41" s="1121" t="s">
        <v>1423</v>
      </c>
      <c r="U41" s="1122">
        <f t="shared" si="11"/>
        <v>100</v>
      </c>
      <c r="V41" s="1121" t="s">
        <v>1423</v>
      </c>
      <c r="W41" s="1122">
        <f t="shared" si="12"/>
        <v>100</v>
      </c>
      <c r="X41" s="1131"/>
      <c r="Y41" s="3466"/>
      <c r="Z41" s="1135" t="str">
        <f t="shared" si="13"/>
        <v>宗地开发程度</v>
      </c>
      <c r="AA41" s="1134">
        <f t="shared" si="3"/>
        <v>1</v>
      </c>
      <c r="AB41" s="1134">
        <f t="shared" si="4"/>
        <v>1</v>
      </c>
      <c r="AC41" s="1134">
        <f t="shared" si="5"/>
        <v>1</v>
      </c>
    </row>
    <row r="42" spans="1:29" ht="15">
      <c r="A42" s="987"/>
      <c r="B42" s="944" t="s">
        <v>1552</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66" t="s">
        <v>1444</v>
      </c>
      <c r="Q42" s="651" t="str">
        <f t="shared" si="14"/>
        <v>工程地质条件</v>
      </c>
      <c r="R42" s="1125" t="s">
        <v>1423</v>
      </c>
      <c r="S42" s="1126">
        <f t="shared" si="10"/>
        <v>100</v>
      </c>
      <c r="T42" s="1125" t="s">
        <v>1423</v>
      </c>
      <c r="U42" s="1126">
        <f t="shared" si="11"/>
        <v>100</v>
      </c>
      <c r="V42" s="1125" t="s">
        <v>1423</v>
      </c>
      <c r="W42" s="1126">
        <f t="shared" si="12"/>
        <v>100</v>
      </c>
      <c r="X42" s="1130"/>
      <c r="Y42" s="3466" t="s">
        <v>1444</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66"/>
      <c r="Q43" s="651">
        <f t="shared" si="14"/>
        <v>111</v>
      </c>
      <c r="R43" s="1125" t="s">
        <v>1423</v>
      </c>
      <c r="S43" s="1126">
        <f t="shared" si="10"/>
        <v>100</v>
      </c>
      <c r="T43" s="1125" t="s">
        <v>1423</v>
      </c>
      <c r="U43" s="1126">
        <f t="shared" si="11"/>
        <v>100</v>
      </c>
      <c r="V43" s="1125" t="s">
        <v>1423</v>
      </c>
      <c r="W43" s="1126">
        <f t="shared" si="12"/>
        <v>100</v>
      </c>
      <c r="X43" s="1130"/>
      <c r="Y43" s="3466"/>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66"/>
      <c r="Q44" s="651">
        <f t="shared" si="14"/>
        <v>111</v>
      </c>
      <c r="R44" s="1125" t="s">
        <v>1423</v>
      </c>
      <c r="S44" s="1126">
        <f t="shared" si="10"/>
        <v>100</v>
      </c>
      <c r="T44" s="1125" t="s">
        <v>1423</v>
      </c>
      <c r="U44" s="1126">
        <f t="shared" si="11"/>
        <v>100</v>
      </c>
      <c r="V44" s="1125" t="s">
        <v>1423</v>
      </c>
      <c r="W44" s="1126">
        <f t="shared" si="12"/>
        <v>100</v>
      </c>
      <c r="X44" s="1130"/>
      <c r="Y44" s="3466"/>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66"/>
      <c r="Q45" s="651">
        <f t="shared" si="14"/>
        <v>111</v>
      </c>
      <c r="R45" s="1127" t="s">
        <v>1423</v>
      </c>
      <c r="S45" s="1128">
        <f t="shared" si="10"/>
        <v>100</v>
      </c>
      <c r="T45" s="1127" t="s">
        <v>1423</v>
      </c>
      <c r="U45" s="1128">
        <f t="shared" si="11"/>
        <v>100</v>
      </c>
      <c r="V45" s="1127" t="s">
        <v>1423</v>
      </c>
      <c r="W45" s="1128">
        <f t="shared" si="12"/>
        <v>100</v>
      </c>
      <c r="X45" s="1132"/>
      <c r="Y45" s="3466"/>
      <c r="Z45" s="1137">
        <f t="shared" si="13"/>
        <v>111</v>
      </c>
      <c r="AA45" s="1136">
        <f t="shared" si="3"/>
        <v>1</v>
      </c>
      <c r="AB45" s="1136">
        <f t="shared" si="4"/>
        <v>1</v>
      </c>
      <c r="AC45" s="1136">
        <f t="shared" si="5"/>
        <v>1</v>
      </c>
    </row>
    <row r="46" spans="1:29" ht="15">
      <c r="A46" s="994" t="s">
        <v>1535</v>
      </c>
      <c r="B46" s="995" t="s">
        <v>1553</v>
      </c>
      <c r="C46" s="996" t="s">
        <v>124</v>
      </c>
      <c r="D46" s="997"/>
      <c r="E46" s="1046"/>
      <c r="F46" s="1047"/>
      <c r="G46" s="1048"/>
      <c r="H46" s="1049"/>
      <c r="I46" s="1046"/>
      <c r="J46" s="1049"/>
      <c r="K46" s="1091"/>
      <c r="L46" s="1092"/>
      <c r="M46" s="1005"/>
      <c r="N46" s="1110"/>
      <c r="O46" s="1005"/>
      <c r="P46" s="3456" t="str">
        <f>A46</f>
        <v>成交单价</v>
      </c>
      <c r="Q46" s="3456"/>
      <c r="R46" s="3486">
        <f>E46</f>
        <v>0</v>
      </c>
      <c r="S46" s="3486"/>
      <c r="T46" s="3486">
        <f>G46</f>
        <v>0</v>
      </c>
      <c r="U46" s="3486"/>
      <c r="V46" s="3486">
        <f>I46</f>
        <v>0</v>
      </c>
      <c r="W46" s="3486"/>
      <c r="X46" s="1028"/>
      <c r="Y46" s="1138"/>
      <c r="Z46" s="1028"/>
      <c r="AA46" s="1028"/>
      <c r="AB46" s="1028"/>
      <c r="AC46" s="1028"/>
    </row>
    <row r="47" spans="1:29" ht="15">
      <c r="A47" s="998" t="s">
        <v>1456</v>
      </c>
      <c r="B47" s="999"/>
      <c r="C47" s="1000" t="e">
        <f>R48</f>
        <v>#DIV/0!</v>
      </c>
      <c r="D47" s="1001" t="s">
        <v>1457</v>
      </c>
      <c r="E47" s="1000" t="e">
        <f>R47</f>
        <v>#DIV/0!</v>
      </c>
      <c r="F47" s="1050"/>
      <c r="G47" s="1051" t="e">
        <f>T47</f>
        <v>#DIV/0!</v>
      </c>
      <c r="H47" s="1050"/>
      <c r="I47" s="1000" t="e">
        <f>V47</f>
        <v>#DIV/0!</v>
      </c>
      <c r="J47" s="1050"/>
      <c r="K47" s="1093">
        <f>F47+H47+J47</f>
        <v>0</v>
      </c>
      <c r="L47" s="1092"/>
      <c r="M47" s="1005"/>
      <c r="N47" s="1005"/>
      <c r="O47" s="1005"/>
      <c r="P47" s="3456" t="str">
        <f>A47</f>
        <v>比较价值（元/平方米）</v>
      </c>
      <c r="Q47" s="3456"/>
      <c r="R47" s="3505" t="e">
        <f>ROUND(PRODUCT(R46,AA7:AA45),0)</f>
        <v>#DIV/0!</v>
      </c>
      <c r="S47" s="3505"/>
      <c r="T47" s="3505" t="e">
        <f>ROUND(PRODUCT(T46,AB7:AB45),0)</f>
        <v>#DIV/0!</v>
      </c>
      <c r="U47" s="3505"/>
      <c r="V47" s="3505" t="e">
        <f>ROUND(PRODUCT(V46,AC7:AC45),0)</f>
        <v>#DIV/0!</v>
      </c>
      <c r="W47" s="3505"/>
      <c r="X47" s="1028"/>
      <c r="Y47" s="1028"/>
      <c r="Z47" s="1028"/>
      <c r="AA47" s="1028"/>
      <c r="AB47" s="1028"/>
      <c r="AC47" s="1028"/>
    </row>
    <row r="48" spans="1:29" ht="15">
      <c r="A48" s="1002" t="s">
        <v>1554</v>
      </c>
      <c r="B48" s="1003"/>
      <c r="C48" s="1004" t="e">
        <f>R48</f>
        <v>#DIV/0!</v>
      </c>
      <c r="D48" s="1004"/>
      <c r="E48" s="1004"/>
      <c r="F48" s="1004"/>
      <c r="G48" s="1004"/>
      <c r="H48" s="1004"/>
      <c r="I48" s="1004"/>
      <c r="J48" s="1004"/>
      <c r="K48" s="1094"/>
      <c r="L48" s="1092"/>
      <c r="M48" s="1005"/>
      <c r="N48" s="1005"/>
      <c r="O48" s="1005"/>
      <c r="P48" s="3468" t="str">
        <f>A48</f>
        <v>估价对象XX用房的比较价值（楼面单价，元/平方米）</v>
      </c>
      <c r="Q48" s="3469"/>
      <c r="R48" s="3506" t="e">
        <f>ROUND(IF(D47="简单平均",AVERAGE(R47:W47),R47*F47+T47*H47+V47*J47),0)</f>
        <v>#DIV/0!</v>
      </c>
      <c r="S48" s="3506"/>
      <c r="T48" s="3506"/>
      <c r="U48" s="3506"/>
      <c r="V48" s="3506"/>
      <c r="W48" s="3506"/>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1459</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1460</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1461</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1555</v>
      </c>
      <c r="B55" s="1012" t="s">
        <v>1556</v>
      </c>
      <c r="C55" s="1013" t="s">
        <v>1557</v>
      </c>
      <c r="D55" s="1014" t="s">
        <v>1558</v>
      </c>
      <c r="E55" s="1055" t="s">
        <v>1559</v>
      </c>
      <c r="F55" s="1270" t="s">
        <v>1560</v>
      </c>
      <c r="G55" s="3441" t="s">
        <v>1561</v>
      </c>
      <c r="H55" s="3504"/>
      <c r="I55" s="1274" t="s">
        <v>1562</v>
      </c>
      <c r="J55" s="1275">
        <f>项目基本情况!F35</f>
        <v>0</v>
      </c>
      <c r="K55" s="1100" t="s">
        <v>1563</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1564</v>
      </c>
      <c r="B56" s="1016" t="e">
        <f>C48</f>
        <v>#DIV/0!</v>
      </c>
      <c r="C56" s="1017">
        <v>1</v>
      </c>
      <c r="D56" s="1018">
        <v>1</v>
      </c>
      <c r="E56" s="1017">
        <f>'数据-汇总表'!E8+'数据-汇总表'!E9</f>
        <v>25462.9</v>
      </c>
      <c r="F56" s="1271" t="e">
        <f t="shared" ref="F56:F64" si="15">ROUND(B56*E56/10000,0)</f>
        <v>#DIV/0!</v>
      </c>
      <c r="G56" s="3458"/>
      <c r="H56" s="3456"/>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1565</v>
      </c>
      <c r="B57" s="211" t="e">
        <f>ROUND($C$48*C57*D57,0)</f>
        <v>#DIV/0!</v>
      </c>
      <c r="C57" s="616">
        <f t="shared" ref="C57:C64" si="16">IF($C$55="北京市系数",I57,J57)</f>
        <v>0</v>
      </c>
      <c r="D57" s="1020">
        <v>0.25</v>
      </c>
      <c r="E57" s="1058"/>
      <c r="F57" s="1271" t="e">
        <f t="shared" si="15"/>
        <v>#DIV/0!</v>
      </c>
      <c r="G57" s="1059" t="s">
        <v>1566</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1567</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1568</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1569</v>
      </c>
      <c r="B60" s="211" t="e">
        <f t="shared" si="17"/>
        <v>#DIV/0!</v>
      </c>
      <c r="C60" s="616">
        <f t="shared" si="16"/>
        <v>0</v>
      </c>
      <c r="D60" s="1020">
        <v>0.25</v>
      </c>
      <c r="E60" s="169">
        <f>'数据-汇总表'!E11</f>
        <v>0</v>
      </c>
      <c r="F60" s="1271" t="e">
        <f t="shared" si="15"/>
        <v>#DIV/0!</v>
      </c>
      <c r="G60" s="1063" t="s">
        <v>1570</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1571</v>
      </c>
      <c r="B61" s="211" t="e">
        <f t="shared" si="17"/>
        <v>#DIV/0!</v>
      </c>
      <c r="C61" s="616">
        <f t="shared" si="16"/>
        <v>0</v>
      </c>
      <c r="D61" s="1020">
        <v>0.25</v>
      </c>
      <c r="E61" s="169">
        <f>'数据-汇总表'!E12</f>
        <v>0</v>
      </c>
      <c r="F61" s="1271" t="e">
        <f t="shared" si="15"/>
        <v>#DIV/0!</v>
      </c>
      <c r="G61" s="1064" t="s">
        <v>1572</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1573</v>
      </c>
      <c r="B62" s="211" t="e">
        <f t="shared" si="17"/>
        <v>#DIV/0!</v>
      </c>
      <c r="C62" s="616">
        <f t="shared" si="16"/>
        <v>0</v>
      </c>
      <c r="D62" s="1020">
        <v>0.25</v>
      </c>
      <c r="E62" s="169">
        <f>'数据-汇总表'!E13</f>
        <v>0</v>
      </c>
      <c r="F62" s="1271" t="e">
        <f t="shared" si="15"/>
        <v>#DIV/0!</v>
      </c>
      <c r="G62" s="1064" t="s">
        <v>1574</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1575</v>
      </c>
      <c r="B63" s="211" t="e">
        <f t="shared" si="17"/>
        <v>#DIV/0!</v>
      </c>
      <c r="C63" s="616">
        <f t="shared" si="16"/>
        <v>0</v>
      </c>
      <c r="D63" s="1020">
        <v>0.25</v>
      </c>
      <c r="E63" s="169">
        <f>'数据-汇总表'!E14</f>
        <v>0</v>
      </c>
      <c r="F63" s="1271" t="e">
        <f t="shared" si="15"/>
        <v>#DIV/0!</v>
      </c>
      <c r="G63" s="1063" t="s">
        <v>1566</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1576</v>
      </c>
      <c r="B64" s="211" t="e">
        <f t="shared" si="17"/>
        <v>#DIV/0!</v>
      </c>
      <c r="C64" s="616">
        <f t="shared" si="16"/>
        <v>0</v>
      </c>
      <c r="D64" s="1020">
        <v>0.25</v>
      </c>
      <c r="E64" s="169">
        <f>'数据-汇总表'!E15</f>
        <v>0</v>
      </c>
      <c r="F64" s="1271" t="e">
        <f t="shared" si="15"/>
        <v>#DIV/0!</v>
      </c>
      <c r="G64" s="1065" t="s">
        <v>1570</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2.75">
      <c r="A65" s="1021" t="s">
        <v>1577</v>
      </c>
      <c r="B65" s="1022" t="s">
        <v>1513</v>
      </c>
      <c r="C65" s="1022" t="s">
        <v>1513</v>
      </c>
      <c r="D65" s="1022" t="s">
        <v>1513</v>
      </c>
      <c r="E65" s="1022">
        <f>IF(B46="楼面地价",SUM(E56:E64),'数据-汇总表'!D3)</f>
        <v>25462.9</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2022-9-1</v>
      </c>
      <c r="D67" s="1026">
        <f>EDATE(C67,-3)</f>
        <v>44713</v>
      </c>
      <c r="E67" s="1026">
        <f>EDATE(D67,-3)</f>
        <v>44621</v>
      </c>
      <c r="F67" s="1026">
        <f t="shared" ref="F67:O67" si="18">EDATE(E67,-3)</f>
        <v>44531</v>
      </c>
      <c r="G67" s="1026">
        <f t="shared" si="18"/>
        <v>44440</v>
      </c>
      <c r="H67" s="1026">
        <f t="shared" si="18"/>
        <v>44348</v>
      </c>
      <c r="I67" s="1026">
        <f t="shared" si="18"/>
        <v>44256</v>
      </c>
      <c r="J67" s="1026">
        <f t="shared" si="18"/>
        <v>44166</v>
      </c>
      <c r="K67" s="1026">
        <f t="shared" si="18"/>
        <v>44075</v>
      </c>
      <c r="L67" s="1026">
        <f t="shared" si="18"/>
        <v>43983</v>
      </c>
      <c r="M67" s="1026">
        <f t="shared" si="18"/>
        <v>43891</v>
      </c>
      <c r="N67" s="1026">
        <f t="shared" si="18"/>
        <v>43800</v>
      </c>
      <c r="O67" s="1026">
        <f t="shared" si="18"/>
        <v>43709</v>
      </c>
      <c r="P67" s="1005"/>
      <c r="Q67" s="1005"/>
      <c r="R67" s="1005"/>
      <c r="S67" s="1005"/>
      <c r="T67" s="1005"/>
      <c r="U67" s="1005"/>
      <c r="V67" s="1005"/>
      <c r="W67" s="1005"/>
      <c r="X67" s="1005"/>
      <c r="Y67" s="1005"/>
      <c r="Z67" s="1005"/>
      <c r="AA67" s="1005"/>
      <c r="AB67" s="1005"/>
      <c r="AC67" s="1005"/>
    </row>
    <row r="68" spans="1:29" ht="21">
      <c r="A68" s="1027" t="s">
        <v>1462</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5">
      <c r="A69" s="1141" t="s">
        <v>1578</v>
      </c>
      <c r="B69" s="1142"/>
      <c r="C69" s="1143" t="str">
        <f>YEAR(C67)&amp;"-"&amp;ROUNDUP(MONTH(C67)/3,0)</f>
        <v>2022-3</v>
      </c>
      <c r="D69" s="1143" t="str">
        <f>YEAR(D67)&amp;"-"&amp;ROUNDUP(MONTH(D67)/3,0)</f>
        <v>2022-2</v>
      </c>
      <c r="E69" s="1143" t="str">
        <f t="shared" ref="E69:O69" si="19">YEAR(E67)&amp;"-"&amp;ROUNDUP(MONTH(E67)/3,0)</f>
        <v>2022-1</v>
      </c>
      <c r="F69" s="1143" t="str">
        <f t="shared" si="19"/>
        <v>2021-4</v>
      </c>
      <c r="G69" s="1143" t="str">
        <f t="shared" si="19"/>
        <v>2021-3</v>
      </c>
      <c r="H69" s="1143" t="str">
        <f t="shared" si="19"/>
        <v>2021-2</v>
      </c>
      <c r="I69" s="1143" t="str">
        <f t="shared" si="19"/>
        <v>2021-1</v>
      </c>
      <c r="J69" s="1143" t="str">
        <f t="shared" si="19"/>
        <v>2020-4</v>
      </c>
      <c r="K69" s="1143" t="str">
        <f t="shared" si="19"/>
        <v>2020-3</v>
      </c>
      <c r="L69" s="1143" t="str">
        <f t="shared" si="19"/>
        <v>2020-2</v>
      </c>
      <c r="M69" s="1143" t="str">
        <f t="shared" si="19"/>
        <v>2020-1</v>
      </c>
      <c r="N69" s="1143" t="str">
        <f t="shared" si="19"/>
        <v>2019-4</v>
      </c>
      <c r="O69" s="1143" t="str">
        <f t="shared" si="19"/>
        <v>2019-3</v>
      </c>
      <c r="P69" s="1215"/>
      <c r="Q69" s="1251"/>
      <c r="R69" s="1251"/>
      <c r="S69" s="1251"/>
      <c r="T69" s="1251"/>
      <c r="U69" s="1251"/>
      <c r="V69" s="1251"/>
      <c r="W69" s="1251"/>
      <c r="X69" s="1251"/>
      <c r="Y69" s="1251"/>
      <c r="Z69" s="1251"/>
      <c r="AA69" s="1251"/>
      <c r="AB69" s="1251"/>
      <c r="AC69" s="1251"/>
    </row>
    <row r="70" spans="1:29" s="911" customFormat="1" ht="30" customHeight="1">
      <c r="A70" s="1282" t="s">
        <v>1579</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5">
      <c r="A71" s="1147" t="s">
        <v>1463</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5">
      <c r="A72" s="1151" t="s">
        <v>1424</v>
      </c>
      <c r="B72" s="1152"/>
      <c r="C72" s="1153" t="s">
        <v>1425</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ht="15">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c r="A74" s="1157" t="s">
        <v>1464</v>
      </c>
      <c r="B74" s="1158" t="s">
        <v>1428</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ht="15">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7">
      <c r="A76" s="1159"/>
      <c r="B76" s="1162" t="s">
        <v>1431</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ht="15">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5">
      <c r="A78" s="1159"/>
      <c r="B78" s="1166" t="s">
        <v>1432</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ht="15">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ht="15">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ht="15">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ht="15">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ht="15">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ht="15">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ht="15">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ht="15">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c r="A87" s="1157" t="s">
        <v>1433</v>
      </c>
      <c r="B87" s="1158" t="s">
        <v>1434</v>
      </c>
      <c r="C87" s="1175" t="s">
        <v>1472</v>
      </c>
      <c r="D87" s="1175" t="s">
        <v>1473</v>
      </c>
      <c r="E87" s="1175" t="s">
        <v>1474</v>
      </c>
      <c r="F87" s="1175" t="s">
        <v>1475</v>
      </c>
      <c r="G87" s="1175" t="s">
        <v>1476</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ht="15">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5">
      <c r="A89" s="1159"/>
      <c r="B89" s="1162" t="s">
        <v>1503</v>
      </c>
      <c r="C89" s="1176" t="s">
        <v>1472</v>
      </c>
      <c r="D89" s="1176" t="s">
        <v>1473</v>
      </c>
      <c r="E89" s="1176" t="s">
        <v>1474</v>
      </c>
      <c r="F89" s="1176" t="s">
        <v>1475</v>
      </c>
      <c r="G89" s="1176" t="s">
        <v>1476</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ht="15">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5">
      <c r="A91" s="1159"/>
      <c r="B91" s="1162" t="s">
        <v>1516</v>
      </c>
      <c r="C91" s="1176" t="s">
        <v>1472</v>
      </c>
      <c r="D91" s="1176" t="s">
        <v>1473</v>
      </c>
      <c r="E91" s="1176" t="s">
        <v>1474</v>
      </c>
      <c r="F91" s="1176" t="s">
        <v>1475</v>
      </c>
      <c r="G91" s="1176" t="s">
        <v>1476</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ht="15">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5">
      <c r="A93" s="1159"/>
      <c r="B93" s="1162" t="s">
        <v>1436</v>
      </c>
      <c r="C93" s="1176" t="s">
        <v>1472</v>
      </c>
      <c r="D93" s="1176" t="s">
        <v>1473</v>
      </c>
      <c r="E93" s="1176" t="s">
        <v>1474</v>
      </c>
      <c r="F93" s="1176" t="s">
        <v>1475</v>
      </c>
      <c r="G93" s="1176" t="s">
        <v>1476</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ht="15">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15">
      <c r="A95" s="1177"/>
      <c r="B95" s="1162" t="s">
        <v>1545</v>
      </c>
      <c r="C95" s="1176" t="s">
        <v>1472</v>
      </c>
      <c r="D95" s="1176" t="s">
        <v>1473</v>
      </c>
      <c r="E95" s="1176" t="s">
        <v>1474</v>
      </c>
      <c r="F95" s="1176" t="s">
        <v>1475</v>
      </c>
      <c r="G95" s="1176" t="s">
        <v>1476</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ht="15">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7">
      <c r="A97" s="1177"/>
      <c r="B97" s="1162" t="s">
        <v>1546</v>
      </c>
      <c r="C97" s="1175" t="s">
        <v>1472</v>
      </c>
      <c r="D97" s="1175" t="s">
        <v>1473</v>
      </c>
      <c r="E97" s="1175" t="s">
        <v>1474</v>
      </c>
      <c r="F97" s="1175" t="s">
        <v>1475</v>
      </c>
      <c r="G97" s="1175" t="s">
        <v>1476</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ht="15">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5">
      <c r="A99" s="1169"/>
      <c r="B99" s="1162" t="s">
        <v>1437</v>
      </c>
      <c r="C99" s="1175" t="s">
        <v>1472</v>
      </c>
      <c r="D99" s="1175" t="s">
        <v>1473</v>
      </c>
      <c r="E99" s="1175" t="s">
        <v>1474</v>
      </c>
      <c r="F99" s="1175" t="s">
        <v>1475</v>
      </c>
      <c r="G99" s="1175" t="s">
        <v>1476</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ht="15">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5">
      <c r="A101" s="1169"/>
      <c r="B101" s="1166" t="s">
        <v>1438</v>
      </c>
      <c r="C101" s="1179" t="s">
        <v>1477</v>
      </c>
      <c r="D101" s="1179" t="s">
        <v>1478</v>
      </c>
      <c r="E101" s="1179" t="s">
        <v>1479</v>
      </c>
      <c r="F101" s="1179" t="s">
        <v>1480</v>
      </c>
      <c r="G101" s="1179" t="s">
        <v>1481</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ht="15">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5">
      <c r="A103" s="1159"/>
      <c r="B103" s="1162" t="str">
        <f>B31</f>
        <v>临街状况</v>
      </c>
      <c r="C103" s="1163" t="s">
        <v>1580</v>
      </c>
      <c r="D103" s="1163" t="s">
        <v>1581</v>
      </c>
      <c r="E103" s="1163" t="s">
        <v>1582</v>
      </c>
      <c r="F103" s="1163" t="s">
        <v>1583</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ht="15">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7">
      <c r="A105" s="1159"/>
      <c r="B105" s="1162" t="s">
        <v>1518</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5">
      <c r="A107" s="1159"/>
      <c r="B107" s="1162" t="s">
        <v>1547</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ht="15">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ht="15">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ht="15">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ht="15">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c r="A115" s="1157" t="s">
        <v>1442</v>
      </c>
      <c r="B115" s="1158" t="s">
        <v>1548</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ht="15">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ht="15">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c r="A118" s="1185"/>
      <c r="B118" s="1162" t="s">
        <v>1549</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ht="15">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c r="A120" s="1185"/>
      <c r="B120" s="1162" t="s">
        <v>1550</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ht="15">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c r="A122" s="1181"/>
      <c r="B122" s="1162" t="s">
        <v>1551</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ht="15">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c r="A124" s="1185"/>
      <c r="B124" s="1162" t="s">
        <v>1552</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ht="15">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ht="15">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ht="15">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ht="15">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1542</v>
      </c>
      <c r="B1" s="921"/>
      <c r="C1" s="922" t="s">
        <v>1522</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924</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1408</v>
      </c>
      <c r="B4" s="929"/>
      <c r="C4" s="3441" t="s">
        <v>1409</v>
      </c>
      <c r="D4" s="3442"/>
      <c r="E4" s="3443" t="s">
        <v>1410</v>
      </c>
      <c r="F4" s="3444"/>
      <c r="G4" s="3441" t="s">
        <v>1411</v>
      </c>
      <c r="H4" s="3442"/>
      <c r="I4" s="3441" t="s">
        <v>1412</v>
      </c>
      <c r="J4" s="3442"/>
      <c r="K4" s="1074" t="s">
        <v>1413</v>
      </c>
      <c r="L4" s="1075"/>
      <c r="M4" s="1110"/>
      <c r="N4" s="1110"/>
      <c r="O4" s="1110"/>
      <c r="P4" s="3474" t="s">
        <v>1414</v>
      </c>
      <c r="Q4" s="3475"/>
      <c r="R4" s="3480" t="s">
        <v>1410</v>
      </c>
      <c r="S4" s="3481"/>
      <c r="T4" s="3480" t="s">
        <v>1411</v>
      </c>
      <c r="U4" s="3481"/>
      <c r="V4" s="3486" t="s">
        <v>1412</v>
      </c>
      <c r="W4" s="3486"/>
      <c r="X4" s="1130"/>
      <c r="Y4" s="3480" t="s">
        <v>1414</v>
      </c>
      <c r="Z4" s="3481"/>
      <c r="AA4" s="3471" t="s">
        <v>1410</v>
      </c>
      <c r="AB4" s="3472" t="s">
        <v>1411</v>
      </c>
      <c r="AC4" s="3471" t="s">
        <v>1412</v>
      </c>
    </row>
    <row r="5" spans="1:29" ht="15">
      <c r="A5" s="930"/>
      <c r="B5" s="931"/>
      <c r="C5" s="3445" t="s">
        <v>1415</v>
      </c>
      <c r="D5" s="3446"/>
      <c r="E5" s="3447" t="s">
        <v>1416</v>
      </c>
      <c r="F5" s="3448"/>
      <c r="G5" s="3445" t="s">
        <v>1417</v>
      </c>
      <c r="H5" s="3446"/>
      <c r="I5" s="3445" t="s">
        <v>1418</v>
      </c>
      <c r="J5" s="3446"/>
      <c r="K5" s="1074"/>
      <c r="L5" s="1075"/>
      <c r="M5" s="1110"/>
      <c r="N5" s="1110"/>
      <c r="O5" s="1110"/>
      <c r="P5" s="3476"/>
      <c r="Q5" s="3477"/>
      <c r="R5" s="3482"/>
      <c r="S5" s="3483"/>
      <c r="T5" s="3482"/>
      <c r="U5" s="3483"/>
      <c r="V5" s="3486"/>
      <c r="W5" s="3486"/>
      <c r="X5" s="1130"/>
      <c r="Y5" s="3482"/>
      <c r="Z5" s="3483"/>
      <c r="AA5" s="3472"/>
      <c r="AB5" s="3472"/>
      <c r="AC5" s="3472"/>
    </row>
    <row r="6" spans="1:29" ht="15">
      <c r="A6" s="932"/>
      <c r="B6" s="933"/>
      <c r="C6" s="3507" t="s">
        <v>1584</v>
      </c>
      <c r="D6" s="3508"/>
      <c r="E6" s="3509" t="s">
        <v>1584</v>
      </c>
      <c r="F6" s="3510"/>
      <c r="G6" s="3507" t="s">
        <v>1584</v>
      </c>
      <c r="H6" s="3508"/>
      <c r="I6" s="3507" t="s">
        <v>1584</v>
      </c>
      <c r="J6" s="3508"/>
      <c r="K6" s="1074" t="s">
        <v>1420</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1421</v>
      </c>
      <c r="B7" s="935"/>
      <c r="C7" s="936">
        <f>'数据-取费表'!B2</f>
        <v>44827</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53" t="s">
        <v>1422</v>
      </c>
      <c r="Q7" s="3454"/>
      <c r="R7" s="1121" t="s">
        <v>1423</v>
      </c>
      <c r="S7" s="1122">
        <f t="shared" ref="S7:S15" si="0">F7</f>
        <v>0</v>
      </c>
      <c r="T7" s="1121" t="s">
        <v>1423</v>
      </c>
      <c r="U7" s="1122">
        <f t="shared" ref="U7:U15" si="1">H7</f>
        <v>0</v>
      </c>
      <c r="V7" s="1121" t="s">
        <v>1423</v>
      </c>
      <c r="W7" s="1122">
        <f t="shared" ref="W7:W15" si="2">J7</f>
        <v>0</v>
      </c>
      <c r="X7" s="1131"/>
      <c r="Y7" s="3453" t="s">
        <v>1422</v>
      </c>
      <c r="Z7" s="3455"/>
      <c r="AA7" s="1134" t="e">
        <f>D7/F7</f>
        <v>#DIV/0!</v>
      </c>
      <c r="AB7" s="1134" t="e">
        <f>D7/H7</f>
        <v>#DIV/0!</v>
      </c>
      <c r="AC7" s="1134" t="e">
        <f>D7/J7</f>
        <v>#DIV/0!</v>
      </c>
    </row>
    <row r="8" spans="1:29" s="911" customFormat="1" ht="15">
      <c r="A8" s="934" t="s">
        <v>1424</v>
      </c>
      <c r="B8" s="935"/>
      <c r="C8" s="938" t="s">
        <v>1425</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53" t="s">
        <v>1426</v>
      </c>
      <c r="Q8" s="3455"/>
      <c r="R8" s="1121" t="s">
        <v>1423</v>
      </c>
      <c r="S8" s="1122">
        <f t="shared" si="0"/>
        <v>0</v>
      </c>
      <c r="T8" s="1121" t="s">
        <v>1423</v>
      </c>
      <c r="U8" s="1122">
        <f t="shared" si="1"/>
        <v>0</v>
      </c>
      <c r="V8" s="1121" t="s">
        <v>1423</v>
      </c>
      <c r="W8" s="1122">
        <f t="shared" si="2"/>
        <v>0</v>
      </c>
      <c r="X8" s="1131"/>
      <c r="Y8" s="3453" t="s">
        <v>1426</v>
      </c>
      <c r="Z8" s="3455"/>
      <c r="AA8" s="1134" t="e">
        <f t="shared" ref="AA8:AA40" si="3">D8/F8</f>
        <v>#DIV/0!</v>
      </c>
      <c r="AB8" s="1134" t="e">
        <f t="shared" ref="AB8:AB40" si="4">D8/H8</f>
        <v>#DIV/0!</v>
      </c>
      <c r="AC8" s="1134" t="e">
        <f t="shared" ref="AC8:AC40" si="5">D8/J8</f>
        <v>#DIV/0!</v>
      </c>
    </row>
    <row r="9" spans="1:29" s="911" customFormat="1">
      <c r="A9" s="939" t="s">
        <v>1427</v>
      </c>
      <c r="B9" s="940" t="s">
        <v>1428</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6" t="s">
        <v>1429</v>
      </c>
      <c r="Q9" s="1124" t="str">
        <f t="shared" ref="Q9:Q15" si="6">B9</f>
        <v>用途</v>
      </c>
      <c r="R9" s="1121" t="s">
        <v>1423</v>
      </c>
      <c r="S9" s="1122">
        <f t="shared" si="0"/>
        <v>100</v>
      </c>
      <c r="T9" s="1121" t="s">
        <v>1423</v>
      </c>
      <c r="U9" s="1122">
        <f t="shared" si="1"/>
        <v>100</v>
      </c>
      <c r="V9" s="1121" t="s">
        <v>1423</v>
      </c>
      <c r="W9" s="1122">
        <f t="shared" si="2"/>
        <v>100</v>
      </c>
      <c r="X9" s="1131"/>
      <c r="Y9" s="3411" t="s">
        <v>1430</v>
      </c>
      <c r="Z9" s="1135" t="str">
        <f t="shared" ref="Z9:Z15" si="7">Q9</f>
        <v>用途</v>
      </c>
      <c r="AA9" s="1134">
        <f t="shared" si="3"/>
        <v>1</v>
      </c>
      <c r="AB9" s="1134">
        <f t="shared" si="4"/>
        <v>1</v>
      </c>
      <c r="AC9" s="1134">
        <f t="shared" si="5"/>
        <v>1</v>
      </c>
    </row>
    <row r="10" spans="1:29" s="912" customFormat="1" ht="27">
      <c r="A10" s="943"/>
      <c r="B10" s="944" t="s">
        <v>1431</v>
      </c>
      <c r="C10" s="945"/>
      <c r="D10" s="946">
        <v>100</v>
      </c>
      <c r="E10" s="945"/>
      <c r="F10" s="946">
        <f>ROUND(100/'数据-取费表'!G16,0)</f>
        <v>116</v>
      </c>
      <c r="G10" s="945"/>
      <c r="H10" s="946">
        <f>ROUND(100/'数据-取费表'!G16,0)</f>
        <v>116</v>
      </c>
      <c r="I10" s="945"/>
      <c r="J10" s="946">
        <f>ROUND(100/'数据-取费表'!G16,0)</f>
        <v>116</v>
      </c>
      <c r="K10" s="1078"/>
      <c r="L10" s="1079"/>
      <c r="M10" s="1113"/>
      <c r="N10" s="1113"/>
      <c r="O10" s="1114"/>
      <c r="P10" s="3456"/>
      <c r="Q10" s="1124" t="str">
        <f t="shared" si="6"/>
        <v>土地使用年限（年）</v>
      </c>
      <c r="R10" s="1121" t="s">
        <v>1423</v>
      </c>
      <c r="S10" s="1122">
        <f t="shared" si="0"/>
        <v>116</v>
      </c>
      <c r="T10" s="1121" t="s">
        <v>1423</v>
      </c>
      <c r="U10" s="1122">
        <f t="shared" si="1"/>
        <v>116</v>
      </c>
      <c r="V10" s="1121" t="s">
        <v>1423</v>
      </c>
      <c r="W10" s="1122">
        <f t="shared" si="2"/>
        <v>116</v>
      </c>
      <c r="X10" s="1131"/>
      <c r="Y10" s="3411"/>
      <c r="Z10" s="1135" t="str">
        <f t="shared" si="7"/>
        <v>土地使用年限（年）</v>
      </c>
      <c r="AA10" s="1134">
        <f t="shared" si="3"/>
        <v>0.86206896551724099</v>
      </c>
      <c r="AB10" s="1134">
        <f t="shared" si="4"/>
        <v>0.86206896551724099</v>
      </c>
      <c r="AC10" s="1134">
        <f t="shared" si="5"/>
        <v>0.86206896551724099</v>
      </c>
    </row>
    <row r="11" spans="1:29" ht="15">
      <c r="A11" s="947"/>
      <c r="B11" s="944" t="s">
        <v>1432</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6"/>
      <c r="Q11" s="1124" t="str">
        <f t="shared" si="6"/>
        <v>容积率</v>
      </c>
      <c r="R11" s="1121" t="s">
        <v>1423</v>
      </c>
      <c r="S11" s="1122" t="e">
        <f t="shared" si="0"/>
        <v>#N/A</v>
      </c>
      <c r="T11" s="1121" t="s">
        <v>1423</v>
      </c>
      <c r="U11" s="1122" t="e">
        <f t="shared" si="1"/>
        <v>#N/A</v>
      </c>
      <c r="V11" s="1121" t="s">
        <v>1423</v>
      </c>
      <c r="W11" s="1122" t="e">
        <f t="shared" si="2"/>
        <v>#N/A</v>
      </c>
      <c r="X11" s="1131"/>
      <c r="Y11" s="3411"/>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6"/>
      <c r="Q12" s="1124">
        <f t="shared" si="6"/>
        <v>111</v>
      </c>
      <c r="R12" s="1121" t="s">
        <v>1423</v>
      </c>
      <c r="S12" s="1122">
        <f t="shared" si="0"/>
        <v>100</v>
      </c>
      <c r="T12" s="1121" t="s">
        <v>1423</v>
      </c>
      <c r="U12" s="1122">
        <f t="shared" si="1"/>
        <v>100</v>
      </c>
      <c r="V12" s="1121" t="s">
        <v>1423</v>
      </c>
      <c r="W12" s="1122">
        <f t="shared" si="2"/>
        <v>100</v>
      </c>
      <c r="X12" s="1131"/>
      <c r="Y12" s="3411"/>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6"/>
      <c r="Q13" s="1124">
        <f t="shared" si="6"/>
        <v>111</v>
      </c>
      <c r="R13" s="1121" t="s">
        <v>1423</v>
      </c>
      <c r="S13" s="1122">
        <f t="shared" si="0"/>
        <v>100</v>
      </c>
      <c r="T13" s="1121" t="s">
        <v>1423</v>
      </c>
      <c r="U13" s="1122">
        <f t="shared" si="1"/>
        <v>100</v>
      </c>
      <c r="V13" s="1121" t="s">
        <v>1423</v>
      </c>
      <c r="W13" s="1122">
        <f t="shared" si="2"/>
        <v>100</v>
      </c>
      <c r="X13" s="1131"/>
      <c r="Y13" s="3411"/>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6"/>
      <c r="Q14" s="1124">
        <f t="shared" si="6"/>
        <v>111</v>
      </c>
      <c r="R14" s="1121" t="s">
        <v>1423</v>
      </c>
      <c r="S14" s="1122">
        <f t="shared" si="0"/>
        <v>100</v>
      </c>
      <c r="T14" s="1121" t="s">
        <v>1423</v>
      </c>
      <c r="U14" s="1122">
        <f t="shared" si="1"/>
        <v>100</v>
      </c>
      <c r="V14" s="1121" t="s">
        <v>1423</v>
      </c>
      <c r="W14" s="1122">
        <f t="shared" si="2"/>
        <v>100</v>
      </c>
      <c r="X14" s="1131"/>
      <c r="Y14" s="3411"/>
      <c r="Z14" s="1135">
        <f t="shared" si="7"/>
        <v>111</v>
      </c>
      <c r="AA14" s="1134">
        <f t="shared" si="3"/>
        <v>1</v>
      </c>
      <c r="AB14" s="1134">
        <f t="shared" si="4"/>
        <v>1</v>
      </c>
      <c r="AC14" s="1134">
        <f t="shared" si="5"/>
        <v>1</v>
      </c>
    </row>
    <row r="15" spans="1:29" ht="57">
      <c r="A15" s="958" t="s">
        <v>1433</v>
      </c>
      <c r="B15" s="959" t="s">
        <v>1523</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64" t="s">
        <v>1435</v>
      </c>
      <c r="Q15" s="651" t="str">
        <f t="shared" si="6"/>
        <v>产业集聚程度</v>
      </c>
      <c r="R15" s="1125" t="s">
        <v>1423</v>
      </c>
      <c r="S15" s="1126">
        <f t="shared" si="0"/>
        <v>100</v>
      </c>
      <c r="T15" s="1125" t="s">
        <v>1423</v>
      </c>
      <c r="U15" s="1126">
        <f t="shared" si="1"/>
        <v>100</v>
      </c>
      <c r="V15" s="1125" t="s">
        <v>1423</v>
      </c>
      <c r="W15" s="1126">
        <f t="shared" si="2"/>
        <v>100</v>
      </c>
      <c r="X15" s="1130"/>
      <c r="Y15" s="3464" t="s">
        <v>1435</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65"/>
      <c r="Q16" s="651"/>
      <c r="R16" s="1125"/>
      <c r="S16" s="1126"/>
      <c r="T16" s="1125"/>
      <c r="U16" s="1126"/>
      <c r="V16" s="1125"/>
      <c r="W16" s="1126"/>
      <c r="X16" s="1130"/>
      <c r="Y16" s="3465"/>
      <c r="Z16" s="1099"/>
      <c r="AA16" s="1136">
        <v>1</v>
      </c>
      <c r="AB16" s="1136">
        <v>1</v>
      </c>
      <c r="AC16" s="1136">
        <v>1</v>
      </c>
    </row>
    <row r="17" spans="1:29" ht="85.5">
      <c r="A17" s="947"/>
      <c r="B17" s="965" t="s">
        <v>1436</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65"/>
      <c r="Q17" s="651" t="str">
        <f>B17</f>
        <v>交通便捷度</v>
      </c>
      <c r="R17" s="1125" t="s">
        <v>1423</v>
      </c>
      <c r="S17" s="1126">
        <f>F17</f>
        <v>100</v>
      </c>
      <c r="T17" s="1125" t="s">
        <v>1423</v>
      </c>
      <c r="U17" s="1126">
        <f>H17</f>
        <v>100</v>
      </c>
      <c r="V17" s="1125" t="s">
        <v>1423</v>
      </c>
      <c r="W17" s="1126">
        <f>J17</f>
        <v>100</v>
      </c>
      <c r="X17" s="1130"/>
      <c r="Y17" s="3465"/>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65"/>
      <c r="Q18" s="651"/>
      <c r="R18" s="1125"/>
      <c r="S18" s="1126"/>
      <c r="T18" s="1125"/>
      <c r="U18" s="1126"/>
      <c r="V18" s="1125"/>
      <c r="W18" s="1126"/>
      <c r="X18" s="1130"/>
      <c r="Y18" s="3465"/>
      <c r="Z18" s="1099"/>
      <c r="AA18" s="1136">
        <v>1</v>
      </c>
      <c r="AB18" s="1136">
        <v>1</v>
      </c>
      <c r="AC18" s="1136">
        <v>1</v>
      </c>
    </row>
    <row r="19" spans="1:29" ht="15">
      <c r="A19" s="947"/>
      <c r="B19" s="965" t="s">
        <v>1545</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65"/>
      <c r="Q19" s="651" t="str">
        <f t="shared" ref="Q19:Q34" si="8">B19</f>
        <v>区域土地利用方向</v>
      </c>
      <c r="R19" s="1125" t="s">
        <v>1423</v>
      </c>
      <c r="S19" s="1126">
        <f>F19</f>
        <v>100</v>
      </c>
      <c r="T19" s="1125" t="s">
        <v>1423</v>
      </c>
      <c r="U19" s="1126">
        <f>H19</f>
        <v>100</v>
      </c>
      <c r="V19" s="1125" t="s">
        <v>1423</v>
      </c>
      <c r="W19" s="1126">
        <f>J19</f>
        <v>100</v>
      </c>
      <c r="X19" s="1130"/>
      <c r="Y19" s="3465"/>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65"/>
      <c r="Q20" s="651"/>
      <c r="R20" s="1125"/>
      <c r="S20" s="1126"/>
      <c r="T20" s="1125"/>
      <c r="U20" s="1126"/>
      <c r="V20" s="1125"/>
      <c r="W20" s="1126"/>
      <c r="X20" s="1130"/>
      <c r="Y20" s="3465"/>
      <c r="Z20" s="1099"/>
      <c r="AA20" s="1136"/>
      <c r="AB20" s="1136"/>
      <c r="AC20" s="1136"/>
    </row>
    <row r="21" spans="1:29" ht="71.25">
      <c r="A21" s="930"/>
      <c r="B21" s="965" t="s">
        <v>1585</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65"/>
      <c r="Q21" s="651" t="str">
        <f t="shared" si="8"/>
        <v>环境状况</v>
      </c>
      <c r="R21" s="1125" t="s">
        <v>1423</v>
      </c>
      <c r="S21" s="1126">
        <f>F21</f>
        <v>100</v>
      </c>
      <c r="T21" s="1125" t="s">
        <v>1423</v>
      </c>
      <c r="U21" s="1126">
        <f>H21</f>
        <v>100</v>
      </c>
      <c r="V21" s="1125" t="s">
        <v>1423</v>
      </c>
      <c r="W21" s="1126">
        <f>J21</f>
        <v>100</v>
      </c>
      <c r="X21" s="1130"/>
      <c r="Y21" s="3465"/>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65"/>
      <c r="Q22" s="651"/>
      <c r="R22" s="1125"/>
      <c r="S22" s="1126"/>
      <c r="T22" s="1125"/>
      <c r="U22" s="1126"/>
      <c r="V22" s="1125"/>
      <c r="W22" s="1126"/>
      <c r="X22" s="1130"/>
      <c r="Y22" s="3465"/>
      <c r="Z22" s="1099"/>
      <c r="AA22" s="1136">
        <v>1</v>
      </c>
      <c r="AB22" s="1136">
        <v>1</v>
      </c>
      <c r="AC22" s="1136">
        <v>1</v>
      </c>
    </row>
    <row r="23" spans="1:29" s="911" customFormat="1" ht="42.75">
      <c r="A23" s="969"/>
      <c r="B23" s="970" t="s">
        <v>1437</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65"/>
      <c r="Q23" s="1124" t="str">
        <f t="shared" si="8"/>
        <v>公共配套设施</v>
      </c>
      <c r="R23" s="1121" t="s">
        <v>1423</v>
      </c>
      <c r="S23" s="1122">
        <f>F23</f>
        <v>100</v>
      </c>
      <c r="T23" s="1121" t="s">
        <v>1423</v>
      </c>
      <c r="U23" s="1122">
        <f>H23</f>
        <v>100</v>
      </c>
      <c r="V23" s="1121" t="s">
        <v>1423</v>
      </c>
      <c r="W23" s="1122">
        <f>J23</f>
        <v>100</v>
      </c>
      <c r="X23" s="1131"/>
      <c r="Y23" s="3465"/>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65"/>
      <c r="Q24" s="1124"/>
      <c r="R24" s="1121"/>
      <c r="S24" s="1122"/>
      <c r="T24" s="1121"/>
      <c r="U24" s="1122"/>
      <c r="V24" s="1121"/>
      <c r="W24" s="1122"/>
      <c r="X24" s="1131"/>
      <c r="Y24" s="3465"/>
      <c r="Z24" s="1135"/>
      <c r="AA24" s="1134">
        <v>1</v>
      </c>
      <c r="AB24" s="1134">
        <v>1</v>
      </c>
      <c r="AC24" s="1134">
        <v>1</v>
      </c>
    </row>
    <row r="25" spans="1:29" s="911" customFormat="1" ht="28.5">
      <c r="A25" s="969"/>
      <c r="B25" s="970" t="s">
        <v>1438</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65"/>
      <c r="Q25" s="1124" t="str">
        <f t="shared" ref="Q25" si="9">B25</f>
        <v>基础设施水平</v>
      </c>
      <c r="R25" s="1121" t="s">
        <v>1423</v>
      </c>
      <c r="S25" s="1122">
        <f>F25</f>
        <v>100</v>
      </c>
      <c r="T25" s="1121" t="s">
        <v>1423</v>
      </c>
      <c r="U25" s="1122">
        <f>H25</f>
        <v>100</v>
      </c>
      <c r="V25" s="1121" t="s">
        <v>1423</v>
      </c>
      <c r="W25" s="1122">
        <f>J25</f>
        <v>100</v>
      </c>
      <c r="X25" s="1131"/>
      <c r="Y25" s="3465"/>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65"/>
      <c r="Q26" s="1124"/>
      <c r="R26" s="1121"/>
      <c r="S26" s="1122"/>
      <c r="T26" s="1121"/>
      <c r="U26" s="1122"/>
      <c r="V26" s="1121"/>
      <c r="W26" s="1122"/>
      <c r="X26" s="1131"/>
      <c r="Y26" s="3465"/>
      <c r="Z26" s="1135"/>
      <c r="AA26" s="1134">
        <v>1</v>
      </c>
      <c r="AB26" s="1134">
        <v>1</v>
      </c>
      <c r="AC26" s="1134">
        <v>1</v>
      </c>
    </row>
    <row r="27" spans="1:29" ht="15">
      <c r="A27" s="947"/>
      <c r="B27" s="968" t="s">
        <v>1504</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65"/>
      <c r="Q27" s="651" t="str">
        <f t="shared" si="8"/>
        <v>临街状况</v>
      </c>
      <c r="R27" s="1125" t="s">
        <v>1423</v>
      </c>
      <c r="S27" s="1126">
        <f t="shared" ref="S27:S40" si="10">F27</f>
        <v>100</v>
      </c>
      <c r="T27" s="1125" t="s">
        <v>1423</v>
      </c>
      <c r="U27" s="1126">
        <f t="shared" ref="U27:U40" si="11">H27</f>
        <v>100</v>
      </c>
      <c r="V27" s="1125" t="s">
        <v>1423</v>
      </c>
      <c r="W27" s="1126">
        <f t="shared" ref="W27:W40" si="12">J27</f>
        <v>100</v>
      </c>
      <c r="X27" s="1130"/>
      <c r="Y27" s="3465"/>
      <c r="Z27" s="1099" t="str">
        <f t="shared" ref="Z27:Z40" si="13">Q27</f>
        <v>临街状况</v>
      </c>
      <c r="AA27" s="1136">
        <f t="shared" si="3"/>
        <v>1</v>
      </c>
      <c r="AB27" s="1136">
        <f t="shared" si="4"/>
        <v>1</v>
      </c>
      <c r="AC27" s="1136">
        <f t="shared" si="5"/>
        <v>1</v>
      </c>
    </row>
    <row r="28" spans="1:29" ht="27">
      <c r="A28" s="947"/>
      <c r="B28" s="970" t="s">
        <v>1518</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65"/>
      <c r="Q28" s="651" t="str">
        <f t="shared" si="8"/>
        <v>毗邻道路的类型与等级</v>
      </c>
      <c r="R28" s="1125" t="s">
        <v>1423</v>
      </c>
      <c r="S28" s="1126">
        <f t="shared" si="10"/>
        <v>100</v>
      </c>
      <c r="T28" s="1125" t="s">
        <v>1423</v>
      </c>
      <c r="U28" s="1126">
        <f t="shared" si="11"/>
        <v>100</v>
      </c>
      <c r="V28" s="1125" t="s">
        <v>1423</v>
      </c>
      <c r="W28" s="1126">
        <f t="shared" si="12"/>
        <v>100</v>
      </c>
      <c r="X28" s="1130"/>
      <c r="Y28" s="3465"/>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65"/>
      <c r="Q29" s="651"/>
      <c r="R29" s="1125"/>
      <c r="S29" s="1126"/>
      <c r="T29" s="1125"/>
      <c r="U29" s="1126"/>
      <c r="V29" s="1125"/>
      <c r="W29" s="1126"/>
      <c r="X29" s="1130"/>
      <c r="Y29" s="3465"/>
      <c r="Z29" s="1099"/>
      <c r="AA29" s="1136">
        <v>1</v>
      </c>
      <c r="AB29" s="1136">
        <v>1</v>
      </c>
      <c r="AC29" s="1136">
        <v>1</v>
      </c>
    </row>
    <row r="30" spans="1:29" ht="15">
      <c r="A30" s="947"/>
      <c r="B30" s="974" t="s">
        <v>1547</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65"/>
      <c r="Q30" s="651" t="str">
        <f t="shared" si="8"/>
        <v>土地级别</v>
      </c>
      <c r="R30" s="1125" t="s">
        <v>1423</v>
      </c>
      <c r="S30" s="1126">
        <f t="shared" si="10"/>
        <v>100</v>
      </c>
      <c r="T30" s="1125" t="s">
        <v>1423</v>
      </c>
      <c r="U30" s="1126">
        <f t="shared" si="11"/>
        <v>100</v>
      </c>
      <c r="V30" s="1125" t="s">
        <v>1423</v>
      </c>
      <c r="W30" s="1126">
        <f t="shared" si="12"/>
        <v>100</v>
      </c>
      <c r="X30" s="1130"/>
      <c r="Y30" s="3465"/>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65"/>
      <c r="Q31" s="651">
        <f t="shared" si="8"/>
        <v>111</v>
      </c>
      <c r="R31" s="1125" t="s">
        <v>1423</v>
      </c>
      <c r="S31" s="1126">
        <f t="shared" si="10"/>
        <v>100</v>
      </c>
      <c r="T31" s="1125" t="s">
        <v>1423</v>
      </c>
      <c r="U31" s="1126">
        <f t="shared" si="11"/>
        <v>100</v>
      </c>
      <c r="V31" s="1125" t="s">
        <v>1423</v>
      </c>
      <c r="W31" s="1126">
        <f t="shared" si="12"/>
        <v>100</v>
      </c>
      <c r="X31" s="1130"/>
      <c r="Y31" s="3465"/>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502" t="s">
        <v>1444</v>
      </c>
      <c r="Q32" s="651">
        <f t="shared" si="8"/>
        <v>111</v>
      </c>
      <c r="R32" s="1125" t="s">
        <v>1423</v>
      </c>
      <c r="S32" s="1126">
        <f t="shared" si="10"/>
        <v>100</v>
      </c>
      <c r="T32" s="1125" t="s">
        <v>1423</v>
      </c>
      <c r="U32" s="1126">
        <f t="shared" si="11"/>
        <v>100</v>
      </c>
      <c r="V32" s="1125" t="s">
        <v>1423</v>
      </c>
      <c r="W32" s="1126">
        <f t="shared" si="12"/>
        <v>100</v>
      </c>
      <c r="X32" s="1130"/>
      <c r="Y32" s="3466" t="s">
        <v>1444</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66"/>
      <c r="Q33" s="651">
        <f t="shared" si="8"/>
        <v>111</v>
      </c>
      <c r="R33" s="1127" t="s">
        <v>1423</v>
      </c>
      <c r="S33" s="1128">
        <f t="shared" si="10"/>
        <v>100</v>
      </c>
      <c r="T33" s="1127" t="s">
        <v>1423</v>
      </c>
      <c r="U33" s="1128">
        <f t="shared" si="11"/>
        <v>100</v>
      </c>
      <c r="V33" s="1127" t="s">
        <v>1423</v>
      </c>
      <c r="W33" s="1128">
        <f t="shared" si="12"/>
        <v>100</v>
      </c>
      <c r="X33" s="1132"/>
      <c r="Y33" s="3466"/>
      <c r="Z33" s="1137">
        <f t="shared" si="13"/>
        <v>111</v>
      </c>
      <c r="AA33" s="1136">
        <f t="shared" si="3"/>
        <v>1</v>
      </c>
      <c r="AB33" s="1136">
        <f t="shared" si="4"/>
        <v>1</v>
      </c>
      <c r="AC33" s="1136">
        <f t="shared" si="5"/>
        <v>1</v>
      </c>
    </row>
    <row r="34" spans="1:31" ht="15">
      <c r="A34" s="958" t="s">
        <v>1442</v>
      </c>
      <c r="B34" s="984" t="s">
        <v>1548</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66"/>
      <c r="Q34" s="651" t="str">
        <f t="shared" si="8"/>
        <v>宗地面积</v>
      </c>
      <c r="R34" s="1125" t="s">
        <v>1423</v>
      </c>
      <c r="S34" s="1126" t="e">
        <f t="shared" si="10"/>
        <v>#N/A</v>
      </c>
      <c r="T34" s="1125" t="s">
        <v>1423</v>
      </c>
      <c r="U34" s="1126" t="e">
        <f t="shared" si="11"/>
        <v>#N/A</v>
      </c>
      <c r="V34" s="1125" t="s">
        <v>1423</v>
      </c>
      <c r="W34" s="1126" t="e">
        <f t="shared" si="12"/>
        <v>#N/A</v>
      </c>
      <c r="X34" s="1130"/>
      <c r="Y34" s="3466"/>
      <c r="Z34" s="1099" t="str">
        <f t="shared" si="13"/>
        <v>宗地面积</v>
      </c>
      <c r="AA34" s="1136" t="e">
        <f t="shared" si="3"/>
        <v>#N/A</v>
      </c>
      <c r="AB34" s="1136" t="e">
        <f t="shared" si="4"/>
        <v>#N/A</v>
      </c>
      <c r="AC34" s="1136" t="e">
        <f t="shared" si="5"/>
        <v>#N/A</v>
      </c>
    </row>
    <row r="35" spans="1:31" ht="15">
      <c r="A35" s="987"/>
      <c r="B35" s="944" t="s">
        <v>1549</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66"/>
      <c r="Q35" s="651" t="str">
        <f t="shared" ref="Q35:Q40" si="14">B35</f>
        <v>宗地形状</v>
      </c>
      <c r="R35" s="1125" t="s">
        <v>1423</v>
      </c>
      <c r="S35" s="1126">
        <f t="shared" si="10"/>
        <v>100</v>
      </c>
      <c r="T35" s="1125" t="s">
        <v>1423</v>
      </c>
      <c r="U35" s="1126">
        <f t="shared" si="11"/>
        <v>100</v>
      </c>
      <c r="V35" s="1125" t="s">
        <v>1423</v>
      </c>
      <c r="W35" s="1126">
        <f t="shared" si="12"/>
        <v>100</v>
      </c>
      <c r="X35" s="1130"/>
      <c r="Y35" s="3466"/>
      <c r="Z35" s="1099" t="str">
        <f t="shared" si="13"/>
        <v>宗地形状</v>
      </c>
      <c r="AA35" s="1136">
        <f t="shared" si="3"/>
        <v>1</v>
      </c>
      <c r="AB35" s="1136">
        <f t="shared" si="4"/>
        <v>1</v>
      </c>
      <c r="AC35" s="1136">
        <f t="shared" si="5"/>
        <v>1</v>
      </c>
    </row>
    <row r="36" spans="1:31" s="911" customFormat="1" ht="15">
      <c r="A36" s="989"/>
      <c r="B36" s="944" t="s">
        <v>1551</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66"/>
      <c r="Q36" s="651" t="str">
        <f t="shared" si="14"/>
        <v>宗地开发程度</v>
      </c>
      <c r="R36" s="1121" t="s">
        <v>1423</v>
      </c>
      <c r="S36" s="1122">
        <f t="shared" si="10"/>
        <v>100</v>
      </c>
      <c r="T36" s="1121" t="s">
        <v>1423</v>
      </c>
      <c r="U36" s="1122">
        <f t="shared" si="11"/>
        <v>100</v>
      </c>
      <c r="V36" s="1121" t="s">
        <v>1423</v>
      </c>
      <c r="W36" s="1122">
        <f t="shared" si="12"/>
        <v>100</v>
      </c>
      <c r="X36" s="1131"/>
      <c r="Y36" s="3466"/>
      <c r="Z36" s="1135" t="str">
        <f t="shared" si="13"/>
        <v>宗地开发程度</v>
      </c>
      <c r="AA36" s="1134">
        <f t="shared" si="3"/>
        <v>1</v>
      </c>
      <c r="AB36" s="1134">
        <f t="shared" si="4"/>
        <v>1</v>
      </c>
      <c r="AC36" s="1134">
        <f t="shared" si="5"/>
        <v>1</v>
      </c>
    </row>
    <row r="37" spans="1:31" ht="15">
      <c r="A37" s="987"/>
      <c r="B37" s="944" t="s">
        <v>1552</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66" t="s">
        <v>1444</v>
      </c>
      <c r="Q37" s="651" t="str">
        <f t="shared" si="14"/>
        <v>工程地质条件</v>
      </c>
      <c r="R37" s="1125" t="s">
        <v>1423</v>
      </c>
      <c r="S37" s="1126">
        <f t="shared" si="10"/>
        <v>100</v>
      </c>
      <c r="T37" s="1125" t="s">
        <v>1423</v>
      </c>
      <c r="U37" s="1126">
        <f t="shared" si="11"/>
        <v>100</v>
      </c>
      <c r="V37" s="1125" t="s">
        <v>1423</v>
      </c>
      <c r="W37" s="1126">
        <f t="shared" si="12"/>
        <v>100</v>
      </c>
      <c r="X37" s="1130"/>
      <c r="Y37" s="3466" t="s">
        <v>1444</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66"/>
      <c r="Q38" s="651">
        <f t="shared" si="14"/>
        <v>111</v>
      </c>
      <c r="R38" s="1125" t="s">
        <v>1423</v>
      </c>
      <c r="S38" s="1126">
        <f t="shared" si="10"/>
        <v>100</v>
      </c>
      <c r="T38" s="1125" t="s">
        <v>1423</v>
      </c>
      <c r="U38" s="1126">
        <f t="shared" si="11"/>
        <v>100</v>
      </c>
      <c r="V38" s="1125" t="s">
        <v>1423</v>
      </c>
      <c r="W38" s="1126">
        <f t="shared" si="12"/>
        <v>100</v>
      </c>
      <c r="X38" s="1130"/>
      <c r="Y38" s="3466"/>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66"/>
      <c r="Q39" s="651">
        <f t="shared" si="14"/>
        <v>111</v>
      </c>
      <c r="R39" s="1125" t="s">
        <v>1423</v>
      </c>
      <c r="S39" s="1126">
        <f t="shared" si="10"/>
        <v>100</v>
      </c>
      <c r="T39" s="1125" t="s">
        <v>1423</v>
      </c>
      <c r="U39" s="1126">
        <f t="shared" si="11"/>
        <v>100</v>
      </c>
      <c r="V39" s="1125" t="s">
        <v>1423</v>
      </c>
      <c r="W39" s="1126">
        <f t="shared" si="12"/>
        <v>100</v>
      </c>
      <c r="X39" s="1130"/>
      <c r="Y39" s="3466"/>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66"/>
      <c r="Q40" s="651">
        <f t="shared" si="14"/>
        <v>111</v>
      </c>
      <c r="R40" s="1127" t="s">
        <v>1423</v>
      </c>
      <c r="S40" s="1128">
        <f t="shared" si="10"/>
        <v>100</v>
      </c>
      <c r="T40" s="1127" t="s">
        <v>1423</v>
      </c>
      <c r="U40" s="1128">
        <f t="shared" si="11"/>
        <v>100</v>
      </c>
      <c r="V40" s="1127" t="s">
        <v>1423</v>
      </c>
      <c r="W40" s="1128">
        <f t="shared" si="12"/>
        <v>100</v>
      </c>
      <c r="X40" s="1132"/>
      <c r="Y40" s="3466"/>
      <c r="Z40" s="1137">
        <f t="shared" si="13"/>
        <v>111</v>
      </c>
      <c r="AA40" s="1136">
        <f t="shared" si="3"/>
        <v>1</v>
      </c>
      <c r="AB40" s="1136">
        <f t="shared" si="4"/>
        <v>1</v>
      </c>
      <c r="AC40" s="1136">
        <f t="shared" si="5"/>
        <v>1</v>
      </c>
    </row>
    <row r="41" spans="1:31" ht="15">
      <c r="A41" s="994" t="s">
        <v>1535</v>
      </c>
      <c r="B41" s="995" t="s">
        <v>1586</v>
      </c>
      <c r="C41" s="996" t="s">
        <v>124</v>
      </c>
      <c r="D41" s="997"/>
      <c r="E41" s="1046"/>
      <c r="F41" s="1047"/>
      <c r="G41" s="1048"/>
      <c r="H41" s="1049"/>
      <c r="I41" s="1046"/>
      <c r="J41" s="1049"/>
      <c r="K41" s="1091"/>
      <c r="L41" s="1092"/>
      <c r="M41" s="1110"/>
      <c r="N41" s="1110"/>
      <c r="O41" s="1005"/>
      <c r="P41" s="3456" t="str">
        <f>A41</f>
        <v>成交单价</v>
      </c>
      <c r="Q41" s="3456"/>
      <c r="R41" s="3486">
        <f>E41</f>
        <v>0</v>
      </c>
      <c r="S41" s="3486"/>
      <c r="T41" s="3486">
        <f>G41</f>
        <v>0</v>
      </c>
      <c r="U41" s="3486"/>
      <c r="V41" s="3486">
        <f>I41</f>
        <v>0</v>
      </c>
      <c r="W41" s="3486"/>
      <c r="X41" s="1028"/>
      <c r="Y41" s="1138"/>
      <c r="Z41" s="1028"/>
      <c r="AA41" s="1028"/>
      <c r="AB41" s="1028"/>
      <c r="AC41" s="1028"/>
    </row>
    <row r="42" spans="1:31" ht="15">
      <c r="A42" s="998" t="s">
        <v>1456</v>
      </c>
      <c r="B42" s="999"/>
      <c r="C42" s="1000" t="e">
        <f>R43</f>
        <v>#DIV/0!</v>
      </c>
      <c r="D42" s="1001" t="s">
        <v>1457</v>
      </c>
      <c r="E42" s="1000" t="e">
        <f>R42</f>
        <v>#DIV/0!</v>
      </c>
      <c r="F42" s="1050"/>
      <c r="G42" s="1051" t="e">
        <f>T42</f>
        <v>#DIV/0!</v>
      </c>
      <c r="H42" s="1050"/>
      <c r="I42" s="1000" t="e">
        <f>V42</f>
        <v>#DIV/0!</v>
      </c>
      <c r="J42" s="1050"/>
      <c r="K42" s="1093">
        <f>F42+H42+J42</f>
        <v>0</v>
      </c>
      <c r="L42" s="1092"/>
      <c r="M42" s="1110"/>
      <c r="N42" s="1110"/>
      <c r="O42" s="1005"/>
      <c r="P42" s="3456" t="str">
        <f>A42</f>
        <v>比较价值（元/平方米）</v>
      </c>
      <c r="Q42" s="3456"/>
      <c r="R42" s="3505" t="e">
        <f>ROUND(PRODUCT(R41,AA7:AA40),0)</f>
        <v>#DIV/0!</v>
      </c>
      <c r="S42" s="3505"/>
      <c r="T42" s="3505" t="e">
        <f>ROUND(PRODUCT(T41,AB7:AB40),0)</f>
        <v>#DIV/0!</v>
      </c>
      <c r="U42" s="3505"/>
      <c r="V42" s="3505" t="e">
        <f>ROUND(PRODUCT(V41,AC7:AC40),0)</f>
        <v>#DIV/0!</v>
      </c>
      <c r="W42" s="3505"/>
      <c r="X42" s="1028"/>
      <c r="Y42" s="1028"/>
      <c r="Z42" s="1028"/>
      <c r="AA42" s="1028"/>
      <c r="AB42" s="1028"/>
      <c r="AC42" s="1028"/>
    </row>
    <row r="43" spans="1:31" ht="15">
      <c r="A43" s="1002" t="s">
        <v>1458</v>
      </c>
      <c r="B43" s="1003"/>
      <c r="C43" s="1004" t="e">
        <f>R43</f>
        <v>#DIV/0!</v>
      </c>
      <c r="D43" s="1004"/>
      <c r="E43" s="1004"/>
      <c r="F43" s="1004"/>
      <c r="G43" s="1004"/>
      <c r="H43" s="1004"/>
      <c r="I43" s="1004"/>
      <c r="J43" s="1004"/>
      <c r="K43" s="1094"/>
      <c r="L43" s="1092"/>
      <c r="M43" s="1110"/>
      <c r="N43" s="1110"/>
      <c r="O43" s="1005"/>
      <c r="P43" s="3468" t="str">
        <f>A43</f>
        <v>估价对象XX用房的比较价值（楼面单价，元/平方米）</v>
      </c>
      <c r="Q43" s="3469"/>
      <c r="R43" s="3506" t="e">
        <f>ROUND(IF(D42="简单平均",AVERAGE(R42:W42),R42*F42+T42*H42+V42*J42),0)</f>
        <v>#DIV/0!</v>
      </c>
      <c r="S43" s="3506"/>
      <c r="T43" s="3506"/>
      <c r="U43" s="3506"/>
      <c r="V43" s="3506"/>
      <c r="W43" s="3506"/>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011" t="s">
        <v>1555</v>
      </c>
      <c r="B50" s="1012" t="s">
        <v>1556</v>
      </c>
      <c r="C50" s="1013" t="s">
        <v>1557</v>
      </c>
      <c r="D50" s="1014" t="s">
        <v>1558</v>
      </c>
      <c r="E50" s="1055" t="s">
        <v>1559</v>
      </c>
      <c r="F50" s="1056" t="s">
        <v>1560</v>
      </c>
      <c r="G50" s="3441" t="s">
        <v>1561</v>
      </c>
      <c r="H50" s="3504"/>
      <c r="I50" s="1099" t="s">
        <v>1587</v>
      </c>
      <c r="J50" s="1099">
        <f>项目基本情况!F35</f>
        <v>0</v>
      </c>
      <c r="K50" s="1100" t="s">
        <v>1563</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1564</v>
      </c>
      <c r="B51" s="1016" t="e">
        <f>C43</f>
        <v>#DIV/0!</v>
      </c>
      <c r="C51" s="1017">
        <v>1</v>
      </c>
      <c r="D51" s="1018">
        <v>1</v>
      </c>
      <c r="E51" s="1017">
        <f>'数据-汇总表'!E8+'数据-汇总表'!E9</f>
        <v>25462.9</v>
      </c>
      <c r="F51" s="1057" t="e">
        <f t="shared" ref="F51:F60" si="15">ROUND(B51*E51/10000,0)</f>
        <v>#DIV/0!</v>
      </c>
      <c r="G51" s="3458"/>
      <c r="H51" s="3456"/>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1565</v>
      </c>
      <c r="B52" s="211" t="e">
        <f>ROUND($C$43*C52*D52,0)</f>
        <v>#DIV/0!</v>
      </c>
      <c r="C52" s="616">
        <f t="shared" ref="C52:C60" si="16">IF($C$50="北京市系数",I52,J52)</f>
        <v>0</v>
      </c>
      <c r="D52" s="1020">
        <v>0.25</v>
      </c>
      <c r="E52" s="1058"/>
      <c r="F52" s="1057" t="e">
        <f t="shared" si="15"/>
        <v>#DIV/0!</v>
      </c>
      <c r="G52" s="1059" t="s">
        <v>1566</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1567</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1568</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1569</v>
      </c>
      <c r="B56" s="211" t="e">
        <f t="shared" si="17"/>
        <v>#DIV/0!</v>
      </c>
      <c r="C56" s="616">
        <f t="shared" si="16"/>
        <v>0</v>
      </c>
      <c r="D56" s="1020">
        <v>0.25</v>
      </c>
      <c r="E56" s="169">
        <f>'数据-汇总表'!E11</f>
        <v>0</v>
      </c>
      <c r="F56" s="1057" t="e">
        <f t="shared" si="15"/>
        <v>#DIV/0!</v>
      </c>
      <c r="G56" s="1063" t="s">
        <v>1570</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1571</v>
      </c>
      <c r="B57" s="211" t="e">
        <f t="shared" si="17"/>
        <v>#DIV/0!</v>
      </c>
      <c r="C57" s="616">
        <f t="shared" si="16"/>
        <v>0</v>
      </c>
      <c r="D57" s="1020">
        <v>0.25</v>
      </c>
      <c r="E57" s="169">
        <f>'数据-汇总表'!E12</f>
        <v>0</v>
      </c>
      <c r="F57" s="1057" t="e">
        <f t="shared" si="15"/>
        <v>#DIV/0!</v>
      </c>
      <c r="G57" s="1064" t="s">
        <v>1572</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1573</v>
      </c>
      <c r="B58" s="211" t="e">
        <f t="shared" si="17"/>
        <v>#DIV/0!</v>
      </c>
      <c r="C58" s="616">
        <f t="shared" si="16"/>
        <v>0</v>
      </c>
      <c r="D58" s="1020">
        <v>0.25</v>
      </c>
      <c r="E58" s="169">
        <f>'数据-汇总表'!E13</f>
        <v>0</v>
      </c>
      <c r="F58" s="1057" t="e">
        <f t="shared" si="15"/>
        <v>#DIV/0!</v>
      </c>
      <c r="G58" s="1064" t="s">
        <v>1574</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1575</v>
      </c>
      <c r="B59" s="211" t="e">
        <f t="shared" si="17"/>
        <v>#DIV/0!</v>
      </c>
      <c r="C59" s="616">
        <f t="shared" si="16"/>
        <v>0</v>
      </c>
      <c r="D59" s="1020">
        <v>0.25</v>
      </c>
      <c r="E59" s="169">
        <f>'数据-汇总表'!E14</f>
        <v>0</v>
      </c>
      <c r="F59" s="1057" t="e">
        <f t="shared" si="15"/>
        <v>#DIV/0!</v>
      </c>
      <c r="G59" s="1063" t="s">
        <v>1566</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1576</v>
      </c>
      <c r="B60" s="211" t="e">
        <f t="shared" si="17"/>
        <v>#DIV/0!</v>
      </c>
      <c r="C60" s="616">
        <f t="shared" si="16"/>
        <v>0</v>
      </c>
      <c r="D60" s="1020">
        <v>0.25</v>
      </c>
      <c r="E60" s="169">
        <f>'数据-汇总表'!E15</f>
        <v>0</v>
      </c>
      <c r="F60" s="1057" t="e">
        <f t="shared" si="15"/>
        <v>#DIV/0!</v>
      </c>
      <c r="G60" s="1065" t="s">
        <v>1570</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1577</v>
      </c>
      <c r="B61" s="1022" t="s">
        <v>1513</v>
      </c>
      <c r="C61" s="1022" t="s">
        <v>1513</v>
      </c>
      <c r="D61" s="1022" t="s">
        <v>1513</v>
      </c>
      <c r="E61" s="1022">
        <f>IF(B41="楼面地价",SUM(E51:E60),'数据-汇总表'!D3)</f>
        <v>8299.16</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2022-9-1</v>
      </c>
      <c r="D63" s="1026">
        <f>EDATE(C63,-3)</f>
        <v>44713</v>
      </c>
      <c r="E63" s="1026">
        <f>EDATE(D63,-3)</f>
        <v>44621</v>
      </c>
      <c r="F63" s="1026">
        <f t="shared" ref="F63:O63" si="18">EDATE(E63,-3)</f>
        <v>44531</v>
      </c>
      <c r="G63" s="1026">
        <f t="shared" si="18"/>
        <v>44440</v>
      </c>
      <c r="H63" s="1026">
        <f t="shared" si="18"/>
        <v>44348</v>
      </c>
      <c r="I63" s="1026">
        <f t="shared" si="18"/>
        <v>44256</v>
      </c>
      <c r="J63" s="1026">
        <f t="shared" si="18"/>
        <v>44166</v>
      </c>
      <c r="K63" s="1026">
        <f t="shared" si="18"/>
        <v>44075</v>
      </c>
      <c r="L63" s="1026">
        <f t="shared" si="18"/>
        <v>43983</v>
      </c>
      <c r="M63" s="1026">
        <f t="shared" si="18"/>
        <v>43891</v>
      </c>
      <c r="N63" s="1026">
        <f t="shared" si="18"/>
        <v>43800</v>
      </c>
      <c r="O63" s="1026">
        <f t="shared" si="18"/>
        <v>43709</v>
      </c>
      <c r="P63" s="1005"/>
      <c r="Q63" s="1005"/>
      <c r="R63" s="1005"/>
      <c r="S63" s="1005"/>
      <c r="T63" s="1005"/>
      <c r="U63" s="1005"/>
      <c r="V63" s="1005"/>
      <c r="W63" s="1005"/>
      <c r="X63" s="1005"/>
      <c r="Y63" s="1005"/>
      <c r="Z63" s="1005"/>
      <c r="AA63" s="1005"/>
      <c r="AB63" s="1005"/>
      <c r="AC63" s="1005"/>
      <c r="AD63" s="1005"/>
      <c r="AE63" s="1005"/>
    </row>
    <row r="64" spans="1:31" ht="21">
      <c r="A64" s="1027" t="s">
        <v>1462</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5">
      <c r="A65" s="1141" t="s">
        <v>1578</v>
      </c>
      <c r="B65" s="1142"/>
      <c r="C65" s="1143" t="str">
        <f>YEAR(C63)&amp;"-"&amp;ROUNDUP(MONTH(C63)/3,0)</f>
        <v>2022-3</v>
      </c>
      <c r="D65" s="1143" t="str">
        <f t="shared" ref="D65:O65" si="19">YEAR(D63)&amp;"-"&amp;ROUNDUP(MONTH(D63)/3,0)</f>
        <v>2022-2</v>
      </c>
      <c r="E65" s="1143" t="str">
        <f t="shared" si="19"/>
        <v>2022-1</v>
      </c>
      <c r="F65" s="1143" t="str">
        <f t="shared" si="19"/>
        <v>2021-4</v>
      </c>
      <c r="G65" s="1143" t="str">
        <f t="shared" si="19"/>
        <v>2021-3</v>
      </c>
      <c r="H65" s="1143" t="str">
        <f t="shared" si="19"/>
        <v>2021-2</v>
      </c>
      <c r="I65" s="1143" t="str">
        <f t="shared" si="19"/>
        <v>2021-1</v>
      </c>
      <c r="J65" s="1143" t="str">
        <f t="shared" si="19"/>
        <v>2020-4</v>
      </c>
      <c r="K65" s="1143" t="str">
        <f t="shared" si="19"/>
        <v>2020-3</v>
      </c>
      <c r="L65" s="1143" t="str">
        <f t="shared" si="19"/>
        <v>2020-2</v>
      </c>
      <c r="M65" s="1143" t="str">
        <f t="shared" si="19"/>
        <v>2020-1</v>
      </c>
      <c r="N65" s="1143" t="str">
        <f t="shared" si="19"/>
        <v>2019-4</v>
      </c>
      <c r="O65" s="1143" t="str">
        <f t="shared" si="19"/>
        <v>2019-3</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1588</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5">
      <c r="A67" s="1147" t="s">
        <v>1463</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5">
      <c r="A68" s="1151" t="s">
        <v>1424</v>
      </c>
      <c r="B68" s="1152"/>
      <c r="C68" s="1153" t="s">
        <v>1425</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ht="15">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c r="A70" s="1157" t="s">
        <v>1464</v>
      </c>
      <c r="B70" s="1158" t="s">
        <v>1428</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ht="15">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7">
      <c r="A72" s="1159"/>
      <c r="B72" s="1162" t="s">
        <v>1431</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ht="15">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5">
      <c r="A74" s="1159"/>
      <c r="B74" s="1166" t="s">
        <v>1432</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ht="15">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ht="15">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ht="15">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ht="15">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ht="15">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ht="15">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ht="15">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ht="15">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c r="A83" s="1157" t="s">
        <v>1433</v>
      </c>
      <c r="B83" s="1158" t="s">
        <v>1523</v>
      </c>
      <c r="C83" s="1175" t="s">
        <v>1472</v>
      </c>
      <c r="D83" s="1175" t="s">
        <v>1473</v>
      </c>
      <c r="E83" s="1175" t="s">
        <v>1474</v>
      </c>
      <c r="F83" s="1175" t="s">
        <v>1475</v>
      </c>
      <c r="G83" s="1175" t="s">
        <v>1476</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ht="15">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5">
      <c r="A85" s="1159"/>
      <c r="B85" s="1162" t="s">
        <v>1436</v>
      </c>
      <c r="C85" s="1176" t="s">
        <v>1472</v>
      </c>
      <c r="D85" s="1176" t="s">
        <v>1473</v>
      </c>
      <c r="E85" s="1176" t="s">
        <v>1474</v>
      </c>
      <c r="F85" s="1176" t="s">
        <v>1475</v>
      </c>
      <c r="G85" s="1176" t="s">
        <v>1476</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ht="15">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15">
      <c r="A87" s="1177"/>
      <c r="B87" s="1162" t="s">
        <v>1545</v>
      </c>
      <c r="C87" s="1175" t="s">
        <v>1472</v>
      </c>
      <c r="D87" s="1175" t="s">
        <v>1473</v>
      </c>
      <c r="E87" s="1175" t="s">
        <v>1474</v>
      </c>
      <c r="F87" s="1175" t="s">
        <v>1475</v>
      </c>
      <c r="G87" s="1175" t="s">
        <v>1476</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ht="15">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7">
      <c r="A89" s="1177"/>
      <c r="B89" s="1162" t="s">
        <v>1546</v>
      </c>
      <c r="C89" s="1175" t="s">
        <v>1472</v>
      </c>
      <c r="D89" s="1175" t="s">
        <v>1473</v>
      </c>
      <c r="E89" s="1175" t="s">
        <v>1474</v>
      </c>
      <c r="F89" s="1175" t="s">
        <v>1475</v>
      </c>
      <c r="G89" s="1175" t="s">
        <v>1476</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ht="15">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5">
      <c r="A91" s="1169"/>
      <c r="B91" s="1162" t="s">
        <v>1437</v>
      </c>
      <c r="C91" s="1175" t="s">
        <v>1472</v>
      </c>
      <c r="D91" s="1175" t="s">
        <v>1473</v>
      </c>
      <c r="E91" s="1175" t="s">
        <v>1474</v>
      </c>
      <c r="F91" s="1175" t="s">
        <v>1475</v>
      </c>
      <c r="G91" s="1175" t="s">
        <v>1476</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ht="15">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5">
      <c r="A93" s="1169"/>
      <c r="B93" s="1166" t="s">
        <v>1438</v>
      </c>
      <c r="C93" s="1179" t="s">
        <v>1477</v>
      </c>
      <c r="D93" s="1179" t="s">
        <v>1478</v>
      </c>
      <c r="E93" s="1179" t="s">
        <v>1479</v>
      </c>
      <c r="F93" s="1179" t="s">
        <v>1480</v>
      </c>
      <c r="G93" s="1179" t="s">
        <v>1481</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ht="15">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5">
      <c r="A95" s="1159"/>
      <c r="B95" s="1162" t="str">
        <f>B27</f>
        <v>临街状况</v>
      </c>
      <c r="C95" s="1163" t="s">
        <v>1580</v>
      </c>
      <c r="D95" s="1163" t="s">
        <v>1581</v>
      </c>
      <c r="E95" s="1163" t="s">
        <v>1582</v>
      </c>
      <c r="F95" s="1163" t="s">
        <v>1583</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ht="15">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7">
      <c r="A97" s="1159"/>
      <c r="B97" s="1162" t="s">
        <v>1518</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ht="15">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5">
      <c r="A99" s="1159"/>
      <c r="B99" s="1162" t="s">
        <v>1547</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ht="15">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ht="15">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ht="15">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ht="15">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ht="15">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c r="A107" s="1157" t="s">
        <v>1442</v>
      </c>
      <c r="B107" s="1158" t="s">
        <v>1548</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ht="15">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ht="15">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c r="A110" s="1185"/>
      <c r="B110" s="1162" t="s">
        <v>1549</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ht="15">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c r="A112" s="1181"/>
      <c r="B112" s="1162" t="s">
        <v>1551</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ht="15">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c r="A114" s="1185"/>
      <c r="B114" s="1162" t="s">
        <v>1552</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ht="15">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ht="15">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ht="15">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ht="15">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3" customWidth="1"/>
    <col min="2" max="2" width="19.25" style="594" customWidth="1"/>
    <col min="3" max="4" width="12" style="595"/>
    <col min="5" max="5" width="14.625" style="595" customWidth="1"/>
    <col min="6" max="8" width="12" style="595"/>
    <col min="9" max="9" width="12.25" style="595" customWidth="1"/>
    <col min="10" max="10" width="12" style="595"/>
    <col min="11" max="11" width="8.125" style="596" customWidth="1"/>
    <col min="12" max="12" width="12" style="595"/>
    <col min="13" max="13" width="8.5" style="595" customWidth="1"/>
    <col min="14" max="14" width="9.75" style="595" customWidth="1"/>
    <col min="15" max="25" width="12" style="595"/>
    <col min="26" max="26" width="9.375" style="593" customWidth="1"/>
    <col min="27" max="32" width="9.375" style="597" customWidth="1"/>
    <col min="33" max="36" width="9.375" style="593" customWidth="1"/>
    <col min="37" max="38" width="9.375" style="595" customWidth="1"/>
    <col min="39" max="16384" width="12" style="595"/>
  </cols>
  <sheetData>
    <row r="1" spans="1:36" ht="28.5">
      <c r="A1" s="152" t="s">
        <v>1589</v>
      </c>
      <c r="B1" s="153"/>
      <c r="C1" s="155" t="s">
        <v>1407</v>
      </c>
      <c r="D1" s="598">
        <f>SUM(D29:D30,D33:D39)</f>
        <v>0</v>
      </c>
      <c r="E1" s="705"/>
      <c r="F1" s="705"/>
      <c r="G1" s="705"/>
      <c r="H1" s="705"/>
      <c r="I1" s="705"/>
      <c r="J1" s="705"/>
      <c r="K1" s="591"/>
      <c r="L1" s="769" t="s">
        <v>1590</v>
      </c>
      <c r="M1" s="819">
        <f>SUMPRODUCT((区片价!B5:B9=I2)*(区片价!C3:F3=E2)*(区片价!C5:F9))</f>
        <v>0</v>
      </c>
      <c r="N1" s="820">
        <f>SUMPRODUCT((因素修正幅度!B5:B9=I2)*(因素修正幅度!C3:F3=E2)*(因素修正幅度!C5:F9))</f>
        <v>0</v>
      </c>
      <c r="O1" s="592"/>
      <c r="P1" s="592"/>
      <c r="Q1" s="591"/>
      <c r="R1" s="850" t="s">
        <v>1591</v>
      </c>
      <c r="S1" s="850" t="s">
        <v>1592</v>
      </c>
      <c r="T1" s="850" t="s">
        <v>1593</v>
      </c>
      <c r="U1" s="850" t="s">
        <v>1594</v>
      </c>
      <c r="V1" s="850" t="s">
        <v>1595</v>
      </c>
      <c r="W1" s="853"/>
      <c r="X1" s="853"/>
      <c r="Y1" s="853"/>
      <c r="Z1" s="853"/>
      <c r="AA1" s="853"/>
      <c r="AB1" s="853"/>
      <c r="AC1" s="865"/>
      <c r="AD1" s="866"/>
      <c r="AE1" s="866"/>
      <c r="AF1" s="866"/>
      <c r="AG1" s="866"/>
      <c r="AH1" s="866"/>
      <c r="AI1" s="866"/>
      <c r="AJ1" s="870"/>
    </row>
    <row r="2" spans="1:36" ht="15.75">
      <c r="A2" s="155" t="s">
        <v>924</v>
      </c>
      <c r="B2" s="160" t="e">
        <f>C26</f>
        <v>#DIV/0!</v>
      </c>
      <c r="C2" s="599" t="s">
        <v>925</v>
      </c>
      <c r="D2" s="600" t="s">
        <v>1596</v>
      </c>
      <c r="E2" s="706"/>
      <c r="F2" s="600" t="s">
        <v>1597</v>
      </c>
      <c r="G2" s="707">
        <f>IF(E2="商业",项目基本情况!B37,IF(E2="办公",项目基本情况!C37,IF(E2="住宅",项目基本情况!D37,项目基本情况!E37)))</f>
        <v>0</v>
      </c>
      <c r="H2" s="600" t="s">
        <v>1598</v>
      </c>
      <c r="I2" s="707">
        <f>IF(E2="商业",项目基本情况!B38,IF(E2="办公",项目基本情况!C38,IF(E2="住宅",项目基本情况!D38,项目基本情况!E38)))</f>
        <v>0</v>
      </c>
      <c r="J2" s="770"/>
      <c r="K2" s="591"/>
      <c r="L2" s="771" t="s">
        <v>1599</v>
      </c>
      <c r="M2" s="821">
        <f>SUMPRODUCT((区片价!B10:B28=I2)*(区片价!C3:F3=E2)*(区片价!C10:F28))</f>
        <v>0</v>
      </c>
      <c r="N2" s="820">
        <f>SUMPRODUCT((因素修正幅度!B10:B28=I2)*(因素修正幅度!C3:F3=E2)*(因素修正幅度!C10:F28))</f>
        <v>0</v>
      </c>
      <c r="O2" s="591"/>
      <c r="P2" s="591"/>
      <c r="Q2" s="591"/>
      <c r="R2" s="850">
        <v>1</v>
      </c>
      <c r="S2" s="850">
        <f>ROUND(IF(G3&gt;1,IF(R2&lt;7,SUMPRODUCT((B93:B98=R2)*(C92:N92=G2)*(C93:N98)),SUMIF(C92:N92,G2,C100:N100)),IF(R2&lt;7,SUMPRODUCT((B102:B107=R2)*(C92:N92=G2)*(C102:N107)),SUMIF(C92:N92,G2,C109:N109))),4)</f>
        <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75">
      <c r="A3" s="159" t="s">
        <v>926</v>
      </c>
      <c r="B3" s="160" t="e">
        <f>ROUND(B2*10000/D1,0)</f>
        <v>#DIV/0!</v>
      </c>
      <c r="C3" s="599" t="s">
        <v>927</v>
      </c>
      <c r="D3" s="600" t="s">
        <v>1600</v>
      </c>
      <c r="E3" s="708"/>
      <c r="F3" s="709" t="s">
        <v>1601</v>
      </c>
      <c r="G3" s="710">
        <f>IF(F3="宗地容积率",'数据-汇总表'!I4,IF(F3="估价对象容积率",'数据-汇总表'!I6,'数据-汇总表'!I7))</f>
        <v>3.07</v>
      </c>
      <c r="H3" s="612" t="s">
        <v>1602</v>
      </c>
      <c r="I3" s="772"/>
      <c r="J3" s="770" t="s">
        <v>1603</v>
      </c>
      <c r="K3" s="591"/>
      <c r="L3" s="771" t="s">
        <v>1604</v>
      </c>
      <c r="M3" s="821">
        <f>SUMPRODUCT((区片价!B29:B48=I2)*(区片价!C3:F3=E2)*(区片价!C29:F48))</f>
        <v>0</v>
      </c>
      <c r="N3" s="820">
        <f>SUMPRODUCT((因素修正幅度!B29:B48=I2)*(因素修正幅度!C3:F3=E2)*(因素修正幅度!C29:F48))</f>
        <v>0</v>
      </c>
      <c r="O3" s="591"/>
      <c r="P3" s="591"/>
      <c r="Q3" s="591"/>
      <c r="R3" s="850">
        <v>2</v>
      </c>
      <c r="S3" s="850">
        <f>ROUND(IF(G3&gt;1,IF(R3&lt;7,SUMPRODUCT((B93:B98=R3)*(C92:N92=G2)*(C93:N98)),SUMIF(C92:N92,G2,C100:N100)),IF(R3&lt;7,SUMPRODUCT((B102:B107=R3)*(C92:N92=G2)*(C102:N107)),SUMIF(C92:N92,G2,C109:N109))),4)</f>
        <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75">
      <c r="A4" s="3511"/>
      <c r="B4" s="3512"/>
      <c r="C4" s="3512"/>
      <c r="D4" s="3513"/>
      <c r="E4" s="3513"/>
      <c r="F4" s="3513"/>
      <c r="G4" s="3513"/>
      <c r="H4" s="3513"/>
      <c r="I4" s="3513"/>
      <c r="J4" s="3514"/>
      <c r="K4" s="591"/>
      <c r="L4" s="771" t="s">
        <v>1605</v>
      </c>
      <c r="M4" s="821">
        <f>SUMPRODUCT((区片价!B49:B75=I2)*(区片价!C3:F3=E2)*(区片价!C49:F75))</f>
        <v>0</v>
      </c>
      <c r="N4" s="820">
        <f>SUMPRODUCT((因素修正幅度!B49:B75=I2)*(因素修正幅度!C3:F3=E2)*(因素修正幅度!C49:F75))</f>
        <v>0</v>
      </c>
      <c r="O4" s="591"/>
      <c r="P4" s="591"/>
      <c r="Q4" s="591"/>
      <c r="R4" s="850">
        <v>3</v>
      </c>
      <c r="S4" s="850">
        <f>ROUND(IF(G3&gt;1,IF(R4&lt;7,SUMPRODUCT((B93:B98=R4)*(C92:N92=G2)*(C93:N98)),SUMIF(C92:N92,G2,C100:N100)),IF(R4&lt;7,SUMPRODUCT((B102:B107=R4)*(C92:N92=G2)*(C102:N107)),SUMIF(C92:N92,G2,C109:N109))),4)</f>
        <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830</v>
      </c>
      <c r="B5" s="602" t="s">
        <v>1606</v>
      </c>
      <c r="C5" s="603" t="e">
        <f>ROUND(IF(E2="商业",C6*C7+C16,(IF(E2="住宅",C6*C12+C16,C6+C16))),0)</f>
        <v>#DIV/0!</v>
      </c>
      <c r="D5" s="604" t="e">
        <f>ROUND(C6+C16,0)</f>
        <v>#DIV/0!</v>
      </c>
      <c r="E5" s="604"/>
      <c r="F5" s="711"/>
      <c r="G5" s="712"/>
      <c r="H5" s="712"/>
      <c r="I5" s="712"/>
      <c r="J5" s="773"/>
      <c r="K5" s="774"/>
      <c r="L5" s="771" t="s">
        <v>1607</v>
      </c>
      <c r="M5" s="821">
        <f>SUMPRODUCT((区片价!B76:B109=I2)*(区片价!C3:F3=E2)*(区片价!C76:F109))</f>
        <v>0</v>
      </c>
      <c r="N5" s="820">
        <f>SUMPRODUCT((因素修正幅度!B76:B109=I2)*(因素修正幅度!C3:F3=E2)*(因素修正幅度!C76:F109))</f>
        <v>0</v>
      </c>
      <c r="O5" s="591"/>
      <c r="P5" s="591"/>
      <c r="Q5" s="591"/>
      <c r="R5" s="850">
        <v>4</v>
      </c>
      <c r="S5" s="850">
        <f>ROUND(IF(G3&gt;1,IF(R5&lt;7,SUMPRODUCT((B93:B98=R5)*(C92:N92=G2)*(C93:N98)),SUMIF(C92:N92,G2,C100:N100)),IF(R5&lt;7,SUMPRODUCT((B102:B107=R5)*(C92:N92=G2)*(C102:N107)),SUMIF(C92:N92,G2,C109:N109))),4)</f>
        <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929</v>
      </c>
      <c r="B6" s="606" t="s">
        <v>1608</v>
      </c>
      <c r="C6" s="607">
        <f>SUMIF(L1:L12,G2,M1:M12)</f>
        <v>0</v>
      </c>
      <c r="D6" s="608" t="s">
        <v>1609</v>
      </c>
      <c r="E6" s="713"/>
      <c r="F6" s="713"/>
      <c r="G6" s="714"/>
      <c r="H6" s="714"/>
      <c r="I6" s="714"/>
      <c r="J6" s="775"/>
      <c r="K6" s="776"/>
      <c r="L6" s="771" t="s">
        <v>1610</v>
      </c>
      <c r="M6" s="821">
        <f>SUMPRODUCT((区片价!B110:B157=I2)*(区片价!C3:F3=E2)*(区片价!C110:F157))</f>
        <v>0</v>
      </c>
      <c r="N6" s="820">
        <f>SUMPRODUCT((因素修正幅度!B110:B157=I2)*(因素修正幅度!C3:F3=E2)*(因素修正幅度!C110:F157))</f>
        <v>0</v>
      </c>
      <c r="O6" s="591"/>
      <c r="P6" s="591"/>
      <c r="Q6" s="591"/>
      <c r="R6" s="850">
        <v>5</v>
      </c>
      <c r="S6" s="850">
        <f>ROUND(IF(G3&gt;1,IF(R6&lt;7,SUMPRODUCT((B93:B98=R6)*(C92:N92=G2)*(C93:N98)),SUMIF(C92:N92,G2,C100:N100)),IF(R6&lt;7,SUMPRODUCT((B102:B107=R6)*(C92:N92=G2)*(C102:N107)),SUMIF(C92:N92,G2,C109:N109))),4)</f>
        <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22" t="str">
        <f>IF(E2="商业",IF(C8="不临58条商业街","",2),"")</f>
        <v/>
      </c>
      <c r="B7" s="609" t="s">
        <v>1611</v>
      </c>
      <c r="C7" s="610" t="e">
        <f>IF(C8="不临58条商业街",1,ROUND(1+(1.6*E8+1.2*E9+0.8*E10+0.4*E11)*C9,4))</f>
        <v>#DIV/0!</v>
      </c>
      <c r="D7" s="611" t="s">
        <v>1612</v>
      </c>
      <c r="E7" s="715"/>
      <c r="F7" s="716"/>
      <c r="G7" s="658"/>
      <c r="H7" s="658"/>
      <c r="I7" s="658"/>
      <c r="J7" s="777"/>
      <c r="K7" s="776"/>
      <c r="L7" s="771" t="s">
        <v>1613</v>
      </c>
      <c r="M7" s="821">
        <f>SUMPRODUCT((区片价!B158:B205=I2)*(区片价!C3:F3=E2)*(区片价!C158:F205))</f>
        <v>0</v>
      </c>
      <c r="N7" s="820">
        <f>SUMPRODUCT((因素修正幅度!B158:B205=I2)*(因素修正幅度!C3:F3=E2)*(因素修正幅度!C158:F205))</f>
        <v>0</v>
      </c>
      <c r="O7" s="591"/>
      <c r="P7" s="591"/>
      <c r="Q7" s="591"/>
      <c r="R7" s="850">
        <v>6</v>
      </c>
      <c r="S7" s="850">
        <f>ROUND(IF(G3&gt;1,IF(R7&lt;7,SUMPRODUCT((B93:B98=R7)*(C92:N92=G2)*(C93:N98)),SUMIF(C92:N92,G2,C100:N100)),IF(R7&lt;7,SUMPRODUCT((B102:B107=R7)*(C92:N92=G2)*(C102:N107)),SUMIF(C92:N92,G2,C109:N109))),4)</f>
        <v>0</v>
      </c>
      <c r="T7" s="850" t="e">
        <f t="shared" si="0"/>
        <v>#DIV/0!</v>
      </c>
      <c r="U7" s="851"/>
      <c r="V7" s="850" t="e">
        <f t="shared" si="1"/>
        <v>#DIV/0!</v>
      </c>
      <c r="W7" s="854" t="s">
        <v>1614</v>
      </c>
      <c r="X7" s="855">
        <f>G2</f>
        <v>0</v>
      </c>
      <c r="Y7" s="855" t="s">
        <v>1615</v>
      </c>
      <c r="Z7" s="859">
        <f>G3</f>
        <v>3.07</v>
      </c>
      <c r="AA7" s="853"/>
      <c r="AB7" s="853"/>
      <c r="AC7" s="865"/>
      <c r="AD7" s="866"/>
      <c r="AE7" s="866"/>
      <c r="AF7" s="866"/>
      <c r="AG7" s="866"/>
      <c r="AH7" s="866"/>
      <c r="AI7" s="866"/>
      <c r="AJ7" s="870"/>
    </row>
    <row r="8" spans="1:36" ht="15">
      <c r="A8" s="3523"/>
      <c r="B8" s="612" t="s">
        <v>1616</v>
      </c>
      <c r="C8" s="613"/>
      <c r="D8" s="614" t="s">
        <v>1617</v>
      </c>
      <c r="E8" s="717" t="e">
        <f>ROUND(C11/E7,4)</f>
        <v>#DIV/0!</v>
      </c>
      <c r="F8" s="718" t="s">
        <v>1618</v>
      </c>
      <c r="G8" s="719"/>
      <c r="H8" s="719"/>
      <c r="I8" s="719"/>
      <c r="J8" s="778"/>
      <c r="K8" s="591"/>
      <c r="L8" s="771" t="s">
        <v>1619</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15" t="s">
        <v>1620</v>
      </c>
      <c r="X8" s="3516"/>
      <c r="Y8" s="860" t="s">
        <v>1621</v>
      </c>
      <c r="Z8" s="860" t="s">
        <v>1622</v>
      </c>
      <c r="AA8" s="860" t="s">
        <v>1623</v>
      </c>
      <c r="AB8" s="860" t="s">
        <v>1624</v>
      </c>
      <c r="AC8" s="860" t="s">
        <v>1625</v>
      </c>
      <c r="AD8" s="860" t="s">
        <v>1626</v>
      </c>
      <c r="AE8" s="860" t="s">
        <v>1627</v>
      </c>
      <c r="AF8" s="860" t="s">
        <v>1628</v>
      </c>
      <c r="AG8" s="860" t="s">
        <v>1629</v>
      </c>
      <c r="AH8" s="860" t="s">
        <v>1630</v>
      </c>
      <c r="AI8" s="860" t="s">
        <v>1631</v>
      </c>
      <c r="AJ8" s="860" t="s">
        <v>1632</v>
      </c>
    </row>
    <row r="9" spans="1:36" ht="15">
      <c r="A9" s="3523"/>
      <c r="B9" s="612" t="s">
        <v>1633</v>
      </c>
      <c r="C9" s="615">
        <f>SUMIF(修正!C71:C138,C8,修正!E71:E138)</f>
        <v>0</v>
      </c>
      <c r="D9" s="616" t="s">
        <v>1634</v>
      </c>
      <c r="E9" s="616" t="e">
        <f>ROUND(C11/E7,4)</f>
        <v>#DIV/0!</v>
      </c>
      <c r="F9" s="718" t="s">
        <v>1635</v>
      </c>
      <c r="G9" s="719"/>
      <c r="H9" s="719"/>
      <c r="I9" s="719"/>
      <c r="J9" s="778"/>
      <c r="K9" s="591"/>
      <c r="L9" s="771" t="s">
        <v>1636</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20" t="s">
        <v>1637</v>
      </c>
      <c r="X9" s="856" t="s">
        <v>1638</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23"/>
      <c r="B10" s="612" t="s">
        <v>1639</v>
      </c>
      <c r="C10" s="616">
        <f>SUMIF(修正!C71:C138,C8,修正!F71:F138)</f>
        <v>0</v>
      </c>
      <c r="D10" s="616" t="s">
        <v>1640</v>
      </c>
      <c r="E10" s="616" t="e">
        <f>ROUND(C11/E7,4)</f>
        <v>#DIV/0!</v>
      </c>
      <c r="F10" s="718" t="s">
        <v>1641</v>
      </c>
      <c r="G10" s="719"/>
      <c r="H10" s="719"/>
      <c r="I10" s="719"/>
      <c r="J10" s="778"/>
      <c r="K10" s="591"/>
      <c r="L10" s="771" t="s">
        <v>1642</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20"/>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23"/>
      <c r="B11" s="617" t="s">
        <v>1643</v>
      </c>
      <c r="C11" s="618">
        <f>C10/4</f>
        <v>0</v>
      </c>
      <c r="D11" s="618" t="s">
        <v>1644</v>
      </c>
      <c r="E11" s="618" t="e">
        <f>ROUND(C11/E7,4)</f>
        <v>#DIV/0!</v>
      </c>
      <c r="F11" s="720" t="s">
        <v>1645</v>
      </c>
      <c r="G11" s="721"/>
      <c r="H11" s="721"/>
      <c r="I11" s="721"/>
      <c r="J11" s="779"/>
      <c r="K11" s="591"/>
      <c r="L11" s="771" t="s">
        <v>1646</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20" t="s">
        <v>1647</v>
      </c>
      <c r="X11" s="857" t="s">
        <v>1615</v>
      </c>
      <c r="Y11" s="864">
        <f>$G$3</f>
        <v>3.07</v>
      </c>
      <c r="Z11" s="864">
        <f t="shared" ref="Z11:AJ11" si="3">$G$3</f>
        <v>3.07</v>
      </c>
      <c r="AA11" s="864">
        <f t="shared" si="3"/>
        <v>3.07</v>
      </c>
      <c r="AB11" s="864">
        <f t="shared" si="3"/>
        <v>3.07</v>
      </c>
      <c r="AC11" s="864">
        <f t="shared" si="3"/>
        <v>3.07</v>
      </c>
      <c r="AD11" s="864">
        <f t="shared" si="3"/>
        <v>3.07</v>
      </c>
      <c r="AE11" s="864">
        <f t="shared" si="3"/>
        <v>3.07</v>
      </c>
      <c r="AF11" s="864">
        <f t="shared" si="3"/>
        <v>3.07</v>
      </c>
      <c r="AG11" s="864">
        <f t="shared" si="3"/>
        <v>3.07</v>
      </c>
      <c r="AH11" s="864">
        <f t="shared" si="3"/>
        <v>3.07</v>
      </c>
      <c r="AI11" s="864">
        <f t="shared" si="3"/>
        <v>3.07</v>
      </c>
      <c r="AJ11" s="864">
        <f t="shared" si="3"/>
        <v>3.07</v>
      </c>
    </row>
    <row r="12" spans="1:36" ht="24.75">
      <c r="A12" s="3522" t="s">
        <v>1331</v>
      </c>
      <c r="B12" s="619" t="s">
        <v>1648</v>
      </c>
      <c r="C12" s="610">
        <f>ROUND(C15*D15*E15*F15*G15*H15*I15*J15,4)</f>
        <v>1</v>
      </c>
      <c r="D12" s="620" t="s">
        <v>1649</v>
      </c>
      <c r="E12" s="722"/>
      <c r="F12" s="722"/>
      <c r="G12" s="678"/>
      <c r="H12" s="678"/>
      <c r="I12" s="678"/>
      <c r="J12" s="780"/>
      <c r="K12" s="591"/>
      <c r="L12" s="781" t="s">
        <v>1650</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20"/>
      <c r="X12" s="858" t="s">
        <v>1651</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24"/>
      <c r="B13" s="621" t="s">
        <v>1652</v>
      </c>
      <c r="C13" s="622" t="s">
        <v>1653</v>
      </c>
      <c r="D13" s="623" t="s">
        <v>1654</v>
      </c>
      <c r="E13" s="623" t="s">
        <v>1655</v>
      </c>
      <c r="F13" s="723" t="s">
        <v>1656</v>
      </c>
      <c r="G13" s="724" t="s">
        <v>1657</v>
      </c>
      <c r="H13" s="724" t="s">
        <v>1657</v>
      </c>
      <c r="I13" s="724" t="s">
        <v>1657</v>
      </c>
      <c r="J13" s="782" t="s">
        <v>1657</v>
      </c>
      <c r="K13" s="591"/>
      <c r="L13" s="591"/>
      <c r="M13" s="591"/>
      <c r="N13" s="591"/>
      <c r="O13" s="591"/>
      <c r="P13" s="591"/>
      <c r="Q13" s="591"/>
      <c r="R13" s="850">
        <v>12</v>
      </c>
      <c r="S13" s="851"/>
      <c r="T13" s="850" t="e">
        <f t="shared" si="0"/>
        <v>#DIV/0!</v>
      </c>
      <c r="U13" s="851"/>
      <c r="V13" s="850" t="e">
        <f t="shared" si="1"/>
        <v>#DIV/0!</v>
      </c>
      <c r="W13" s="3520"/>
      <c r="X13" s="858"/>
      <c r="Y13" s="863">
        <f>(-0.163*(Y12^2)-0.59*Y12+7617)*(10^(-4))/Y11</f>
        <v>0.248110749185668</v>
      </c>
      <c r="Z13" s="863">
        <f t="shared" ref="Z13:AJ13" si="5">(-0.163*(Z12^2)-0.59*Z12+7617)*(10^(-4))/Z11</f>
        <v>0.248110749185668</v>
      </c>
      <c r="AA13" s="863">
        <f t="shared" si="5"/>
        <v>0.248110749185668</v>
      </c>
      <c r="AB13" s="863">
        <f t="shared" si="5"/>
        <v>0.248110749185668</v>
      </c>
      <c r="AC13" s="863">
        <f t="shared" si="5"/>
        <v>0.248110749185668</v>
      </c>
      <c r="AD13" s="863">
        <f t="shared" si="5"/>
        <v>0.248110749185668</v>
      </c>
      <c r="AE13" s="863">
        <f t="shared" si="5"/>
        <v>0.248110749185668</v>
      </c>
      <c r="AF13" s="863">
        <f t="shared" si="5"/>
        <v>0.248110749185668</v>
      </c>
      <c r="AG13" s="863">
        <f t="shared" si="5"/>
        <v>0.248110749185668</v>
      </c>
      <c r="AH13" s="863">
        <f t="shared" si="5"/>
        <v>0.248110749185668</v>
      </c>
      <c r="AI13" s="863">
        <f t="shared" si="5"/>
        <v>0.248110749185668</v>
      </c>
      <c r="AJ13" s="863">
        <f t="shared" si="5"/>
        <v>0.248110749185668</v>
      </c>
    </row>
    <row r="14" spans="1:36" ht="15">
      <c r="A14" s="3524"/>
      <c r="B14" s="624"/>
      <c r="C14" s="625"/>
      <c r="D14" s="626"/>
      <c r="E14" s="626"/>
      <c r="F14" s="725"/>
      <c r="G14" s="726" t="s">
        <v>1658</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25"/>
      <c r="B15" s="627" t="s">
        <v>1659</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22" t="s">
        <v>1335</v>
      </c>
      <c r="B16" s="609" t="s">
        <v>1660</v>
      </c>
      <c r="C16" s="629" t="e">
        <f>ROUND(IF(F17="与级别开发程度一致",0,(G17-E17)/C17),0)</f>
        <v>#DIV/0!</v>
      </c>
      <c r="D16" s="3517" t="s">
        <v>1661</v>
      </c>
      <c r="E16" s="3518"/>
      <c r="F16" s="3517" t="s">
        <v>1662</v>
      </c>
      <c r="G16" s="3518"/>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26"/>
      <c r="B17" s="631" t="s">
        <v>1663</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5">
      <c r="A18" s="633" t="s">
        <v>841</v>
      </c>
      <c r="B18" s="634" t="s">
        <v>1664</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7">
      <c r="A19" s="637" t="s">
        <v>846</v>
      </c>
      <c r="B19" s="638" t="s">
        <v>1665</v>
      </c>
      <c r="C19" s="639" t="e">
        <f>ROUND(IF(H19="按公示增长率计算",SUMPRODUCT((地价!A3:A37=YEAR(G19)&amp;"-"&amp;ROUNDUP(MONTH(G19)/3,0))*(地价!X2:AB2=E2)*(地价!X3:AB37)),IF(H19="地价指数",M20/M19,(1+I19)^O19)),4)</f>
        <v>#VALUE!</v>
      </c>
      <c r="D19" s="640" t="s">
        <v>1666</v>
      </c>
      <c r="E19" s="733">
        <v>41640</v>
      </c>
      <c r="F19" s="640" t="s">
        <v>1667</v>
      </c>
      <c r="G19" s="734">
        <f>'数据-取费表'!B2</f>
        <v>44827</v>
      </c>
      <c r="H19" s="735"/>
      <c r="I19" s="791" t="str">
        <f>IF(H19="季度增幅（自定义）",SUMIF(N21:N24,E2,O21:O24),"")</f>
        <v/>
      </c>
      <c r="J19" s="792"/>
      <c r="K19" s="789"/>
      <c r="L19" s="793" t="s">
        <v>1668</v>
      </c>
      <c r="M19" s="826">
        <f>ROUND(SUMIF(地价!B2:F2,E2,地价!B37:F37),0)</f>
        <v>0</v>
      </c>
      <c r="N19" s="827" t="s">
        <v>1669</v>
      </c>
      <c r="O19" s="828">
        <f>ROUNDDOWN(DATEDIF(E19,G19,"M")/3,0)</f>
        <v>34</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7">
      <c r="A20" s="641" t="s">
        <v>849</v>
      </c>
      <c r="B20" s="642" t="s">
        <v>1670</v>
      </c>
      <c r="C20" s="643" t="e">
        <f>ROUND(POWER(1+G20,J20-I20)*(POWER(1+G20,I20)-1)/(POWER(1+G20,J20)-1),4)</f>
        <v>#DIV/0!</v>
      </c>
      <c r="D20" s="644" t="s">
        <v>1671</v>
      </c>
      <c r="E20" s="736">
        <f>存贷款利率!E22/100</f>
        <v>4.3499999999999997E-2</v>
      </c>
      <c r="F20" s="644" t="s">
        <v>1672</v>
      </c>
      <c r="G20" s="737">
        <f>SUMIF(M26:P26,E2,M28:P28)</f>
        <v>0</v>
      </c>
      <c r="H20" s="644" t="s">
        <v>1673</v>
      </c>
      <c r="I20" s="630" t="e">
        <f>SUMIF('数据-取费表'!C6:C15,E2,'数据-取费表'!F6:F15)/COUNTIF('数据-取费表'!C6:C15,E2)</f>
        <v>#DIV/0!</v>
      </c>
      <c r="J20" s="794">
        <f>IF(E2="住宅",70,IF(E2="商业",40,50))</f>
        <v>50</v>
      </c>
      <c r="K20" s="789"/>
      <c r="L20" s="795" t="s">
        <v>1674</v>
      </c>
      <c r="M20" s="830">
        <f>ROUND(SUMPRODUCT((地价!A4:A37=YEAR(G19)&amp;"-"&amp;ROUNDUP(MONTH(G19)/3,0))*(地价!B2:F2=E2)*(地价!B4:F37)),0)</f>
        <v>0</v>
      </c>
      <c r="N20" s="831" t="s">
        <v>1675</v>
      </c>
      <c r="O20" s="832" t="s">
        <v>1676</v>
      </c>
      <c r="P20" s="833" t="s">
        <v>1677</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5">
      <c r="A21" s="645" t="s">
        <v>871</v>
      </c>
      <c r="B21" s="646" t="s">
        <v>1678</v>
      </c>
      <c r="C21" s="647">
        <f>IF(B21="容积率修正",IF(G3&lt;=10,D22,J22),C23)</f>
        <v>0</v>
      </c>
      <c r="D21" s="648"/>
      <c r="E21" s="648"/>
      <c r="F21" s="648"/>
      <c r="G21" s="648"/>
      <c r="H21" s="648"/>
      <c r="I21" s="648"/>
      <c r="J21" s="796"/>
      <c r="K21" s="789"/>
      <c r="L21" s="790"/>
      <c r="M21" s="790"/>
      <c r="N21" s="834" t="s">
        <v>1679</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25">
      <c r="A22" s="649" t="s">
        <v>1680</v>
      </c>
      <c r="B22" s="650" t="s">
        <v>1681</v>
      </c>
      <c r="C22" s="651" t="s">
        <v>1682</v>
      </c>
      <c r="D22" s="651">
        <f>IF(E22=G22,F22,IF(G3&lt;=10,ROUND(F22+(H22-F22)*(G3-E22)/(G22-E22),4),"——"))</f>
        <v>0</v>
      </c>
      <c r="E22" s="710">
        <f>ROUNDDOWN(G3,1)</f>
        <v>3</v>
      </c>
      <c r="F22" s="6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0">
        <f>ROUNDUP(G3,1)</f>
        <v>3.1</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1" t="s">
        <v>1683</v>
      </c>
      <c r="J22" s="797" t="str">
        <f>IF(G3&gt;10,D113,"——")</f>
        <v>——</v>
      </c>
      <c r="K22" s="789"/>
      <c r="L22" s="790"/>
      <c r="M22" s="790"/>
      <c r="N22" s="834" t="s">
        <v>1684</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7">
      <c r="A23" s="649" t="s">
        <v>1685</v>
      </c>
      <c r="B23" s="652" t="s">
        <v>1686</v>
      </c>
      <c r="C23" s="653">
        <f>ROUND(IF(G3&gt;1,IF(I3&lt;7,SUMPRODUCT((B93:B98=I3)*(C92:N92=G2)*(C93:N98)),SUMIF(C92:N92,G2,C100:N100)),IF(I3&lt;7,SUMPRODUCT((B102:B107=I3)*(C92:N92=G2)*(C102:N107)),SUMIF(C92:N92,G2,C109:N109))),4)</f>
        <v>0</v>
      </c>
      <c r="D23" s="654"/>
      <c r="E23" s="654"/>
      <c r="F23" s="738"/>
      <c r="G23" s="739"/>
      <c r="H23" s="740"/>
      <c r="I23" s="798"/>
      <c r="J23" s="799"/>
      <c r="K23" s="591"/>
      <c r="L23" s="592"/>
      <c r="M23" s="592"/>
      <c r="N23" s="834" t="s">
        <v>1687</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5">
      <c r="A24" s="641" t="s">
        <v>1688</v>
      </c>
      <c r="B24" s="638" t="s">
        <v>1689</v>
      </c>
      <c r="C24" s="639">
        <f>SUMIF(A45:A88,E2,B45:B88)</f>
        <v>0</v>
      </c>
      <c r="D24" s="655"/>
      <c r="E24" s="741"/>
      <c r="F24" s="741"/>
      <c r="G24" s="741"/>
      <c r="H24" s="741"/>
      <c r="I24" s="741"/>
      <c r="J24" s="800"/>
      <c r="K24" s="789"/>
      <c r="L24" s="790"/>
      <c r="M24" s="790"/>
      <c r="N24" s="837" t="s">
        <v>1690</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5">
      <c r="A25" s="641" t="s">
        <v>1691</v>
      </c>
      <c r="B25" s="656" t="s">
        <v>1692</v>
      </c>
      <c r="C25" s="657"/>
      <c r="D25" s="658"/>
      <c r="E25" s="658"/>
      <c r="F25" s="742"/>
      <c r="G25" s="658"/>
      <c r="H25" s="658"/>
      <c r="I25" s="658"/>
      <c r="J25" s="777"/>
      <c r="K25" s="591"/>
      <c r="L25" s="592"/>
      <c r="M25" s="592"/>
      <c r="N25" s="840" t="s">
        <v>1693</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5">
      <c r="A26" s="659"/>
      <c r="B26" s="650" t="s">
        <v>1694</v>
      </c>
      <c r="C26" s="660" t="e">
        <f>IF(B21="容积率修正",E29+SUM(E33:E39),SUM(V2:V16)+SUM(E33:E39))</f>
        <v>#DIV/0!</v>
      </c>
      <c r="D26" s="661"/>
      <c r="E26" s="654"/>
      <c r="F26" s="743"/>
      <c r="G26" s="654"/>
      <c r="H26" s="654"/>
      <c r="I26" s="654"/>
      <c r="J26" s="801"/>
      <c r="K26" s="591"/>
      <c r="L26" s="802" t="s">
        <v>1596</v>
      </c>
      <c r="M26" s="611" t="s">
        <v>1695</v>
      </c>
      <c r="N26" s="611" t="s">
        <v>1696</v>
      </c>
      <c r="O26" s="611" t="s">
        <v>1697</v>
      </c>
      <c r="P26" s="843" t="s">
        <v>1698</v>
      </c>
      <c r="Q26" s="592"/>
      <c r="R26" s="852"/>
      <c r="S26" s="852"/>
      <c r="T26" s="685"/>
      <c r="U26" s="685"/>
      <c r="V26" s="685"/>
      <c r="W26" s="591"/>
      <c r="X26" s="591"/>
      <c r="Y26" s="591"/>
      <c r="Z26" s="789"/>
      <c r="AA26" s="789"/>
      <c r="AB26" s="789"/>
      <c r="AC26" s="789"/>
      <c r="AD26" s="789"/>
      <c r="AE26" s="685"/>
      <c r="AF26" s="685"/>
      <c r="AG26" s="873"/>
      <c r="AH26" s="873"/>
      <c r="AI26" s="873"/>
      <c r="AJ26" s="873"/>
    </row>
    <row r="27" spans="1:37" ht="15">
      <c r="A27" s="659"/>
      <c r="B27" s="662" t="s">
        <v>1699</v>
      </c>
      <c r="C27" s="663" t="e">
        <f>E30+SUM(I33:I39)</f>
        <v>#DIV/0!</v>
      </c>
      <c r="D27" s="664"/>
      <c r="E27" s="744"/>
      <c r="F27" s="745"/>
      <c r="G27" s="744"/>
      <c r="H27" s="744"/>
      <c r="I27" s="744"/>
      <c r="J27" s="803"/>
      <c r="K27" s="591"/>
      <c r="L27" s="804" t="s">
        <v>1700</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5">
      <c r="A28" s="665"/>
      <c r="B28" s="666" t="s">
        <v>1701</v>
      </c>
      <c r="C28" s="667" t="s">
        <v>1702</v>
      </c>
      <c r="D28" s="667" t="s">
        <v>499</v>
      </c>
      <c r="E28" s="746" t="s">
        <v>1703</v>
      </c>
      <c r="F28" s="747"/>
      <c r="G28" s="678"/>
      <c r="H28" s="678"/>
      <c r="I28" s="678"/>
      <c r="J28" s="780"/>
      <c r="K28" s="591"/>
      <c r="L28" s="805" t="s">
        <v>1672</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1704</v>
      </c>
      <c r="C29" s="670" t="e">
        <f>ROUND(C5*C18*C19*C20*C21*C24,0)</f>
        <v>#DIV/0!</v>
      </c>
      <c r="D29" s="671"/>
      <c r="E29" s="748" t="e">
        <f>ROUND(C29*D29/10000,0)</f>
        <v>#DIV/0!</v>
      </c>
      <c r="F29" s="749" t="s">
        <v>1705</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4.75">
      <c r="A30" s="672"/>
      <c r="B30" s="673" t="s">
        <v>1706</v>
      </c>
      <c r="C30" s="628" t="e">
        <f>ROUND(IF(E2="工业",C29*M39,C29*M38),0)</f>
        <v>#DIV/0!</v>
      </c>
      <c r="D30" s="674"/>
      <c r="E30" s="748" t="e">
        <f>ROUND(C30*D30/10000,0)</f>
        <v>#DIV/0!</v>
      </c>
      <c r="F30" s="751" t="s">
        <v>1707</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4.25">
      <c r="A31" s="675"/>
      <c r="B31" s="676" t="s">
        <v>1708</v>
      </c>
      <c r="C31" s="677" t="s">
        <v>1709</v>
      </c>
      <c r="D31" s="678"/>
      <c r="E31" s="677"/>
      <c r="F31" s="677"/>
      <c r="G31" s="620" t="s">
        <v>1707</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24">
      <c r="A32" s="668"/>
      <c r="B32" s="679"/>
      <c r="C32" s="680" t="s">
        <v>1702</v>
      </c>
      <c r="D32" s="681" t="s">
        <v>499</v>
      </c>
      <c r="E32" s="681" t="s">
        <v>1703</v>
      </c>
      <c r="F32" s="598" t="s">
        <v>1710</v>
      </c>
      <c r="G32" s="753" t="s">
        <v>1702</v>
      </c>
      <c r="H32" s="753" t="s">
        <v>499</v>
      </c>
      <c r="I32" s="753" t="s">
        <v>1703</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27"/>
      <c r="B33" s="682" t="s">
        <v>1711</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36" t="s">
        <v>1712</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4.25">
      <c r="A34" s="3528"/>
      <c r="B34" s="622" t="s">
        <v>1713</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28"/>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28"/>
      <c r="B35" s="622" t="s">
        <v>1714</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28"/>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29"/>
      <c r="B36" s="622" t="s">
        <v>1715</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29"/>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1716</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1717</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1718</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1719</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1720</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1698</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c r="A41" s="685"/>
      <c r="B41" s="686" t="s">
        <v>1721</v>
      </c>
      <c r="C41" s="598" t="e">
        <f>ROUND(POWER(1+E41,H41-G41)*(POWER(1+E41,G41)-1)/(POWER(1+E41,H41)-1),4)</f>
        <v>#DIV/0!</v>
      </c>
      <c r="D41" s="616" t="s">
        <v>1672</v>
      </c>
      <c r="E41" s="755">
        <f>G20</f>
        <v>0</v>
      </c>
      <c r="F41" s="616" t="s">
        <v>1673</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5">
      <c r="A45" s="688" t="s">
        <v>1722</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5">
      <c r="A46" s="691" t="s">
        <v>1723</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4.75">
      <c r="A47" s="695" t="s">
        <v>1724</v>
      </c>
      <c r="B47" s="696" t="s">
        <v>1725</v>
      </c>
      <c r="C47" s="696" t="s">
        <v>1726</v>
      </c>
      <c r="D47" s="696" t="s">
        <v>1727</v>
      </c>
      <c r="E47" s="760" t="s">
        <v>1728</v>
      </c>
      <c r="F47" s="761" t="s">
        <v>1729</v>
      </c>
      <c r="G47" s="696" t="s">
        <v>1659</v>
      </c>
      <c r="H47" s="762" t="s">
        <v>1730</v>
      </c>
      <c r="I47" s="696" t="s">
        <v>1731</v>
      </c>
      <c r="J47" s="815" t="s">
        <v>1472</v>
      </c>
      <c r="K47" s="815" t="s">
        <v>1473</v>
      </c>
      <c r="L47" s="815" t="s">
        <v>1474</v>
      </c>
      <c r="M47" s="815" t="s">
        <v>1475</v>
      </c>
      <c r="N47" s="815" t="s">
        <v>1476</v>
      </c>
      <c r="AA47" s="685"/>
      <c r="AB47" s="685"/>
      <c r="AC47" s="685"/>
      <c r="AD47" s="685"/>
      <c r="AE47" s="685"/>
      <c r="AF47" s="685"/>
      <c r="AG47" s="685"/>
      <c r="AH47" s="685"/>
      <c r="AI47" s="685"/>
      <c r="AJ47" s="685"/>
      <c r="AK47" s="685"/>
    </row>
    <row r="48" spans="1:37" s="591" customFormat="1" ht="38.25">
      <c r="A48" s="695" t="s">
        <v>1732</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51">
      <c r="A49" s="695" t="s">
        <v>1733</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1734</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36.75">
      <c r="A51" s="695" t="s">
        <v>1735</v>
      </c>
      <c r="B51" s="700" t="s">
        <v>1736</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1737</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24">
      <c r="A53" s="695" t="s">
        <v>1738</v>
      </c>
      <c r="B53" s="701" t="s">
        <v>1739</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5.5">
      <c r="A54" s="702" t="s">
        <v>1740</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5.5">
      <c r="A55" s="702" t="s">
        <v>1741</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8.25">
      <c r="A56" s="703" t="s">
        <v>1742</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5">
      <c r="A57" s="691" t="s">
        <v>1743</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4.75">
      <c r="A58" s="695" t="s">
        <v>1724</v>
      </c>
      <c r="B58" s="696"/>
      <c r="C58" s="696" t="s">
        <v>1726</v>
      </c>
      <c r="D58" s="696" t="s">
        <v>1727</v>
      </c>
      <c r="E58" s="760" t="s">
        <v>1728</v>
      </c>
      <c r="F58" s="761" t="s">
        <v>1744</v>
      </c>
      <c r="G58" s="696" t="s">
        <v>1659</v>
      </c>
      <c r="H58" s="762" t="s">
        <v>1730</v>
      </c>
      <c r="I58" s="696" t="s">
        <v>1731</v>
      </c>
      <c r="J58" s="815" t="s">
        <v>1472</v>
      </c>
      <c r="K58" s="815" t="s">
        <v>1473</v>
      </c>
      <c r="L58" s="815" t="s">
        <v>1474</v>
      </c>
      <c r="M58" s="815" t="s">
        <v>1475</v>
      </c>
      <c r="N58" s="815" t="s">
        <v>1476</v>
      </c>
      <c r="AA58" s="685"/>
      <c r="AB58" s="685"/>
      <c r="AC58" s="685"/>
      <c r="AD58" s="685"/>
      <c r="AE58" s="685"/>
      <c r="AF58" s="685"/>
      <c r="AG58" s="685"/>
      <c r="AH58" s="685"/>
      <c r="AI58" s="685"/>
      <c r="AJ58" s="685"/>
      <c r="AK58" s="685"/>
    </row>
    <row r="59" spans="1:37" s="591" customFormat="1" ht="38.25">
      <c r="A59" s="695" t="s">
        <v>1745</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51">
      <c r="A60" s="695" t="s">
        <v>1733</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1734</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36.75">
      <c r="A62" s="695" t="s">
        <v>1735</v>
      </c>
      <c r="B62" s="700" t="s">
        <v>1736</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1737</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24">
      <c r="A64" s="695" t="s">
        <v>1738</v>
      </c>
      <c r="B64" s="701" t="s">
        <v>1739</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5.5">
      <c r="A65" s="695" t="s">
        <v>1740</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5.5">
      <c r="A66" s="695" t="s">
        <v>1741</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8.25">
      <c r="A67" s="703" t="s">
        <v>1742</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5">
      <c r="A68" s="691" t="s">
        <v>1746</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4.75">
      <c r="A69" s="695" t="s">
        <v>1724</v>
      </c>
      <c r="B69" s="696"/>
      <c r="C69" s="696" t="s">
        <v>1726</v>
      </c>
      <c r="D69" s="696" t="s">
        <v>1727</v>
      </c>
      <c r="E69" s="760" t="s">
        <v>1728</v>
      </c>
      <c r="F69" s="761" t="s">
        <v>1744</v>
      </c>
      <c r="G69" s="696" t="s">
        <v>1659</v>
      </c>
      <c r="H69" s="762" t="s">
        <v>1730</v>
      </c>
      <c r="I69" s="696" t="s">
        <v>1731</v>
      </c>
      <c r="J69" s="815" t="s">
        <v>1472</v>
      </c>
      <c r="K69" s="815" t="s">
        <v>1473</v>
      </c>
      <c r="L69" s="815" t="s">
        <v>1474</v>
      </c>
      <c r="M69" s="815" t="s">
        <v>1475</v>
      </c>
      <c r="N69" s="815" t="s">
        <v>1476</v>
      </c>
      <c r="AA69" s="685"/>
      <c r="AB69" s="685"/>
      <c r="AC69" s="685"/>
      <c r="AD69" s="685"/>
      <c r="AE69" s="685"/>
      <c r="AF69" s="685"/>
      <c r="AG69" s="685"/>
      <c r="AH69" s="685"/>
      <c r="AI69" s="685"/>
      <c r="AJ69" s="685"/>
      <c r="AK69" s="685"/>
    </row>
    <row r="70" spans="1:37" s="591" customFormat="1" ht="51">
      <c r="A70" s="695" t="s">
        <v>1747</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51">
      <c r="A71" s="695" t="s">
        <v>1733</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1734</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4.25">
      <c r="A73" s="695" t="s">
        <v>1748</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5.5">
      <c r="A74" s="695" t="s">
        <v>1740</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5.5">
      <c r="A75" s="695" t="s">
        <v>1741</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24">
      <c r="A76" s="695" t="s">
        <v>1738</v>
      </c>
      <c r="B76" s="701" t="s">
        <v>1739</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8.25">
      <c r="A77" s="695" t="s">
        <v>1742</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24">
      <c r="A78" s="703" t="s">
        <v>1749</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5">
      <c r="A79" s="691" t="s">
        <v>1750</v>
      </c>
      <c r="B79" s="692">
        <f>1+E81</f>
        <v>1</v>
      </c>
      <c r="C79" s="694"/>
      <c r="D79" s="694"/>
      <c r="E79" s="758"/>
      <c r="F79" s="759"/>
      <c r="G79" s="757"/>
      <c r="H79" s="757"/>
      <c r="I79" s="757"/>
      <c r="J79" s="690"/>
      <c r="K79" s="690"/>
      <c r="L79" s="690"/>
      <c r="M79" s="690"/>
      <c r="N79" s="690"/>
      <c r="Z79" s="595"/>
      <c r="AA79" s="593"/>
      <c r="AG79" s="597"/>
      <c r="AK79" s="593"/>
    </row>
    <row r="80" spans="1:37" ht="24.75">
      <c r="A80" s="695" t="s">
        <v>1724</v>
      </c>
      <c r="B80" s="696"/>
      <c r="C80" s="696" t="s">
        <v>1726</v>
      </c>
      <c r="D80" s="696" t="s">
        <v>1727</v>
      </c>
      <c r="E80" s="760" t="s">
        <v>1728</v>
      </c>
      <c r="F80" s="761" t="s">
        <v>1744</v>
      </c>
      <c r="G80" s="696" t="s">
        <v>1659</v>
      </c>
      <c r="H80" s="762" t="s">
        <v>1730</v>
      </c>
      <c r="I80" s="696" t="s">
        <v>1731</v>
      </c>
      <c r="J80" s="815" t="s">
        <v>1472</v>
      </c>
      <c r="K80" s="815" t="s">
        <v>1473</v>
      </c>
      <c r="L80" s="815" t="s">
        <v>1474</v>
      </c>
      <c r="M80" s="815" t="s">
        <v>1475</v>
      </c>
      <c r="N80" s="815" t="s">
        <v>1476</v>
      </c>
      <c r="Z80" s="595"/>
      <c r="AA80" s="593"/>
      <c r="AG80" s="597"/>
      <c r="AK80" s="593"/>
    </row>
    <row r="81" spans="1:37" ht="38.25">
      <c r="A81" s="695" t="s">
        <v>1751</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51">
      <c r="A82" s="695" t="s">
        <v>1733</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1734</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4.25">
      <c r="A84" s="695" t="s">
        <v>1748</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5.5">
      <c r="A85" s="695" t="s">
        <v>1740</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5.5">
      <c r="A86" s="695" t="s">
        <v>1741</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24">
      <c r="A87" s="695" t="s">
        <v>1738</v>
      </c>
      <c r="B87" s="701" t="s">
        <v>1752</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38.25">
      <c r="A88" s="703" t="s">
        <v>1753</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19" t="s">
        <v>1754</v>
      </c>
      <c r="B90" s="3519"/>
      <c r="C90" s="3519"/>
      <c r="D90" s="3519"/>
      <c r="E90" s="3519"/>
      <c r="F90" s="3519"/>
      <c r="G90" s="3519"/>
      <c r="H90" s="3519"/>
      <c r="I90" s="3519"/>
      <c r="J90" s="3519"/>
      <c r="K90" s="880"/>
      <c r="L90" s="880"/>
      <c r="M90" s="880"/>
      <c r="N90" s="880"/>
    </row>
    <row r="91" spans="1:37">
      <c r="A91" s="3530" t="s">
        <v>1755</v>
      </c>
      <c r="B91" s="3530" t="s">
        <v>1756</v>
      </c>
      <c r="C91" s="749" t="s">
        <v>1757</v>
      </c>
      <c r="D91" s="750"/>
      <c r="E91" s="750"/>
      <c r="F91" s="750"/>
      <c r="G91" s="750"/>
      <c r="H91" s="750"/>
      <c r="I91" s="750"/>
      <c r="J91" s="903"/>
      <c r="K91" s="904"/>
      <c r="L91" s="904"/>
      <c r="M91" s="904"/>
      <c r="N91" s="904"/>
    </row>
    <row r="92" spans="1:37">
      <c r="A92" s="3530"/>
      <c r="B92" s="3530"/>
      <c r="C92" s="748" t="s">
        <v>1621</v>
      </c>
      <c r="D92" s="748" t="s">
        <v>1622</v>
      </c>
      <c r="E92" s="748" t="s">
        <v>1623</v>
      </c>
      <c r="F92" s="748" t="s">
        <v>1624</v>
      </c>
      <c r="G92" s="748" t="s">
        <v>1625</v>
      </c>
      <c r="H92" s="748" t="s">
        <v>1626</v>
      </c>
      <c r="I92" s="748" t="s">
        <v>1627</v>
      </c>
      <c r="J92" s="748" t="s">
        <v>1628</v>
      </c>
      <c r="K92" s="748" t="s">
        <v>1629</v>
      </c>
      <c r="L92" s="748" t="s">
        <v>1630</v>
      </c>
      <c r="M92" s="748" t="s">
        <v>1631</v>
      </c>
      <c r="N92" s="748" t="s">
        <v>1632</v>
      </c>
    </row>
    <row r="93" spans="1:37">
      <c r="A93" s="3531" t="s">
        <v>1758</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32"/>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32"/>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32"/>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32"/>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32"/>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32"/>
      <c r="B99" s="881" t="s">
        <v>1638</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33"/>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31" t="s">
        <v>1759</v>
      </c>
      <c r="B101" s="885" t="s">
        <v>1760</v>
      </c>
      <c r="C101" s="886">
        <f>$G$3</f>
        <v>3.07</v>
      </c>
      <c r="D101" s="886">
        <f t="shared" ref="D101:N101" si="31">$G$3</f>
        <v>3.07</v>
      </c>
      <c r="E101" s="886">
        <f t="shared" si="31"/>
        <v>3.07</v>
      </c>
      <c r="F101" s="886">
        <f t="shared" si="31"/>
        <v>3.07</v>
      </c>
      <c r="G101" s="886">
        <f t="shared" si="31"/>
        <v>3.07</v>
      </c>
      <c r="H101" s="886">
        <f t="shared" si="31"/>
        <v>3.07</v>
      </c>
      <c r="I101" s="886">
        <f t="shared" si="31"/>
        <v>3.07</v>
      </c>
      <c r="J101" s="886">
        <f t="shared" si="31"/>
        <v>3.07</v>
      </c>
      <c r="K101" s="886">
        <f t="shared" si="31"/>
        <v>3.07</v>
      </c>
      <c r="L101" s="886">
        <f t="shared" si="31"/>
        <v>3.07</v>
      </c>
      <c r="M101" s="886">
        <f t="shared" si="31"/>
        <v>3.07</v>
      </c>
      <c r="N101" s="886">
        <f t="shared" si="31"/>
        <v>3.07</v>
      </c>
    </row>
    <row r="102" spans="1:14">
      <c r="A102" s="3532"/>
      <c r="B102" s="881">
        <v>1</v>
      </c>
      <c r="C102" s="882">
        <f>1.9362/C101</f>
        <v>0.63068403908794801</v>
      </c>
      <c r="D102" s="882">
        <f>1.9362/D101</f>
        <v>0.63068403908794801</v>
      </c>
      <c r="E102" s="882">
        <f>1.8629/E101</f>
        <v>0.60680781758957703</v>
      </c>
      <c r="F102" s="882">
        <f>1.8629/F101</f>
        <v>0.60680781758957703</v>
      </c>
      <c r="G102" s="882">
        <f>1.8629/G101</f>
        <v>0.60680781758957703</v>
      </c>
      <c r="H102" s="882">
        <f>1.8629/H101</f>
        <v>0.60680781758957703</v>
      </c>
      <c r="I102" s="882">
        <f>1.8629/I101</f>
        <v>0.60680781758957703</v>
      </c>
      <c r="J102" s="882">
        <f>1.942/J101</f>
        <v>0.63257328990228001</v>
      </c>
      <c r="K102" s="882">
        <f>1.942/K101</f>
        <v>0.63257328990228001</v>
      </c>
      <c r="L102" s="882">
        <f>1.942/L101</f>
        <v>0.63257328990228001</v>
      </c>
      <c r="M102" s="882">
        <f>1.942/M101</f>
        <v>0.63257328990228001</v>
      </c>
      <c r="N102" s="882">
        <f>1.942/N101</f>
        <v>0.63257328990228001</v>
      </c>
    </row>
    <row r="103" spans="1:14">
      <c r="A103" s="3532"/>
      <c r="B103" s="881">
        <v>2</v>
      </c>
      <c r="C103" s="882">
        <f>1.4198/C101</f>
        <v>0.462475570032573</v>
      </c>
      <c r="D103" s="882">
        <f>1.4198/D101</f>
        <v>0.462475570032573</v>
      </c>
      <c r="E103" s="882">
        <f>1.3372/E101</f>
        <v>0.43557003257329002</v>
      </c>
      <c r="F103" s="882">
        <f>1.3372/F101</f>
        <v>0.43557003257329002</v>
      </c>
      <c r="G103" s="882">
        <f>1.3372/G101</f>
        <v>0.43557003257329002</v>
      </c>
      <c r="H103" s="882">
        <f>1.3372/H101</f>
        <v>0.43557003257329002</v>
      </c>
      <c r="I103" s="882">
        <f>1.3372/I101</f>
        <v>0.43557003257329002</v>
      </c>
      <c r="J103" s="882">
        <f>1.2799/J101</f>
        <v>0.41690553745928299</v>
      </c>
      <c r="K103" s="882">
        <f>1.2799/K101</f>
        <v>0.41690553745928299</v>
      </c>
      <c r="L103" s="882">
        <f>1.2799/L101</f>
        <v>0.41690553745928299</v>
      </c>
      <c r="M103" s="882">
        <f>1.2799/M101</f>
        <v>0.41690553745928299</v>
      </c>
      <c r="N103" s="882">
        <f>1.2799/N101</f>
        <v>0.41690553745928299</v>
      </c>
    </row>
    <row r="104" spans="1:14">
      <c r="A104" s="3532"/>
      <c r="B104" s="881">
        <v>3</v>
      </c>
      <c r="C104" s="882">
        <f>1.1594/C101</f>
        <v>0.37765472312703602</v>
      </c>
      <c r="D104" s="882">
        <f>1.1594/D101</f>
        <v>0.37765472312703602</v>
      </c>
      <c r="E104" s="882">
        <f>1.0788/E101</f>
        <v>0.35140065146579802</v>
      </c>
      <c r="F104" s="882">
        <f>1.0788/F101</f>
        <v>0.35140065146579802</v>
      </c>
      <c r="G104" s="882">
        <f>1.0788/G101</f>
        <v>0.35140065146579802</v>
      </c>
      <c r="H104" s="882">
        <f>1.0788/H101</f>
        <v>0.35140065146579802</v>
      </c>
      <c r="I104" s="882">
        <f>1.0788/I101</f>
        <v>0.35140065146579802</v>
      </c>
      <c r="J104" s="882">
        <f>1.0072/J101</f>
        <v>0.32807817589576599</v>
      </c>
      <c r="K104" s="882">
        <f>1.0072/K101</f>
        <v>0.32807817589576599</v>
      </c>
      <c r="L104" s="882">
        <f>1.0072/L101</f>
        <v>0.32807817589576599</v>
      </c>
      <c r="M104" s="882">
        <f>1.0072/M101</f>
        <v>0.32807817589576599</v>
      </c>
      <c r="N104" s="882">
        <f>1.0072/N101</f>
        <v>0.32807817589576599</v>
      </c>
    </row>
    <row r="105" spans="1:14">
      <c r="A105" s="3532"/>
      <c r="B105" s="881">
        <v>4</v>
      </c>
      <c r="C105" s="882">
        <f>0.9622/C101</f>
        <v>0.31342019543973898</v>
      </c>
      <c r="D105" s="882">
        <f>0.9622/D101</f>
        <v>0.31342019543973898</v>
      </c>
      <c r="E105" s="882">
        <f>0.8656/E101</f>
        <v>0.28195439739413702</v>
      </c>
      <c r="F105" s="882">
        <f>0.8656/F101</f>
        <v>0.28195439739413702</v>
      </c>
      <c r="G105" s="882">
        <f>0.8656/G101</f>
        <v>0.28195439739413702</v>
      </c>
      <c r="H105" s="882">
        <f>0.8656/H101</f>
        <v>0.28195439739413702</v>
      </c>
      <c r="I105" s="882">
        <f>0.8656/I101</f>
        <v>0.28195439739413702</v>
      </c>
      <c r="J105" s="882">
        <f>0.7525/J101</f>
        <v>0.24511400651465801</v>
      </c>
      <c r="K105" s="882">
        <f>0.7525/K101</f>
        <v>0.24511400651465801</v>
      </c>
      <c r="L105" s="882">
        <f>0.7525/L101</f>
        <v>0.24511400651465801</v>
      </c>
      <c r="M105" s="882">
        <f>0.7525/M101</f>
        <v>0.24511400651465801</v>
      </c>
      <c r="N105" s="882">
        <f>0.7525/N101</f>
        <v>0.24511400651465801</v>
      </c>
    </row>
    <row r="106" spans="1:14">
      <c r="A106" s="3532"/>
      <c r="B106" s="881">
        <v>5</v>
      </c>
      <c r="C106" s="882">
        <f>0.8417/C101</f>
        <v>0.27416938110749201</v>
      </c>
      <c r="D106" s="882">
        <f>0.8417/D101</f>
        <v>0.27416938110749201</v>
      </c>
      <c r="E106" s="882">
        <f>0.7371/E101</f>
        <v>0.24009771986970699</v>
      </c>
      <c r="F106" s="882">
        <f>0.7371/F101</f>
        <v>0.24009771986970699</v>
      </c>
      <c r="G106" s="882">
        <f>0.7371/G101</f>
        <v>0.24009771986970699</v>
      </c>
      <c r="H106" s="882">
        <f>0.7371/H101</f>
        <v>0.24009771986970699</v>
      </c>
      <c r="I106" s="882">
        <f>0.7371/I101</f>
        <v>0.24009771986970699</v>
      </c>
      <c r="J106" s="882">
        <f>0.5659/J101</f>
        <v>0.184332247557003</v>
      </c>
      <c r="K106" s="882">
        <f>0.5659/K101</f>
        <v>0.184332247557003</v>
      </c>
      <c r="L106" s="882">
        <f>0.5659/L101</f>
        <v>0.184332247557003</v>
      </c>
      <c r="M106" s="882">
        <f>0.5659/M101</f>
        <v>0.184332247557003</v>
      </c>
      <c r="N106" s="882">
        <f>0.5659/N101</f>
        <v>0.184332247557003</v>
      </c>
    </row>
    <row r="107" spans="1:14">
      <c r="A107" s="3532"/>
      <c r="B107" s="881">
        <v>6</v>
      </c>
      <c r="C107" s="882">
        <f>0.7608/C101</f>
        <v>0.24781758957654701</v>
      </c>
      <c r="D107" s="882">
        <f>0.7608/D101</f>
        <v>0.24781758957654701</v>
      </c>
      <c r="E107" s="882">
        <f>0.6482/E101</f>
        <v>0.21114006514658001</v>
      </c>
      <c r="F107" s="882">
        <f>0.6482/F101</f>
        <v>0.21114006514658001</v>
      </c>
      <c r="G107" s="882">
        <f>0.6482/G101</f>
        <v>0.21114006514658001</v>
      </c>
      <c r="H107" s="882">
        <f>0.6482/H101</f>
        <v>0.21114006514658001</v>
      </c>
      <c r="I107" s="882">
        <f>0.6482/I101</f>
        <v>0.21114006514658001</v>
      </c>
      <c r="J107" s="882">
        <f>0.4525/J101</f>
        <v>0.14739413680781799</v>
      </c>
      <c r="K107" s="882">
        <f>0.4525/K101</f>
        <v>0.14739413680781799</v>
      </c>
      <c r="L107" s="882">
        <f>0.4525/L101</f>
        <v>0.14739413680781799</v>
      </c>
      <c r="M107" s="882">
        <f>0.4525/M101</f>
        <v>0.14739413680781799</v>
      </c>
      <c r="N107" s="882">
        <f>0.4525/N101</f>
        <v>0.14739413680781799</v>
      </c>
    </row>
    <row r="108" spans="1:14">
      <c r="A108" s="3532"/>
      <c r="B108" s="3534" t="s">
        <v>1651</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33"/>
      <c r="B109" s="3535"/>
      <c r="C109" s="884">
        <f>(-0.163*(C108^2)-0.59*C108+7617)*(10^(-4))/C101</f>
        <v>0.248110749185668</v>
      </c>
      <c r="D109" s="884">
        <f>(-0.163*(D108^2)-0.59*D108+7617)*(10^(-4))/D101</f>
        <v>0.248110749185668</v>
      </c>
      <c r="E109" s="884">
        <f>(-0.161*(E108^2)-7.509*E108+6533)*(10^(-4))/E101</f>
        <v>0.21280130293159599</v>
      </c>
      <c r="F109" s="884">
        <f>(-0.161*(F108^2)-7.509*F108+6533)*(10^(-4))/F101</f>
        <v>0.21280130293159599</v>
      </c>
      <c r="G109" s="884">
        <f>(-0.161*(G108^2)-7.509*G108+6533)*(10^(-4))/G101</f>
        <v>0.21280130293159599</v>
      </c>
      <c r="H109" s="884">
        <f>(-0.161*(H108^2)-7.509*H108+6533)*(10^(-4))/H101</f>
        <v>0.21280130293159599</v>
      </c>
      <c r="I109" s="884">
        <f>(-0.161*(I108^2)-7.509*I108+6533)*(10^(-4))/I101</f>
        <v>0.21280130293159599</v>
      </c>
      <c r="J109" s="884">
        <f>(-0.214*(J108^2)-21.991*J108+4665)*(10^(-4))/J101</f>
        <v>0.15195439739413699</v>
      </c>
      <c r="K109" s="884">
        <f>(-0.214*(K108^2)-21.991*K108+4665)*(10^(-4))/K101</f>
        <v>0.15195439739413699</v>
      </c>
      <c r="L109" s="884">
        <f>(-0.214*(L108^2)-21.991*L108+4665)*(10^(-4))/L101</f>
        <v>0.15195439739413699</v>
      </c>
      <c r="M109" s="884">
        <f>(-0.214*(M108^2)-21.991*M108+4665)*(10^(-4))/M101</f>
        <v>0.15195439739413699</v>
      </c>
      <c r="N109" s="884">
        <f>(-0.214*(N108^2)-21.991*N108+4665)*(10^(-4))/N101</f>
        <v>0.15195439739413699</v>
      </c>
    </row>
    <row r="110" spans="1:14">
      <c r="A110" s="3521" t="s">
        <v>1761</v>
      </c>
      <c r="B110" s="3521"/>
      <c r="C110" s="3521"/>
      <c r="D110" s="3521"/>
      <c r="E110" s="3521"/>
      <c r="F110" s="3521"/>
      <c r="G110" s="3521"/>
      <c r="H110" s="3521"/>
      <c r="I110" s="3521"/>
      <c r="J110" s="3521"/>
      <c r="K110" s="887"/>
      <c r="L110" s="887"/>
      <c r="M110" s="887"/>
      <c r="N110" s="887"/>
    </row>
    <row r="113" spans="1:13" ht="24.75">
      <c r="A113" s="888" t="s">
        <v>1762</v>
      </c>
      <c r="B113" s="889">
        <f>G3</f>
        <v>3.07</v>
      </c>
      <c r="C113" s="890" t="s">
        <v>1763</v>
      </c>
      <c r="D113" s="891">
        <f>SUMPRODUCT((A115:A118=F113)*(B114:M114=H113)*B115:M118)</f>
        <v>0</v>
      </c>
      <c r="E113" s="707" t="s">
        <v>1596</v>
      </c>
      <c r="F113" s="900">
        <f>E2</f>
        <v>0</v>
      </c>
      <c r="G113" s="707" t="s">
        <v>1597</v>
      </c>
      <c r="H113" s="900">
        <f>G2</f>
        <v>0</v>
      </c>
      <c r="I113" s="707"/>
      <c r="J113" s="905"/>
      <c r="K113" s="905"/>
      <c r="L113" s="905"/>
      <c r="M113" s="905"/>
    </row>
    <row r="114" spans="1:13">
      <c r="A114" s="892"/>
      <c r="B114" s="893" t="s">
        <v>1764</v>
      </c>
      <c r="C114" s="893" t="s">
        <v>1765</v>
      </c>
      <c r="D114" s="893" t="s">
        <v>1766</v>
      </c>
      <c r="E114" s="901" t="s">
        <v>1767</v>
      </c>
      <c r="F114" s="901" t="s">
        <v>1768</v>
      </c>
      <c r="G114" s="901" t="s">
        <v>1769</v>
      </c>
      <c r="H114" s="902" t="s">
        <v>1770</v>
      </c>
      <c r="I114" s="902" t="s">
        <v>1771</v>
      </c>
      <c r="J114" s="906" t="s">
        <v>1772</v>
      </c>
      <c r="K114" s="906" t="s">
        <v>1773</v>
      </c>
      <c r="L114" s="906" t="s">
        <v>1774</v>
      </c>
      <c r="M114" s="907" t="s">
        <v>1775</v>
      </c>
    </row>
    <row r="115" spans="1:13">
      <c r="A115" s="894" t="s">
        <v>1695</v>
      </c>
      <c r="B115" s="895">
        <f>ROUND(0.9335-0.0094*B113,4)</f>
        <v>0.90459999999999996</v>
      </c>
      <c r="C115" s="895">
        <f>B115</f>
        <v>0.90459999999999996</v>
      </c>
      <c r="D115" s="895">
        <f>ROUND(0.8331-0.0109*B113,4)</f>
        <v>0.79959999999999998</v>
      </c>
      <c r="E115" s="895">
        <f>D115</f>
        <v>0.79959999999999998</v>
      </c>
      <c r="F115" s="895">
        <f>E115</f>
        <v>0.79959999999999998</v>
      </c>
      <c r="G115" s="895">
        <f>F115</f>
        <v>0.79959999999999998</v>
      </c>
      <c r="H115" s="895">
        <f>G115</f>
        <v>0.79959999999999998</v>
      </c>
      <c r="I115" s="895">
        <f>ROUND(0.689-0.0155*B113,4)</f>
        <v>0.64139999999999997</v>
      </c>
      <c r="J115" s="895">
        <f t="shared" ref="J115:M118" si="33">I115</f>
        <v>0.64139999999999997</v>
      </c>
      <c r="K115" s="895">
        <f t="shared" si="33"/>
        <v>0.64139999999999997</v>
      </c>
      <c r="L115" s="895">
        <f t="shared" si="33"/>
        <v>0.64139999999999997</v>
      </c>
      <c r="M115" s="908">
        <f t="shared" si="33"/>
        <v>0.64139999999999997</v>
      </c>
    </row>
    <row r="116" spans="1:13">
      <c r="A116" s="894" t="s">
        <v>1696</v>
      </c>
      <c r="B116" s="895">
        <f>ROUND(0.949-0.012*B113,4)</f>
        <v>0.91220000000000001</v>
      </c>
      <c r="C116" s="895">
        <f>B116</f>
        <v>0.91220000000000001</v>
      </c>
      <c r="D116" s="895">
        <f>ROUND(0.8567-0.013*B113,4)</f>
        <v>0.81679999999999997</v>
      </c>
      <c r="E116" s="895">
        <f t="shared" ref="E116:H117" si="34">D116</f>
        <v>0.81679999999999997</v>
      </c>
      <c r="F116" s="895">
        <f t="shared" si="34"/>
        <v>0.81679999999999997</v>
      </c>
      <c r="G116" s="895">
        <f t="shared" si="34"/>
        <v>0.81679999999999997</v>
      </c>
      <c r="H116" s="895">
        <f t="shared" si="34"/>
        <v>0.81679999999999997</v>
      </c>
      <c r="I116" s="895">
        <f>ROUND(0.7694-0.014*B113,4)</f>
        <v>0.72640000000000005</v>
      </c>
      <c r="J116" s="895">
        <f t="shared" si="33"/>
        <v>0.72640000000000005</v>
      </c>
      <c r="K116" s="895">
        <f t="shared" si="33"/>
        <v>0.72640000000000005</v>
      </c>
      <c r="L116" s="895">
        <f t="shared" si="33"/>
        <v>0.72640000000000005</v>
      </c>
      <c r="M116" s="908">
        <f t="shared" si="33"/>
        <v>0.72640000000000005</v>
      </c>
    </row>
    <row r="117" spans="1:13">
      <c r="A117" s="894" t="s">
        <v>1697</v>
      </c>
      <c r="B117" s="895">
        <f>ROUND(0.8808-0.006*B113,4)</f>
        <v>0.86240000000000006</v>
      </c>
      <c r="C117" s="895">
        <f>B117</f>
        <v>0.86240000000000006</v>
      </c>
      <c r="D117" s="895">
        <f>ROUND(0.8748-0.008*B113,4)</f>
        <v>0.85019999999999996</v>
      </c>
      <c r="E117" s="895">
        <f t="shared" si="34"/>
        <v>0.85019999999999996</v>
      </c>
      <c r="F117" s="895">
        <f t="shared" si="34"/>
        <v>0.85019999999999996</v>
      </c>
      <c r="G117" s="895">
        <f t="shared" si="34"/>
        <v>0.85019999999999996</v>
      </c>
      <c r="H117" s="895">
        <f t="shared" si="34"/>
        <v>0.85019999999999996</v>
      </c>
      <c r="I117" s="895">
        <f>ROUND(0.7412-0.0095*B113,4)</f>
        <v>0.71199999999999997</v>
      </c>
      <c r="J117" s="895">
        <f t="shared" si="33"/>
        <v>0.71199999999999997</v>
      </c>
      <c r="K117" s="895">
        <f t="shared" si="33"/>
        <v>0.71199999999999997</v>
      </c>
      <c r="L117" s="895">
        <f t="shared" si="33"/>
        <v>0.71199999999999997</v>
      </c>
      <c r="M117" s="908">
        <f t="shared" si="33"/>
        <v>0.71199999999999997</v>
      </c>
    </row>
    <row r="118" spans="1:13">
      <c r="A118" s="896" t="s">
        <v>1698</v>
      </c>
      <c r="B118" s="897">
        <f>ROUND(0.7275-0.01*B113,4)</f>
        <v>0.69679999999999997</v>
      </c>
      <c r="C118" s="897">
        <f>B118</f>
        <v>0.69679999999999997</v>
      </c>
      <c r="D118" s="897">
        <f>ROUND(0.7043-0.012*B113,4)</f>
        <v>0.66749999999999998</v>
      </c>
      <c r="E118" s="897">
        <f>D118</f>
        <v>0.66749999999999998</v>
      </c>
      <c r="F118" s="897">
        <f>E118</f>
        <v>0.66749999999999998</v>
      </c>
      <c r="G118" s="897">
        <f>ROUND(0.6299-0.0122*B113,4)</f>
        <v>0.59240000000000004</v>
      </c>
      <c r="H118" s="897">
        <f>G118</f>
        <v>0.59240000000000004</v>
      </c>
      <c r="I118" s="897">
        <f>ROUND(0.5667-0.0136*B113,4)</f>
        <v>0.52490000000000003</v>
      </c>
      <c r="J118" s="897">
        <f t="shared" si="33"/>
        <v>0.52490000000000003</v>
      </c>
      <c r="K118" s="897">
        <f t="shared" si="33"/>
        <v>0.52490000000000003</v>
      </c>
      <c r="L118" s="897">
        <f t="shared" si="33"/>
        <v>0.52490000000000003</v>
      </c>
      <c r="M118" s="909">
        <f t="shared" si="33"/>
        <v>0.52490000000000003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5"/>
    <col min="2" max="9" width="14.375" style="524"/>
    <col min="10" max="16384" width="14.37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463</v>
      </c>
      <c r="B2" s="528">
        <v>3.5</v>
      </c>
      <c r="C2" s="528">
        <v>3.5</v>
      </c>
      <c r="D2" s="529">
        <v>2.5</v>
      </c>
      <c r="E2" s="529">
        <v>2.5</v>
      </c>
      <c r="F2" s="529">
        <v>2.5</v>
      </c>
      <c r="G2" s="529">
        <v>2.5</v>
      </c>
      <c r="H2" s="529">
        <v>2.5</v>
      </c>
      <c r="I2" s="528">
        <v>2</v>
      </c>
      <c r="J2" s="528">
        <v>2</v>
      </c>
      <c r="K2" s="528">
        <v>2</v>
      </c>
      <c r="L2" s="528">
        <v>2</v>
      </c>
      <c r="M2" s="579">
        <v>2</v>
      </c>
    </row>
    <row r="3" spans="1:13" ht="19.5" customHeight="1">
      <c r="A3" s="530" t="s">
        <v>1776</v>
      </c>
      <c r="B3" s="531">
        <v>3.5</v>
      </c>
      <c r="C3" s="531">
        <v>3.5</v>
      </c>
      <c r="D3" s="532">
        <v>2.5</v>
      </c>
      <c r="E3" s="532">
        <v>2.5</v>
      </c>
      <c r="F3" s="532">
        <v>2.5</v>
      </c>
      <c r="G3" s="532">
        <v>2.5</v>
      </c>
      <c r="H3" s="532">
        <v>2.5</v>
      </c>
      <c r="I3" s="531">
        <v>2</v>
      </c>
      <c r="J3" s="531">
        <v>2</v>
      </c>
      <c r="K3" s="531">
        <v>2</v>
      </c>
      <c r="L3" s="531">
        <v>2</v>
      </c>
      <c r="M3" s="580">
        <v>2</v>
      </c>
    </row>
    <row r="4" spans="1:13" ht="19.5" customHeight="1">
      <c r="A4" s="530" t="s">
        <v>1777</v>
      </c>
      <c r="B4" s="532">
        <v>2.5</v>
      </c>
      <c r="C4" s="532">
        <v>2.5</v>
      </c>
      <c r="D4" s="532">
        <v>2.5</v>
      </c>
      <c r="E4" s="532">
        <v>2.5</v>
      </c>
      <c r="F4" s="532">
        <v>2.5</v>
      </c>
      <c r="G4" s="532">
        <v>2.5</v>
      </c>
      <c r="H4" s="532">
        <v>2.5</v>
      </c>
      <c r="I4" s="531">
        <v>1.5</v>
      </c>
      <c r="J4" s="531">
        <v>1.5</v>
      </c>
      <c r="K4" s="531">
        <v>1.5</v>
      </c>
      <c r="L4" s="531">
        <v>1.5</v>
      </c>
      <c r="M4" s="580">
        <v>1.5</v>
      </c>
    </row>
    <row r="5" spans="1:13" ht="19.5" customHeight="1">
      <c r="A5" s="533" t="s">
        <v>1778</v>
      </c>
      <c r="B5" s="531">
        <v>1.5</v>
      </c>
      <c r="C5" s="531">
        <v>1.5</v>
      </c>
      <c r="D5" s="531">
        <v>1.5</v>
      </c>
      <c r="E5" s="531">
        <v>1.5</v>
      </c>
      <c r="F5" s="531">
        <v>1.5</v>
      </c>
      <c r="G5" s="531">
        <v>1.2</v>
      </c>
      <c r="H5" s="531">
        <v>1.2</v>
      </c>
      <c r="I5" s="531">
        <v>1</v>
      </c>
      <c r="J5" s="531">
        <v>1</v>
      </c>
      <c r="K5" s="531">
        <v>1</v>
      </c>
      <c r="L5" s="531">
        <v>1</v>
      </c>
      <c r="M5" s="580">
        <v>1</v>
      </c>
    </row>
    <row r="6" spans="1:13" ht="19.5" customHeight="1">
      <c r="A6" s="534" t="s">
        <v>1779</v>
      </c>
      <c r="B6" s="535">
        <v>2.5</v>
      </c>
      <c r="C6" s="535">
        <v>2.5</v>
      </c>
      <c r="D6" s="535">
        <v>2</v>
      </c>
      <c r="E6" s="535">
        <v>2</v>
      </c>
      <c r="F6" s="535">
        <v>2</v>
      </c>
      <c r="G6" s="535">
        <v>2</v>
      </c>
      <c r="H6" s="535">
        <v>2</v>
      </c>
      <c r="I6" s="577">
        <v>1.5</v>
      </c>
      <c r="J6" s="577">
        <v>1.5</v>
      </c>
      <c r="K6" s="577">
        <v>1.5</v>
      </c>
      <c r="L6" s="577">
        <v>1.5</v>
      </c>
      <c r="M6" s="581">
        <v>1.5</v>
      </c>
    </row>
    <row r="7" spans="1:13" ht="19.5" customHeight="1">
      <c r="A7" s="536" t="s">
        <v>1780</v>
      </c>
      <c r="B7" s="537">
        <v>2.5</v>
      </c>
      <c r="C7" s="537">
        <v>2.5</v>
      </c>
      <c r="D7" s="537">
        <v>2</v>
      </c>
      <c r="E7" s="537">
        <v>2</v>
      </c>
      <c r="F7" s="537">
        <v>2</v>
      </c>
      <c r="G7" s="537">
        <v>2</v>
      </c>
      <c r="H7" s="537">
        <v>2</v>
      </c>
      <c r="I7" s="578">
        <v>1.5</v>
      </c>
      <c r="J7" s="578">
        <v>1.5</v>
      </c>
      <c r="K7" s="578">
        <v>1.5</v>
      </c>
      <c r="L7" s="578">
        <v>1.5</v>
      </c>
      <c r="M7" s="582">
        <v>1.5</v>
      </c>
    </row>
    <row r="8" spans="1:13" ht="19.5" customHeight="1">
      <c r="A8" s="538" t="s">
        <v>396</v>
      </c>
      <c r="B8" s="539">
        <v>80</v>
      </c>
      <c r="C8" s="539">
        <v>80</v>
      </c>
      <c r="D8" s="539">
        <v>70</v>
      </c>
      <c r="E8" s="539">
        <v>70</v>
      </c>
      <c r="F8" s="539">
        <v>70</v>
      </c>
      <c r="G8" s="539">
        <v>70</v>
      </c>
      <c r="H8" s="539">
        <v>70</v>
      </c>
      <c r="I8" s="539">
        <v>60</v>
      </c>
      <c r="J8" s="539">
        <v>60</v>
      </c>
      <c r="K8" s="539">
        <v>60</v>
      </c>
      <c r="L8" s="539">
        <v>60</v>
      </c>
      <c r="M8" s="583">
        <v>60</v>
      </c>
    </row>
    <row r="9" spans="1:13" ht="19.5" customHeight="1">
      <c r="A9" s="540" t="s">
        <v>397</v>
      </c>
      <c r="B9" s="541">
        <v>70</v>
      </c>
      <c r="C9" s="541">
        <v>70</v>
      </c>
      <c r="D9" s="541">
        <v>60</v>
      </c>
      <c r="E9" s="541">
        <v>60</v>
      </c>
      <c r="F9" s="541">
        <v>60</v>
      </c>
      <c r="G9" s="541">
        <v>60</v>
      </c>
      <c r="H9" s="541">
        <v>60</v>
      </c>
      <c r="I9" s="541">
        <v>50</v>
      </c>
      <c r="J9" s="541">
        <v>50</v>
      </c>
      <c r="K9" s="541">
        <v>50</v>
      </c>
      <c r="L9" s="541">
        <v>50</v>
      </c>
      <c r="M9" s="584">
        <v>50</v>
      </c>
    </row>
    <row r="10" spans="1:13" ht="19.5" customHeight="1">
      <c r="A10" s="540" t="s">
        <v>398</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399</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400</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401</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402</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1781</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1782</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1783</v>
      </c>
      <c r="B18" s="546"/>
      <c r="C18" s="547"/>
      <c r="D18" s="547"/>
      <c r="E18" s="546"/>
      <c r="F18" s="547"/>
      <c r="G18" s="547"/>
    </row>
    <row r="19" spans="1:13" ht="19.5" customHeight="1">
      <c r="A19" s="543" t="s">
        <v>1784</v>
      </c>
      <c r="B19" s="548" t="s">
        <v>1785</v>
      </c>
      <c r="C19" s="549" t="s">
        <v>1786</v>
      </c>
      <c r="D19" s="550"/>
      <c r="E19" s="541" t="s">
        <v>1787</v>
      </c>
      <c r="F19" s="568"/>
      <c r="G19" s="568"/>
    </row>
    <row r="20" spans="1:13" s="523" customFormat="1" ht="19.5" customHeight="1">
      <c r="A20" s="3537" t="s">
        <v>463</v>
      </c>
      <c r="B20" s="3543" t="s">
        <v>1788</v>
      </c>
      <c r="C20" s="551" t="s">
        <v>1789</v>
      </c>
      <c r="D20" s="552"/>
      <c r="E20" s="569">
        <v>1</v>
      </c>
      <c r="F20" s="570" t="s">
        <v>1790</v>
      </c>
      <c r="G20" s="571"/>
      <c r="H20" s="524"/>
      <c r="I20" s="524"/>
    </row>
    <row r="21" spans="1:13" s="523" customFormat="1" ht="19.5" customHeight="1">
      <c r="A21" s="3538"/>
      <c r="B21" s="3544"/>
      <c r="C21" s="553" t="s">
        <v>1791</v>
      </c>
      <c r="D21" s="554"/>
      <c r="E21" s="572">
        <v>1</v>
      </c>
      <c r="F21" s="570" t="s">
        <v>1792</v>
      </c>
      <c r="G21" s="571"/>
      <c r="H21" s="524"/>
      <c r="I21" s="524"/>
    </row>
    <row r="22" spans="1:13" s="523" customFormat="1" ht="19.5" customHeight="1">
      <c r="A22" s="3538"/>
      <c r="B22" s="3544"/>
      <c r="C22" s="553" t="s">
        <v>1793</v>
      </c>
      <c r="D22" s="554"/>
      <c r="E22" s="572">
        <v>0.9</v>
      </c>
      <c r="F22" s="570" t="s">
        <v>1794</v>
      </c>
      <c r="G22" s="571"/>
      <c r="H22" s="524"/>
      <c r="I22" s="524"/>
    </row>
    <row r="23" spans="1:13" s="523" customFormat="1" ht="19.5" customHeight="1">
      <c r="A23" s="3538"/>
      <c r="B23" s="3544"/>
      <c r="C23" s="553" t="s">
        <v>1795</v>
      </c>
      <c r="D23" s="554"/>
      <c r="E23" s="572">
        <v>0.9</v>
      </c>
      <c r="F23" s="570" t="s">
        <v>1796</v>
      </c>
      <c r="G23" s="571"/>
      <c r="H23" s="524"/>
      <c r="I23" s="524"/>
    </row>
    <row r="24" spans="1:13" s="523" customFormat="1" ht="19.5" customHeight="1">
      <c r="A24" s="3538"/>
      <c r="B24" s="3544"/>
      <c r="C24" s="553" t="s">
        <v>1797</v>
      </c>
      <c r="D24" s="554"/>
      <c r="E24" s="572">
        <v>0.8</v>
      </c>
      <c r="F24" s="570" t="s">
        <v>1798</v>
      </c>
      <c r="G24" s="571"/>
      <c r="H24" s="524"/>
      <c r="I24" s="524"/>
    </row>
    <row r="25" spans="1:13" s="523" customFormat="1" ht="19.5" customHeight="1">
      <c r="A25" s="3539"/>
      <c r="B25" s="3545"/>
      <c r="C25" s="555" t="s">
        <v>1799</v>
      </c>
      <c r="D25" s="556"/>
      <c r="E25" s="573">
        <v>0.8</v>
      </c>
      <c r="F25" s="570" t="s">
        <v>1800</v>
      </c>
      <c r="G25" s="571"/>
      <c r="H25" s="524"/>
      <c r="I25" s="524"/>
    </row>
    <row r="26" spans="1:13" s="523" customFormat="1" ht="19.5" customHeight="1">
      <c r="A26" s="557" t="s">
        <v>1776</v>
      </c>
      <c r="B26" s="558" t="s">
        <v>1788</v>
      </c>
      <c r="C26" s="559" t="s">
        <v>1801</v>
      </c>
      <c r="D26" s="560"/>
      <c r="E26" s="574">
        <v>1</v>
      </c>
      <c r="F26" s="570" t="s">
        <v>1802</v>
      </c>
      <c r="G26" s="571"/>
      <c r="H26" s="524"/>
      <c r="I26" s="524"/>
    </row>
    <row r="27" spans="1:13" s="523" customFormat="1" ht="19.5" customHeight="1">
      <c r="A27" s="3540" t="s">
        <v>1780</v>
      </c>
      <c r="B27" s="3543" t="s">
        <v>1780</v>
      </c>
      <c r="C27" s="551" t="s">
        <v>1803</v>
      </c>
      <c r="D27" s="552"/>
      <c r="E27" s="569">
        <v>1</v>
      </c>
      <c r="F27" s="570" t="s">
        <v>1804</v>
      </c>
      <c r="G27" s="571"/>
      <c r="H27" s="524"/>
      <c r="I27" s="524"/>
    </row>
    <row r="28" spans="1:13" s="523" customFormat="1" ht="19.5" customHeight="1">
      <c r="A28" s="3541"/>
      <c r="B28" s="3544"/>
      <c r="C28" s="553" t="s">
        <v>1805</v>
      </c>
      <c r="D28" s="554"/>
      <c r="E28" s="572">
        <v>1</v>
      </c>
      <c r="F28" s="570" t="s">
        <v>1806</v>
      </c>
      <c r="G28" s="571"/>
      <c r="H28" s="524"/>
      <c r="I28" s="524"/>
    </row>
    <row r="29" spans="1:13" s="523" customFormat="1" ht="19.5" customHeight="1">
      <c r="A29" s="3541"/>
      <c r="B29" s="3544"/>
      <c r="C29" s="553" t="s">
        <v>1807</v>
      </c>
      <c r="D29" s="554"/>
      <c r="E29" s="572">
        <v>0.8</v>
      </c>
      <c r="F29" s="570" t="s">
        <v>1808</v>
      </c>
      <c r="G29" s="571"/>
      <c r="H29" s="524"/>
      <c r="I29" s="524"/>
    </row>
    <row r="30" spans="1:13" s="523" customFormat="1" ht="19.5" customHeight="1">
      <c r="A30" s="3541"/>
      <c r="B30" s="3544"/>
      <c r="C30" s="553" t="s">
        <v>1809</v>
      </c>
      <c r="D30" s="554"/>
      <c r="E30" s="572">
        <v>0.8</v>
      </c>
      <c r="F30" s="570" t="s">
        <v>1810</v>
      </c>
      <c r="G30" s="571"/>
      <c r="H30" s="524"/>
      <c r="I30" s="524"/>
    </row>
    <row r="31" spans="1:13" s="523" customFormat="1" ht="19.5" customHeight="1">
      <c r="A31" s="3541"/>
      <c r="B31" s="3544"/>
      <c r="C31" s="553" t="s">
        <v>1811</v>
      </c>
      <c r="D31" s="554"/>
      <c r="E31" s="572">
        <v>0.8</v>
      </c>
      <c r="F31" s="570" t="s">
        <v>1812</v>
      </c>
      <c r="G31" s="571"/>
      <c r="H31" s="524"/>
      <c r="I31" s="524"/>
    </row>
    <row r="32" spans="1:13" s="523" customFormat="1" ht="19.5" customHeight="1">
      <c r="A32" s="3541"/>
      <c r="B32" s="3544"/>
      <c r="C32" s="553" t="s">
        <v>1813</v>
      </c>
      <c r="D32" s="554"/>
      <c r="E32" s="572">
        <v>0.7</v>
      </c>
      <c r="F32" s="570" t="s">
        <v>1814</v>
      </c>
      <c r="G32" s="571"/>
      <c r="H32" s="524"/>
      <c r="I32" s="524"/>
    </row>
    <row r="33" spans="1:9" s="523" customFormat="1" ht="19.5" customHeight="1">
      <c r="A33" s="3541"/>
      <c r="B33" s="3544"/>
      <c r="C33" s="553" t="s">
        <v>1815</v>
      </c>
      <c r="D33" s="554"/>
      <c r="E33" s="572">
        <v>0.8</v>
      </c>
      <c r="F33" s="570" t="s">
        <v>1816</v>
      </c>
      <c r="G33" s="571"/>
      <c r="H33" s="524"/>
      <c r="I33" s="524"/>
    </row>
    <row r="34" spans="1:9" s="523" customFormat="1" ht="19.5" customHeight="1">
      <c r="A34" s="3541"/>
      <c r="B34" s="3544"/>
      <c r="C34" s="553" t="s">
        <v>1817</v>
      </c>
      <c r="D34" s="554"/>
      <c r="E34" s="572">
        <v>0.6</v>
      </c>
      <c r="F34" s="570" t="s">
        <v>1818</v>
      </c>
      <c r="G34" s="571"/>
      <c r="H34" s="524"/>
      <c r="I34" s="524"/>
    </row>
    <row r="35" spans="1:9" s="523" customFormat="1" ht="19.5" customHeight="1">
      <c r="A35" s="3541"/>
      <c r="B35" s="3544"/>
      <c r="C35" s="553" t="s">
        <v>1819</v>
      </c>
      <c r="D35" s="554"/>
      <c r="E35" s="572">
        <v>0.2</v>
      </c>
      <c r="F35" s="570" t="s">
        <v>1820</v>
      </c>
      <c r="G35" s="571"/>
      <c r="H35" s="524"/>
      <c r="I35" s="524"/>
    </row>
    <row r="36" spans="1:9" s="523" customFormat="1" ht="19.5" customHeight="1">
      <c r="A36" s="3541"/>
      <c r="B36" s="3544"/>
      <c r="C36" s="553" t="s">
        <v>1821</v>
      </c>
      <c r="D36" s="554"/>
      <c r="E36" s="572">
        <v>0.2</v>
      </c>
      <c r="F36" s="570" t="s">
        <v>1822</v>
      </c>
      <c r="G36" s="571"/>
      <c r="H36" s="524"/>
      <c r="I36" s="524"/>
    </row>
    <row r="37" spans="1:9" s="523" customFormat="1" ht="19.5" customHeight="1">
      <c r="A37" s="3541"/>
      <c r="B37" s="3546" t="s">
        <v>1823</v>
      </c>
      <c r="C37" s="553" t="s">
        <v>1824</v>
      </c>
      <c r="D37" s="554"/>
      <c r="E37" s="572">
        <v>0.6</v>
      </c>
      <c r="F37" s="570" t="s">
        <v>1825</v>
      </c>
      <c r="G37" s="571"/>
      <c r="H37" s="524"/>
      <c r="I37" s="524"/>
    </row>
    <row r="38" spans="1:9" s="523" customFormat="1" ht="19.5" customHeight="1">
      <c r="A38" s="3541"/>
      <c r="B38" s="3544"/>
      <c r="C38" s="553" t="s">
        <v>1826</v>
      </c>
      <c r="D38" s="554"/>
      <c r="E38" s="572">
        <v>0.6</v>
      </c>
      <c r="F38" s="570" t="s">
        <v>1827</v>
      </c>
      <c r="G38" s="571"/>
      <c r="H38" s="524"/>
      <c r="I38" s="524"/>
    </row>
    <row r="39" spans="1:9" s="523" customFormat="1" ht="19.5" customHeight="1">
      <c r="A39" s="3542"/>
      <c r="B39" s="3545"/>
      <c r="C39" s="555" t="s">
        <v>1828</v>
      </c>
      <c r="D39" s="556"/>
      <c r="E39" s="573">
        <v>0.6</v>
      </c>
      <c r="F39" s="570" t="s">
        <v>1829</v>
      </c>
      <c r="G39" s="571"/>
      <c r="H39" s="524"/>
      <c r="I39" s="524"/>
    </row>
    <row r="40" spans="1:9" s="523" customFormat="1" ht="19.5" customHeight="1">
      <c r="A40" s="557" t="s">
        <v>1777</v>
      </c>
      <c r="B40" s="558" t="s">
        <v>1777</v>
      </c>
      <c r="C40" s="559" t="s">
        <v>1830</v>
      </c>
      <c r="D40" s="560"/>
      <c r="E40" s="574">
        <v>1</v>
      </c>
      <c r="F40" s="570" t="s">
        <v>1831</v>
      </c>
      <c r="G40" s="571"/>
      <c r="H40" s="524"/>
      <c r="I40" s="524"/>
    </row>
    <row r="41" spans="1:9" s="523" customFormat="1" ht="19.5" customHeight="1">
      <c r="A41" s="3537" t="s">
        <v>1778</v>
      </c>
      <c r="B41" s="3543" t="s">
        <v>1832</v>
      </c>
      <c r="C41" s="551" t="s">
        <v>1833</v>
      </c>
      <c r="D41" s="552"/>
      <c r="E41" s="569">
        <v>1</v>
      </c>
      <c r="F41" s="570" t="s">
        <v>1834</v>
      </c>
      <c r="G41" s="571"/>
      <c r="H41" s="524"/>
      <c r="I41" s="524"/>
    </row>
    <row r="42" spans="1:9" s="523" customFormat="1" ht="19.5" customHeight="1">
      <c r="A42" s="3538"/>
      <c r="B42" s="3544"/>
      <c r="C42" s="553" t="s">
        <v>1835</v>
      </c>
      <c r="D42" s="554"/>
      <c r="E42" s="572">
        <v>1</v>
      </c>
      <c r="F42" s="570" t="s">
        <v>1836</v>
      </c>
      <c r="G42" s="571"/>
      <c r="H42" s="524"/>
      <c r="I42" s="524"/>
    </row>
    <row r="43" spans="1:9" s="523" customFormat="1" ht="19.5" customHeight="1">
      <c r="A43" s="3538"/>
      <c r="B43" s="3547"/>
      <c r="C43" s="553" t="s">
        <v>1837</v>
      </c>
      <c r="D43" s="554"/>
      <c r="E43" s="572">
        <v>1.5</v>
      </c>
      <c r="F43" s="570" t="s">
        <v>1838</v>
      </c>
      <c r="G43" s="571"/>
      <c r="H43" s="524"/>
      <c r="I43" s="524"/>
    </row>
    <row r="44" spans="1:9" s="523" customFormat="1" ht="19.5" customHeight="1">
      <c r="A44" s="3538"/>
      <c r="B44" s="561" t="s">
        <v>1780</v>
      </c>
      <c r="C44" s="553" t="s">
        <v>1779</v>
      </c>
      <c r="D44" s="554"/>
      <c r="E44" s="572">
        <v>2</v>
      </c>
      <c r="F44" s="570" t="s">
        <v>1839</v>
      </c>
      <c r="G44" s="571"/>
      <c r="H44" s="524"/>
      <c r="I44" s="524"/>
    </row>
    <row r="45" spans="1:9" s="523" customFormat="1" ht="19.5" customHeight="1">
      <c r="A45" s="3538"/>
      <c r="B45" s="3546" t="s">
        <v>1840</v>
      </c>
      <c r="C45" s="553" t="s">
        <v>1841</v>
      </c>
      <c r="D45" s="554"/>
      <c r="E45" s="572">
        <v>1</v>
      </c>
      <c r="F45" s="570" t="s">
        <v>1842</v>
      </c>
      <c r="G45" s="571"/>
      <c r="H45" s="524"/>
      <c r="I45" s="524"/>
    </row>
    <row r="46" spans="1:9" s="523" customFormat="1" ht="19.5" customHeight="1">
      <c r="A46" s="3538"/>
      <c r="B46" s="3544"/>
      <c r="C46" s="553" t="s">
        <v>1843</v>
      </c>
      <c r="D46" s="554"/>
      <c r="E46" s="572">
        <v>1</v>
      </c>
      <c r="F46" s="570" t="s">
        <v>1844</v>
      </c>
      <c r="G46" s="571"/>
      <c r="H46" s="524"/>
      <c r="I46" s="524"/>
    </row>
    <row r="47" spans="1:9" s="523" customFormat="1" ht="19.5" customHeight="1">
      <c r="A47" s="3538"/>
      <c r="B47" s="3544"/>
      <c r="C47" s="553" t="s">
        <v>1845</v>
      </c>
      <c r="D47" s="554"/>
      <c r="E47" s="572">
        <v>1</v>
      </c>
      <c r="F47" s="570" t="s">
        <v>1846</v>
      </c>
      <c r="G47" s="571"/>
      <c r="H47" s="524"/>
      <c r="I47" s="524"/>
    </row>
    <row r="48" spans="1:9" s="523" customFormat="1" ht="19.5" customHeight="1">
      <c r="A48" s="3538"/>
      <c r="B48" s="3544"/>
      <c r="C48" s="553" t="s">
        <v>1847</v>
      </c>
      <c r="D48" s="554"/>
      <c r="E48" s="572">
        <v>1</v>
      </c>
      <c r="F48" s="570" t="s">
        <v>1848</v>
      </c>
      <c r="G48" s="571"/>
      <c r="H48" s="524"/>
      <c r="I48" s="524"/>
    </row>
    <row r="49" spans="1:9" s="523" customFormat="1" ht="19.5" customHeight="1">
      <c r="A49" s="3538"/>
      <c r="B49" s="3544"/>
      <c r="C49" s="553" t="s">
        <v>1849</v>
      </c>
      <c r="D49" s="554"/>
      <c r="E49" s="572">
        <v>1</v>
      </c>
      <c r="F49" s="570" t="s">
        <v>1850</v>
      </c>
      <c r="G49" s="571"/>
      <c r="H49" s="524"/>
      <c r="I49" s="524"/>
    </row>
    <row r="50" spans="1:9" s="523" customFormat="1" ht="19.5" customHeight="1">
      <c r="A50" s="3538"/>
      <c r="B50" s="3544"/>
      <c r="C50" s="553" t="s">
        <v>1851</v>
      </c>
      <c r="D50" s="554"/>
      <c r="E50" s="572">
        <v>1</v>
      </c>
      <c r="F50" s="570" t="s">
        <v>1852</v>
      </c>
      <c r="G50" s="571"/>
      <c r="H50" s="524"/>
      <c r="I50" s="524"/>
    </row>
    <row r="51" spans="1:9" s="523" customFormat="1" ht="19.5" customHeight="1">
      <c r="A51" s="3539"/>
      <c r="B51" s="3545"/>
      <c r="C51" s="555" t="s">
        <v>1853</v>
      </c>
      <c r="D51" s="556"/>
      <c r="E51" s="573">
        <v>1</v>
      </c>
      <c r="F51" s="570" t="s">
        <v>1854</v>
      </c>
      <c r="G51" s="571"/>
      <c r="H51" s="524"/>
      <c r="I51" s="524"/>
    </row>
    <row r="52" spans="1:9" s="523" customFormat="1" ht="19.5" customHeight="1">
      <c r="A52" s="562"/>
      <c r="B52" s="562"/>
      <c r="C52" s="562"/>
      <c r="D52" s="562"/>
      <c r="E52" s="562"/>
      <c r="F52" s="575"/>
      <c r="G52" s="575"/>
      <c r="H52" s="524"/>
      <c r="I52" s="524"/>
    </row>
    <row r="54" spans="1:9" ht="19.5" customHeight="1">
      <c r="A54" s="563"/>
      <c r="B54" s="544" t="s">
        <v>457</v>
      </c>
      <c r="C54" s="544" t="s">
        <v>457</v>
      </c>
      <c r="D54" s="544" t="s">
        <v>457</v>
      </c>
      <c r="E54" s="565" t="s">
        <v>457</v>
      </c>
      <c r="F54" s="565" t="s">
        <v>1855</v>
      </c>
      <c r="G54" s="565" t="s">
        <v>457</v>
      </c>
      <c r="I54" s="525"/>
    </row>
    <row r="55" spans="1:9" ht="19.5" customHeight="1">
      <c r="A55" s="564"/>
      <c r="B55" s="565" t="s">
        <v>463</v>
      </c>
      <c r="C55" s="565" t="s">
        <v>463</v>
      </c>
      <c r="D55" s="565" t="s">
        <v>463</v>
      </c>
      <c r="E55" s="544" t="s">
        <v>1776</v>
      </c>
      <c r="F55" s="544" t="s">
        <v>1778</v>
      </c>
      <c r="G55" s="544" t="s">
        <v>1856</v>
      </c>
      <c r="I55" s="525"/>
    </row>
    <row r="56" spans="1:9" ht="19.5" customHeight="1">
      <c r="A56" s="566"/>
      <c r="B56" s="544">
        <v>1</v>
      </c>
      <c r="C56" s="544">
        <v>2</v>
      </c>
      <c r="D56" s="544">
        <v>3</v>
      </c>
      <c r="E56" s="576" t="s">
        <v>1857</v>
      </c>
      <c r="F56" s="576" t="s">
        <v>1857</v>
      </c>
      <c r="G56" s="576" t="s">
        <v>1857</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1858</v>
      </c>
      <c r="E70" s="546"/>
      <c r="F70" s="546"/>
    </row>
    <row r="71" spans="1:7" s="524" customFormat="1" ht="19.5" customHeight="1">
      <c r="A71" s="587" t="s">
        <v>1859</v>
      </c>
      <c r="B71" s="587" t="s">
        <v>1860</v>
      </c>
      <c r="C71" s="587" t="s">
        <v>1861</v>
      </c>
      <c r="D71" s="587" t="s">
        <v>1862</v>
      </c>
      <c r="E71" s="587" t="s">
        <v>1863</v>
      </c>
      <c r="F71" s="587" t="s">
        <v>1864</v>
      </c>
    </row>
    <row r="72" spans="1:7" ht="13.5">
      <c r="A72" s="587"/>
      <c r="B72" s="587"/>
      <c r="C72" s="587" t="s">
        <v>1865</v>
      </c>
      <c r="D72" s="587"/>
      <c r="E72" s="588" t="s">
        <v>124</v>
      </c>
      <c r="F72" s="587" t="s">
        <v>124</v>
      </c>
    </row>
    <row r="73" spans="1:7" s="524" customFormat="1" ht="13.5">
      <c r="A73" s="561">
        <v>1</v>
      </c>
      <c r="B73" s="3546" t="s">
        <v>1866</v>
      </c>
      <c r="C73" s="541" t="s">
        <v>1867</v>
      </c>
      <c r="D73" s="541" t="s">
        <v>1868</v>
      </c>
      <c r="E73" s="589">
        <v>0.2</v>
      </c>
      <c r="F73" s="561">
        <v>25</v>
      </c>
    </row>
    <row r="74" spans="1:7" s="524" customFormat="1" ht="24">
      <c r="A74" s="561">
        <v>2</v>
      </c>
      <c r="B74" s="3544"/>
      <c r="C74" s="541" t="s">
        <v>1869</v>
      </c>
      <c r="D74" s="541" t="s">
        <v>1870</v>
      </c>
      <c r="E74" s="589">
        <v>0.2</v>
      </c>
      <c r="F74" s="561">
        <v>25</v>
      </c>
    </row>
    <row r="75" spans="1:7" s="524" customFormat="1" ht="24">
      <c r="A75" s="561">
        <v>3</v>
      </c>
      <c r="B75" s="3544"/>
      <c r="C75" s="541" t="s">
        <v>1871</v>
      </c>
      <c r="D75" s="541" t="s">
        <v>1872</v>
      </c>
      <c r="E75" s="589">
        <v>0.2</v>
      </c>
      <c r="F75" s="561">
        <v>25</v>
      </c>
    </row>
    <row r="76" spans="1:7" s="524" customFormat="1" ht="13.5">
      <c r="A76" s="561">
        <v>4</v>
      </c>
      <c r="B76" s="3544"/>
      <c r="C76" s="541" t="s">
        <v>1873</v>
      </c>
      <c r="D76" s="541" t="s">
        <v>1874</v>
      </c>
      <c r="E76" s="589">
        <v>0.15</v>
      </c>
      <c r="F76" s="561">
        <v>20</v>
      </c>
    </row>
    <row r="77" spans="1:7" s="524" customFormat="1" ht="24">
      <c r="A77" s="561">
        <v>5</v>
      </c>
      <c r="B77" s="3544"/>
      <c r="C77" s="541" t="s">
        <v>1875</v>
      </c>
      <c r="D77" s="541" t="s">
        <v>1876</v>
      </c>
      <c r="E77" s="589">
        <v>0.15</v>
      </c>
      <c r="F77" s="561">
        <v>20</v>
      </c>
    </row>
    <row r="78" spans="1:7" s="524" customFormat="1" ht="24">
      <c r="A78" s="561">
        <v>6</v>
      </c>
      <c r="B78" s="3544"/>
      <c r="C78" s="541" t="s">
        <v>1877</v>
      </c>
      <c r="D78" s="541" t="s">
        <v>1878</v>
      </c>
      <c r="E78" s="589">
        <v>0.15</v>
      </c>
      <c r="F78" s="561">
        <v>20</v>
      </c>
    </row>
    <row r="79" spans="1:7" s="524" customFormat="1" ht="24">
      <c r="A79" s="561">
        <v>7</v>
      </c>
      <c r="B79" s="3544"/>
      <c r="C79" s="541" t="s">
        <v>1879</v>
      </c>
      <c r="D79" s="541" t="s">
        <v>1880</v>
      </c>
      <c r="E79" s="589">
        <v>0.15</v>
      </c>
      <c r="F79" s="561">
        <v>20</v>
      </c>
    </row>
    <row r="80" spans="1:7" s="524" customFormat="1" ht="24">
      <c r="A80" s="561">
        <v>8</v>
      </c>
      <c r="B80" s="3544"/>
      <c r="C80" s="541" t="s">
        <v>1881</v>
      </c>
      <c r="D80" s="541" t="s">
        <v>1882</v>
      </c>
      <c r="E80" s="589">
        <v>0.1</v>
      </c>
      <c r="F80" s="561">
        <v>15</v>
      </c>
    </row>
    <row r="81" spans="1:6" s="524" customFormat="1" ht="24">
      <c r="A81" s="561">
        <v>9</v>
      </c>
      <c r="B81" s="3544"/>
      <c r="C81" s="541" t="s">
        <v>1883</v>
      </c>
      <c r="D81" s="541" t="s">
        <v>1884</v>
      </c>
      <c r="E81" s="589">
        <v>0.1</v>
      </c>
      <c r="F81" s="561">
        <v>15</v>
      </c>
    </row>
    <row r="82" spans="1:6" s="524" customFormat="1" ht="24">
      <c r="A82" s="561">
        <v>10</v>
      </c>
      <c r="B82" s="3544"/>
      <c r="C82" s="541" t="s">
        <v>1885</v>
      </c>
      <c r="D82" s="541" t="s">
        <v>1886</v>
      </c>
      <c r="E82" s="589">
        <v>0.1</v>
      </c>
      <c r="F82" s="561">
        <v>15</v>
      </c>
    </row>
    <row r="83" spans="1:6" s="524" customFormat="1" ht="24">
      <c r="A83" s="561">
        <v>11</v>
      </c>
      <c r="B83" s="3544"/>
      <c r="C83" s="541" t="s">
        <v>1887</v>
      </c>
      <c r="D83" s="541" t="s">
        <v>1888</v>
      </c>
      <c r="E83" s="589">
        <v>0.1</v>
      </c>
      <c r="F83" s="561">
        <v>15</v>
      </c>
    </row>
    <row r="84" spans="1:6" s="524" customFormat="1" ht="24">
      <c r="A84" s="561">
        <v>12</v>
      </c>
      <c r="B84" s="3544"/>
      <c r="C84" s="541" t="s">
        <v>1889</v>
      </c>
      <c r="D84" s="541" t="s">
        <v>1890</v>
      </c>
      <c r="E84" s="589">
        <v>0.1</v>
      </c>
      <c r="F84" s="561">
        <v>15</v>
      </c>
    </row>
    <row r="85" spans="1:6" s="524" customFormat="1" ht="13.5">
      <c r="A85" s="561">
        <v>13</v>
      </c>
      <c r="B85" s="3544"/>
      <c r="C85" s="541" t="s">
        <v>1891</v>
      </c>
      <c r="D85" s="541" t="s">
        <v>1892</v>
      </c>
      <c r="E85" s="589">
        <v>0.1</v>
      </c>
      <c r="F85" s="561">
        <v>15</v>
      </c>
    </row>
    <row r="86" spans="1:6" s="524" customFormat="1" ht="13.5">
      <c r="A86" s="561">
        <v>14</v>
      </c>
      <c r="B86" s="3544"/>
      <c r="C86" s="541" t="s">
        <v>1893</v>
      </c>
      <c r="D86" s="541" t="s">
        <v>1894</v>
      </c>
      <c r="E86" s="589">
        <v>0.1</v>
      </c>
      <c r="F86" s="561">
        <v>15</v>
      </c>
    </row>
    <row r="87" spans="1:6" s="524" customFormat="1" ht="13.5">
      <c r="A87" s="561">
        <v>15</v>
      </c>
      <c r="B87" s="3544"/>
      <c r="C87" s="541" t="s">
        <v>1895</v>
      </c>
      <c r="D87" s="541" t="s">
        <v>1896</v>
      </c>
      <c r="E87" s="589">
        <v>0.1</v>
      </c>
      <c r="F87" s="561">
        <v>15</v>
      </c>
    </row>
    <row r="88" spans="1:6" s="524" customFormat="1" ht="24">
      <c r="A88" s="561">
        <v>16</v>
      </c>
      <c r="B88" s="3544"/>
      <c r="C88" s="541" t="s">
        <v>1897</v>
      </c>
      <c r="D88" s="541" t="s">
        <v>1898</v>
      </c>
      <c r="E88" s="589">
        <v>0.1</v>
      </c>
      <c r="F88" s="561">
        <v>15</v>
      </c>
    </row>
    <row r="89" spans="1:6" s="524" customFormat="1" ht="24">
      <c r="A89" s="561">
        <v>17</v>
      </c>
      <c r="B89" s="3547"/>
      <c r="C89" s="541" t="s">
        <v>1899</v>
      </c>
      <c r="D89" s="541" t="s">
        <v>1900</v>
      </c>
      <c r="E89" s="589">
        <v>0.1</v>
      </c>
      <c r="F89" s="561">
        <v>15</v>
      </c>
    </row>
    <row r="90" spans="1:6" s="524" customFormat="1" ht="13.5">
      <c r="A90" s="561">
        <v>18</v>
      </c>
      <c r="B90" s="3546" t="s">
        <v>1901</v>
      </c>
      <c r="C90" s="541" t="s">
        <v>1902</v>
      </c>
      <c r="D90" s="541" t="s">
        <v>1903</v>
      </c>
      <c r="E90" s="589">
        <v>0.2</v>
      </c>
      <c r="F90" s="561">
        <v>25</v>
      </c>
    </row>
    <row r="91" spans="1:6" s="524" customFormat="1" ht="24">
      <c r="A91" s="561">
        <v>19</v>
      </c>
      <c r="B91" s="3544"/>
      <c r="C91" s="541" t="s">
        <v>1904</v>
      </c>
      <c r="D91" s="541" t="s">
        <v>1905</v>
      </c>
      <c r="E91" s="589">
        <v>0.2</v>
      </c>
      <c r="F91" s="561">
        <v>25</v>
      </c>
    </row>
    <row r="92" spans="1:6" s="524" customFormat="1" ht="13.5">
      <c r="A92" s="561">
        <v>20</v>
      </c>
      <c r="B92" s="3544"/>
      <c r="C92" s="541" t="s">
        <v>1906</v>
      </c>
      <c r="D92" s="541" t="s">
        <v>1907</v>
      </c>
      <c r="E92" s="589">
        <v>0.15</v>
      </c>
      <c r="F92" s="561">
        <v>20</v>
      </c>
    </row>
    <row r="93" spans="1:6" s="524" customFormat="1" ht="24">
      <c r="A93" s="561">
        <v>21</v>
      </c>
      <c r="B93" s="3544"/>
      <c r="C93" s="541" t="s">
        <v>1908</v>
      </c>
      <c r="D93" s="541" t="s">
        <v>1909</v>
      </c>
      <c r="E93" s="589">
        <v>0.15</v>
      </c>
      <c r="F93" s="561">
        <v>20</v>
      </c>
    </row>
    <row r="94" spans="1:6" s="524" customFormat="1" ht="24">
      <c r="A94" s="561">
        <v>22</v>
      </c>
      <c r="B94" s="3544"/>
      <c r="C94" s="541" t="s">
        <v>1910</v>
      </c>
      <c r="D94" s="541" t="s">
        <v>1911</v>
      </c>
      <c r="E94" s="589">
        <v>0.15</v>
      </c>
      <c r="F94" s="561">
        <v>20</v>
      </c>
    </row>
    <row r="95" spans="1:6" s="524" customFormat="1" ht="36">
      <c r="A95" s="561">
        <v>23</v>
      </c>
      <c r="B95" s="3544"/>
      <c r="C95" s="541" t="s">
        <v>1912</v>
      </c>
      <c r="D95" s="541" t="s">
        <v>1913</v>
      </c>
      <c r="E95" s="589">
        <v>0.15</v>
      </c>
      <c r="F95" s="561">
        <v>20</v>
      </c>
    </row>
    <row r="96" spans="1:6" s="524" customFormat="1" ht="13.5">
      <c r="A96" s="561">
        <v>24</v>
      </c>
      <c r="B96" s="3544"/>
      <c r="C96" s="541" t="s">
        <v>1914</v>
      </c>
      <c r="D96" s="541" t="s">
        <v>1915</v>
      </c>
      <c r="E96" s="589">
        <v>0.1</v>
      </c>
      <c r="F96" s="561">
        <v>15</v>
      </c>
    </row>
    <row r="97" spans="1:6" s="524" customFormat="1" ht="24">
      <c r="A97" s="561">
        <v>25</v>
      </c>
      <c r="B97" s="3544"/>
      <c r="C97" s="541" t="s">
        <v>1916</v>
      </c>
      <c r="D97" s="541" t="s">
        <v>1917</v>
      </c>
      <c r="E97" s="589">
        <v>0.1</v>
      </c>
      <c r="F97" s="561">
        <v>15</v>
      </c>
    </row>
    <row r="98" spans="1:6" s="524" customFormat="1" ht="24">
      <c r="A98" s="561">
        <v>26</v>
      </c>
      <c r="B98" s="3544"/>
      <c r="C98" s="541" t="s">
        <v>1918</v>
      </c>
      <c r="D98" s="541" t="s">
        <v>1919</v>
      </c>
      <c r="E98" s="589">
        <v>0.1</v>
      </c>
      <c r="F98" s="561">
        <v>15</v>
      </c>
    </row>
    <row r="99" spans="1:6" s="524" customFormat="1" ht="24">
      <c r="A99" s="561">
        <v>27</v>
      </c>
      <c r="B99" s="3544"/>
      <c r="C99" s="541" t="s">
        <v>1920</v>
      </c>
      <c r="D99" s="541" t="s">
        <v>1921</v>
      </c>
      <c r="E99" s="589">
        <v>0.1</v>
      </c>
      <c r="F99" s="561">
        <v>15</v>
      </c>
    </row>
    <row r="100" spans="1:6" s="524" customFormat="1" ht="24">
      <c r="A100" s="561">
        <v>28</v>
      </c>
      <c r="B100" s="3544"/>
      <c r="C100" s="541" t="s">
        <v>1922</v>
      </c>
      <c r="D100" s="541" t="s">
        <v>1923</v>
      </c>
      <c r="E100" s="589">
        <v>0.1</v>
      </c>
      <c r="F100" s="561">
        <v>15</v>
      </c>
    </row>
    <row r="101" spans="1:6" s="524" customFormat="1" ht="24">
      <c r="A101" s="561">
        <v>29</v>
      </c>
      <c r="B101" s="3544"/>
      <c r="C101" s="541" t="s">
        <v>1924</v>
      </c>
      <c r="D101" s="541" t="s">
        <v>1925</v>
      </c>
      <c r="E101" s="589">
        <v>0.1</v>
      </c>
      <c r="F101" s="561">
        <v>15</v>
      </c>
    </row>
    <row r="102" spans="1:6" s="524" customFormat="1" ht="24">
      <c r="A102" s="561">
        <v>30</v>
      </c>
      <c r="B102" s="3544"/>
      <c r="C102" s="541" t="s">
        <v>1926</v>
      </c>
      <c r="D102" s="541" t="s">
        <v>1927</v>
      </c>
      <c r="E102" s="589">
        <v>0.1</v>
      </c>
      <c r="F102" s="561">
        <v>15</v>
      </c>
    </row>
    <row r="103" spans="1:6" s="524" customFormat="1" ht="24">
      <c r="A103" s="561">
        <v>31</v>
      </c>
      <c r="B103" s="3544"/>
      <c r="C103" s="541" t="s">
        <v>1928</v>
      </c>
      <c r="D103" s="541" t="s">
        <v>1929</v>
      </c>
      <c r="E103" s="589">
        <v>0.1</v>
      </c>
      <c r="F103" s="561">
        <v>15</v>
      </c>
    </row>
    <row r="104" spans="1:6" s="524" customFormat="1" ht="24">
      <c r="A104" s="561">
        <v>32</v>
      </c>
      <c r="B104" s="3544"/>
      <c r="C104" s="541" t="s">
        <v>1930</v>
      </c>
      <c r="D104" s="541" t="s">
        <v>1931</v>
      </c>
      <c r="E104" s="589">
        <v>0.1</v>
      </c>
      <c r="F104" s="561">
        <v>15</v>
      </c>
    </row>
    <row r="105" spans="1:6" s="524" customFormat="1" ht="24">
      <c r="A105" s="561">
        <v>33</v>
      </c>
      <c r="B105" s="3544"/>
      <c r="C105" s="541" t="s">
        <v>1932</v>
      </c>
      <c r="D105" s="541" t="s">
        <v>1933</v>
      </c>
      <c r="E105" s="589">
        <v>0.1</v>
      </c>
      <c r="F105" s="561">
        <v>15</v>
      </c>
    </row>
    <row r="106" spans="1:6" s="524" customFormat="1" ht="24">
      <c r="A106" s="561">
        <v>34</v>
      </c>
      <c r="B106" s="3547"/>
      <c r="C106" s="541" t="s">
        <v>1934</v>
      </c>
      <c r="D106" s="541" t="s">
        <v>1935</v>
      </c>
      <c r="E106" s="589">
        <v>0.1</v>
      </c>
      <c r="F106" s="561">
        <v>15</v>
      </c>
    </row>
    <row r="107" spans="1:6" s="524" customFormat="1" ht="24">
      <c r="A107" s="561">
        <v>35</v>
      </c>
      <c r="B107" s="3546" t="s">
        <v>1936</v>
      </c>
      <c r="C107" s="561" t="s">
        <v>1937</v>
      </c>
      <c r="D107" s="541" t="s">
        <v>1938</v>
      </c>
      <c r="E107" s="589">
        <v>0.15</v>
      </c>
      <c r="F107" s="561">
        <v>20</v>
      </c>
    </row>
    <row r="108" spans="1:6" s="524" customFormat="1" ht="24">
      <c r="A108" s="561">
        <v>36</v>
      </c>
      <c r="B108" s="3544"/>
      <c r="C108" s="561" t="s">
        <v>1939</v>
      </c>
      <c r="D108" s="541" t="s">
        <v>1940</v>
      </c>
      <c r="E108" s="589">
        <v>0.15</v>
      </c>
      <c r="F108" s="561">
        <v>20</v>
      </c>
    </row>
    <row r="109" spans="1:6" s="524" customFormat="1" ht="24">
      <c r="A109" s="561">
        <v>37</v>
      </c>
      <c r="B109" s="3544"/>
      <c r="C109" s="561" t="s">
        <v>1941</v>
      </c>
      <c r="D109" s="541" t="s">
        <v>1942</v>
      </c>
      <c r="E109" s="589">
        <v>0.15</v>
      </c>
      <c r="F109" s="561">
        <v>20</v>
      </c>
    </row>
    <row r="110" spans="1:6" s="524" customFormat="1" ht="13.5">
      <c r="A110" s="561">
        <v>38</v>
      </c>
      <c r="B110" s="3544"/>
      <c r="C110" s="561" t="s">
        <v>1943</v>
      </c>
      <c r="D110" s="541" t="s">
        <v>1944</v>
      </c>
      <c r="E110" s="589">
        <v>0.1</v>
      </c>
      <c r="F110" s="561">
        <v>15</v>
      </c>
    </row>
    <row r="111" spans="1:6" s="524" customFormat="1" ht="24">
      <c r="A111" s="561">
        <v>39</v>
      </c>
      <c r="B111" s="3544"/>
      <c r="C111" s="561" t="s">
        <v>1945</v>
      </c>
      <c r="D111" s="541" t="s">
        <v>1946</v>
      </c>
      <c r="E111" s="589">
        <v>0.1</v>
      </c>
      <c r="F111" s="561">
        <v>15</v>
      </c>
    </row>
    <row r="112" spans="1:6" s="524" customFormat="1" ht="24">
      <c r="A112" s="561">
        <v>40</v>
      </c>
      <c r="B112" s="3547"/>
      <c r="C112" s="561" t="s">
        <v>1947</v>
      </c>
      <c r="D112" s="541" t="s">
        <v>1948</v>
      </c>
      <c r="E112" s="589">
        <v>0.1</v>
      </c>
      <c r="F112" s="561">
        <v>15</v>
      </c>
    </row>
    <row r="113" spans="1:6" s="524" customFormat="1" ht="24">
      <c r="A113" s="561">
        <v>41</v>
      </c>
      <c r="B113" s="3548" t="s">
        <v>1949</v>
      </c>
      <c r="C113" s="561" t="s">
        <v>1950</v>
      </c>
      <c r="D113" s="541" t="s">
        <v>1951</v>
      </c>
      <c r="E113" s="589">
        <v>0.1</v>
      </c>
      <c r="F113" s="561">
        <v>15</v>
      </c>
    </row>
    <row r="114" spans="1:6" s="524" customFormat="1" ht="13.5">
      <c r="A114" s="561">
        <v>42</v>
      </c>
      <c r="B114" s="3548"/>
      <c r="C114" s="561" t="s">
        <v>1952</v>
      </c>
      <c r="D114" s="541" t="s">
        <v>1953</v>
      </c>
      <c r="E114" s="589">
        <v>0.1</v>
      </c>
      <c r="F114" s="561">
        <v>15</v>
      </c>
    </row>
    <row r="115" spans="1:6" s="524" customFormat="1" ht="24">
      <c r="A115" s="561">
        <v>43</v>
      </c>
      <c r="B115" s="3548"/>
      <c r="C115" s="561" t="s">
        <v>1954</v>
      </c>
      <c r="D115" s="541" t="s">
        <v>1955</v>
      </c>
      <c r="E115" s="589">
        <v>0.1</v>
      </c>
      <c r="F115" s="561">
        <v>15</v>
      </c>
    </row>
    <row r="116" spans="1:6" s="524" customFormat="1" ht="24">
      <c r="A116" s="561">
        <v>44</v>
      </c>
      <c r="B116" s="3546" t="s">
        <v>1956</v>
      </c>
      <c r="C116" s="561" t="s">
        <v>1957</v>
      </c>
      <c r="D116" s="541" t="s">
        <v>1958</v>
      </c>
      <c r="E116" s="589">
        <v>0.1</v>
      </c>
      <c r="F116" s="561">
        <v>15</v>
      </c>
    </row>
    <row r="117" spans="1:6" s="524" customFormat="1" ht="24">
      <c r="A117" s="561">
        <v>45</v>
      </c>
      <c r="B117" s="3547"/>
      <c r="C117" s="541" t="s">
        <v>1959</v>
      </c>
      <c r="D117" s="541" t="s">
        <v>1960</v>
      </c>
      <c r="E117" s="589">
        <v>0.1</v>
      </c>
      <c r="F117" s="561">
        <v>15</v>
      </c>
    </row>
    <row r="118" spans="1:6" s="524" customFormat="1" ht="24">
      <c r="A118" s="561">
        <v>46</v>
      </c>
      <c r="B118" s="3546" t="s">
        <v>1961</v>
      </c>
      <c r="C118" s="561" t="s">
        <v>1962</v>
      </c>
      <c r="D118" s="541" t="s">
        <v>1963</v>
      </c>
      <c r="E118" s="589">
        <v>0.1</v>
      </c>
      <c r="F118" s="561">
        <v>15</v>
      </c>
    </row>
    <row r="119" spans="1:6" s="524" customFormat="1" ht="24">
      <c r="A119" s="561">
        <v>47</v>
      </c>
      <c r="B119" s="3547"/>
      <c r="C119" s="561" t="s">
        <v>1964</v>
      </c>
      <c r="D119" s="541" t="s">
        <v>1965</v>
      </c>
      <c r="E119" s="589">
        <v>0.1</v>
      </c>
      <c r="F119" s="561">
        <v>15</v>
      </c>
    </row>
    <row r="120" spans="1:6" s="524" customFormat="1" ht="24">
      <c r="A120" s="561">
        <v>48</v>
      </c>
      <c r="B120" s="3546" t="s">
        <v>1966</v>
      </c>
      <c r="C120" s="561" t="s">
        <v>1967</v>
      </c>
      <c r="D120" s="541" t="s">
        <v>1968</v>
      </c>
      <c r="E120" s="589">
        <v>0.1</v>
      </c>
      <c r="F120" s="561">
        <v>15</v>
      </c>
    </row>
    <row r="121" spans="1:6" s="524" customFormat="1" ht="13.5">
      <c r="A121" s="561">
        <v>49</v>
      </c>
      <c r="B121" s="3547"/>
      <c r="C121" s="561" t="s">
        <v>1969</v>
      </c>
      <c r="D121" s="541" t="s">
        <v>1970</v>
      </c>
      <c r="E121" s="589">
        <v>0.1</v>
      </c>
      <c r="F121" s="561">
        <v>15</v>
      </c>
    </row>
    <row r="122" spans="1:6" s="524" customFormat="1" ht="24">
      <c r="A122" s="561">
        <v>50</v>
      </c>
      <c r="B122" s="3548" t="s">
        <v>1971</v>
      </c>
      <c r="C122" s="561" t="s">
        <v>1972</v>
      </c>
      <c r="D122" s="541" t="s">
        <v>1973</v>
      </c>
      <c r="E122" s="589">
        <v>0.1</v>
      </c>
      <c r="F122" s="561">
        <v>15</v>
      </c>
    </row>
    <row r="123" spans="1:6" s="524" customFormat="1" ht="24">
      <c r="A123" s="561">
        <v>51</v>
      </c>
      <c r="B123" s="3548"/>
      <c r="C123" s="561" t="s">
        <v>1974</v>
      </c>
      <c r="D123" s="541" t="s">
        <v>1975</v>
      </c>
      <c r="E123" s="589">
        <v>0.1</v>
      </c>
      <c r="F123" s="561">
        <v>15</v>
      </c>
    </row>
    <row r="124" spans="1:6" s="524" customFormat="1" ht="24">
      <c r="A124" s="561">
        <v>52</v>
      </c>
      <c r="B124" s="3548" t="s">
        <v>1976</v>
      </c>
      <c r="C124" s="561" t="s">
        <v>1977</v>
      </c>
      <c r="D124" s="541" t="s">
        <v>1978</v>
      </c>
      <c r="E124" s="589">
        <v>0.1</v>
      </c>
      <c r="F124" s="561">
        <v>15</v>
      </c>
    </row>
    <row r="125" spans="1:6" s="524" customFormat="1" ht="24">
      <c r="A125" s="561">
        <v>53</v>
      </c>
      <c r="B125" s="3548"/>
      <c r="C125" s="561" t="s">
        <v>1979</v>
      </c>
      <c r="D125" s="541" t="s">
        <v>1980</v>
      </c>
      <c r="E125" s="589">
        <v>0.1</v>
      </c>
      <c r="F125" s="561">
        <v>15</v>
      </c>
    </row>
    <row r="126" spans="1:6" ht="24">
      <c r="A126" s="561">
        <v>54</v>
      </c>
      <c r="B126" s="561" t="s">
        <v>1981</v>
      </c>
      <c r="C126" s="561" t="s">
        <v>1982</v>
      </c>
      <c r="D126" s="541" t="s">
        <v>1983</v>
      </c>
      <c r="E126" s="589">
        <v>0.1</v>
      </c>
      <c r="F126" s="561">
        <v>15</v>
      </c>
    </row>
    <row r="127" spans="1:6" ht="13.5">
      <c r="A127" s="561">
        <v>55</v>
      </c>
      <c r="B127" s="3548" t="s">
        <v>1984</v>
      </c>
      <c r="C127" s="561" t="s">
        <v>1985</v>
      </c>
      <c r="D127" s="541" t="s">
        <v>1986</v>
      </c>
      <c r="E127" s="589">
        <v>0.1</v>
      </c>
      <c r="F127" s="561">
        <v>15</v>
      </c>
    </row>
    <row r="128" spans="1:6" ht="13.5">
      <c r="A128" s="561">
        <v>56</v>
      </c>
      <c r="B128" s="3548"/>
      <c r="C128" s="561" t="s">
        <v>1987</v>
      </c>
      <c r="D128" s="541" t="s">
        <v>1988</v>
      </c>
      <c r="E128" s="589">
        <v>0.1</v>
      </c>
      <c r="F128" s="561">
        <v>15</v>
      </c>
    </row>
    <row r="129" spans="1:6" ht="24">
      <c r="A129" s="561">
        <v>57</v>
      </c>
      <c r="B129" s="3548"/>
      <c r="C129" s="561" t="s">
        <v>1989</v>
      </c>
      <c r="D129" s="541" t="s">
        <v>1990</v>
      </c>
      <c r="E129" s="589">
        <v>0.1</v>
      </c>
      <c r="F129" s="561">
        <v>15</v>
      </c>
    </row>
    <row r="130" spans="1:6" ht="24">
      <c r="A130" s="561">
        <v>58</v>
      </c>
      <c r="B130" s="3548" t="s">
        <v>1991</v>
      </c>
      <c r="C130" s="561" t="s">
        <v>1992</v>
      </c>
      <c r="D130" s="541" t="s">
        <v>1993</v>
      </c>
      <c r="E130" s="589">
        <v>0.1</v>
      </c>
      <c r="F130" s="561">
        <v>15</v>
      </c>
    </row>
    <row r="131" spans="1:6" ht="24">
      <c r="A131" s="561">
        <v>59</v>
      </c>
      <c r="B131" s="3548"/>
      <c r="C131" s="561" t="s">
        <v>1994</v>
      </c>
      <c r="D131" s="541" t="s">
        <v>1995</v>
      </c>
      <c r="E131" s="589">
        <v>0.1</v>
      </c>
      <c r="F131" s="561">
        <v>15</v>
      </c>
    </row>
    <row r="132" spans="1:6" ht="24">
      <c r="A132" s="561">
        <v>60</v>
      </c>
      <c r="B132" s="3546" t="s">
        <v>1996</v>
      </c>
      <c r="C132" s="561" t="s">
        <v>1997</v>
      </c>
      <c r="D132" s="541" t="s">
        <v>1998</v>
      </c>
      <c r="E132" s="589">
        <v>0.1</v>
      </c>
      <c r="F132" s="561">
        <v>15</v>
      </c>
    </row>
    <row r="133" spans="1:6" ht="24">
      <c r="A133" s="561">
        <v>61</v>
      </c>
      <c r="B133" s="3547"/>
      <c r="C133" s="561" t="s">
        <v>1999</v>
      </c>
      <c r="D133" s="541" t="s">
        <v>2000</v>
      </c>
      <c r="E133" s="589">
        <v>0.1</v>
      </c>
      <c r="F133" s="561">
        <v>15</v>
      </c>
    </row>
    <row r="134" spans="1:6" ht="24">
      <c r="A134" s="561">
        <v>62</v>
      </c>
      <c r="B134" s="561" t="s">
        <v>2001</v>
      </c>
      <c r="C134" s="561" t="s">
        <v>2002</v>
      </c>
      <c r="D134" s="541" t="s">
        <v>2003</v>
      </c>
      <c r="E134" s="589">
        <v>0.1</v>
      </c>
      <c r="F134" s="561">
        <v>15</v>
      </c>
    </row>
    <row r="135" spans="1:6" ht="24">
      <c r="A135" s="561">
        <v>63</v>
      </c>
      <c r="B135" s="3548" t="s">
        <v>2004</v>
      </c>
      <c r="C135" s="561" t="s">
        <v>2005</v>
      </c>
      <c r="D135" s="541" t="s">
        <v>2006</v>
      </c>
      <c r="E135" s="589">
        <v>0.1</v>
      </c>
      <c r="F135" s="561">
        <v>15</v>
      </c>
    </row>
    <row r="136" spans="1:6" ht="13.5">
      <c r="A136" s="561">
        <v>64</v>
      </c>
      <c r="B136" s="3548"/>
      <c r="C136" s="561" t="s">
        <v>2007</v>
      </c>
      <c r="D136" s="541" t="s">
        <v>2008</v>
      </c>
      <c r="E136" s="589">
        <v>0.1</v>
      </c>
      <c r="F136" s="561">
        <v>15</v>
      </c>
    </row>
    <row r="137" spans="1:6" ht="24">
      <c r="A137" s="561">
        <v>65</v>
      </c>
      <c r="B137" s="561" t="s">
        <v>2009</v>
      </c>
      <c r="C137" s="561" t="s">
        <v>2010</v>
      </c>
      <c r="D137" s="541" t="s">
        <v>2011</v>
      </c>
      <c r="E137" s="589">
        <v>0.1</v>
      </c>
      <c r="F137" s="561">
        <v>15</v>
      </c>
    </row>
    <row r="138" spans="1:6" ht="13.5">
      <c r="A138" s="587"/>
      <c r="B138" s="587"/>
      <c r="C138" s="587"/>
      <c r="D138" s="587"/>
      <c r="E138" s="588"/>
      <c r="F138" s="5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2012</v>
      </c>
      <c r="B1" s="515"/>
      <c r="C1" s="515"/>
      <c r="D1" s="515"/>
      <c r="E1" s="515"/>
      <c r="F1" s="515"/>
      <c r="G1" s="515"/>
      <c r="H1" s="515"/>
      <c r="I1" s="515"/>
      <c r="J1" s="515"/>
      <c r="K1" s="515"/>
      <c r="L1" s="515"/>
      <c r="M1" s="515"/>
      <c r="N1" s="515"/>
    </row>
    <row r="2" spans="1:14">
      <c r="A2" s="516" t="s">
        <v>2013</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4" t="s">
        <v>2014</v>
      </c>
      <c r="B103" s="515"/>
      <c r="C103" s="515"/>
      <c r="D103" s="515"/>
      <c r="E103" s="515"/>
      <c r="F103" s="515"/>
      <c r="G103" s="515"/>
      <c r="H103" s="515"/>
      <c r="I103" s="515"/>
      <c r="J103" s="515"/>
      <c r="K103" s="515"/>
      <c r="L103" s="515"/>
      <c r="M103" s="515"/>
      <c r="N103" s="515"/>
    </row>
    <row r="104" spans="1:14" ht="14.25">
      <c r="A104" s="516" t="s">
        <v>2013</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f>SUMPRODUCT((A105:A204=ROUNDDOWN(基准地价修正!G3,1))*(B104:M104=基准地价修正!G2)*(B105:M204))</f>
        <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4" t="s">
        <v>2015</v>
      </c>
      <c r="B205" s="515"/>
      <c r="C205" s="515"/>
      <c r="D205" s="515"/>
      <c r="E205" s="515"/>
      <c r="F205" s="515"/>
      <c r="G205" s="515"/>
      <c r="H205" s="515"/>
      <c r="I205" s="515"/>
      <c r="J205" s="515"/>
      <c r="K205" s="515"/>
      <c r="L205" s="515"/>
      <c r="M205" s="515"/>
    </row>
    <row r="206" spans="1:13">
      <c r="A206" s="516" t="s">
        <v>2013</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4" t="s">
        <v>2016</v>
      </c>
      <c r="B307" s="515"/>
      <c r="C307" s="515"/>
      <c r="D307" s="515"/>
      <c r="E307" s="515"/>
      <c r="F307" s="515"/>
      <c r="G307" s="515"/>
      <c r="H307" s="515"/>
      <c r="I307" s="515"/>
      <c r="J307" s="515"/>
      <c r="K307" s="515"/>
      <c r="L307" s="515"/>
      <c r="M307" s="515"/>
    </row>
    <row r="308" spans="1:13">
      <c r="A308" s="516" t="s">
        <v>2013</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2017</v>
      </c>
      <c r="B1" s="501"/>
      <c r="C1" s="501"/>
      <c r="D1" s="501"/>
      <c r="E1" s="501"/>
      <c r="F1" s="504"/>
      <c r="G1" s="504"/>
      <c r="H1" s="504"/>
      <c r="I1" s="504"/>
      <c r="J1" s="504"/>
      <c r="K1" s="504"/>
      <c r="L1" s="504"/>
      <c r="M1" s="504"/>
      <c r="N1" s="504"/>
      <c r="O1" s="504"/>
      <c r="P1" s="504"/>
    </row>
    <row r="2" spans="1:16" ht="15.75">
      <c r="A2" s="502" t="s">
        <v>97</v>
      </c>
      <c r="B2" s="503" t="e">
        <f ca="1">SUMIF(B6:B13,"&lt;&gt;#ref!",B6:B13)</f>
        <v>#DIV/0!</v>
      </c>
      <c r="C2" s="502" t="s">
        <v>2018</v>
      </c>
      <c r="D2" s="502" t="s">
        <v>2019</v>
      </c>
      <c r="E2" s="510">
        <f ca="1">SUMIF(E6:E13,"&lt;&gt;#ref!",E6:E13)</f>
        <v>0</v>
      </c>
      <c r="F2" s="504"/>
      <c r="G2" s="504"/>
      <c r="H2" s="504"/>
      <c r="I2" s="504"/>
      <c r="J2" s="504"/>
      <c r="K2" s="504"/>
      <c r="L2" s="504"/>
      <c r="M2" s="504"/>
      <c r="N2" s="504"/>
      <c r="O2" s="504"/>
      <c r="P2" s="504"/>
    </row>
    <row r="3" spans="1:16" ht="15.75">
      <c r="A3" s="502" t="s">
        <v>2020</v>
      </c>
      <c r="B3" s="503" t="e">
        <f ca="1">ROUND(B2*10000/E2,0)</f>
        <v>#DIV/0!</v>
      </c>
      <c r="C3" s="502" t="s">
        <v>2021</v>
      </c>
      <c r="D3" s="504"/>
      <c r="E3" s="504"/>
      <c r="F3" s="504"/>
      <c r="G3" s="504"/>
      <c r="H3" s="504"/>
      <c r="I3" s="504"/>
      <c r="J3" s="504"/>
      <c r="K3" s="504"/>
      <c r="L3" s="504"/>
      <c r="M3" s="504"/>
      <c r="N3" s="504"/>
      <c r="O3" s="504"/>
      <c r="P3" s="504"/>
    </row>
    <row r="4" spans="1:16" ht="15.75">
      <c r="A4" s="505"/>
      <c r="B4" s="504"/>
      <c r="C4" s="504"/>
      <c r="D4" s="504"/>
      <c r="E4" s="504"/>
      <c r="F4" s="504"/>
      <c r="G4" s="504"/>
      <c r="H4" s="504"/>
      <c r="I4" s="504"/>
      <c r="J4" s="504"/>
      <c r="K4" s="504"/>
      <c r="L4" s="504"/>
      <c r="M4" s="504"/>
      <c r="N4" s="504"/>
      <c r="O4" s="504"/>
      <c r="P4" s="504"/>
    </row>
    <row r="5" spans="1:16" ht="28.5">
      <c r="A5" s="506" t="s">
        <v>2022</v>
      </c>
      <c r="B5" s="507" t="s">
        <v>2023</v>
      </c>
      <c r="C5" s="508"/>
      <c r="D5" s="504"/>
      <c r="E5" s="511" t="s">
        <v>2024</v>
      </c>
      <c r="F5" s="504"/>
      <c r="G5" s="504"/>
      <c r="H5" s="504"/>
      <c r="I5" s="504"/>
      <c r="J5" s="504"/>
      <c r="K5" s="504"/>
      <c r="L5" s="504"/>
      <c r="M5" s="504"/>
      <c r="N5" s="504"/>
      <c r="O5" s="504"/>
      <c r="P5" s="504"/>
    </row>
    <row r="6" spans="1:16" ht="15.75">
      <c r="A6" s="509" t="s">
        <v>2025</v>
      </c>
      <c r="B6" s="503" t="e">
        <f ca="1">SUMIF(INDIRECT("'"&amp;A6&amp;"'"&amp;"!A:A"),"总价",INDIRECT("'"&amp;A6&amp;"'"&amp;"!B:B"))</f>
        <v>#DIV/0!</v>
      </c>
      <c r="C6" s="502" t="s">
        <v>2018</v>
      </c>
      <c r="D6" s="504"/>
      <c r="E6" s="510">
        <f ca="1">SUMIF(INDIRECT("'"&amp;A6&amp;"'"&amp;"!C:C"),"建筑面积",INDIRECT("'"&amp;A6&amp;"'"&amp;"!D:D"))</f>
        <v>0</v>
      </c>
      <c r="F6" s="504"/>
      <c r="G6" s="504"/>
      <c r="H6" s="504"/>
      <c r="I6" s="504"/>
      <c r="J6" s="504"/>
      <c r="K6" s="504"/>
      <c r="L6" s="504"/>
      <c r="M6" s="504"/>
      <c r="N6" s="504"/>
      <c r="O6" s="504"/>
      <c r="P6" s="504"/>
    </row>
    <row r="7" spans="1:16" ht="15.75">
      <c r="A7" s="509"/>
      <c r="B7" s="503" t="e">
        <f ca="1">SUMIF(INDIRECT("'"&amp;A7&amp;"'"&amp;"!A:A"),"总价",INDIRECT("'"&amp;A7&amp;"'"&amp;"!B:B"))</f>
        <v>#REF!</v>
      </c>
      <c r="C7" s="502" t="s">
        <v>2018</v>
      </c>
      <c r="D7" s="504"/>
      <c r="E7" s="510" t="e">
        <f t="shared" ref="E7:E13" ca="1" si="0">SUMIF(INDIRECT("'"&amp;A7&amp;"'"&amp;"!C:C"),"建筑面积",INDIRECT("'"&amp;A7&amp;"'"&amp;"!D:D"))</f>
        <v>#REF!</v>
      </c>
      <c r="F7" s="504"/>
      <c r="G7" s="504"/>
      <c r="H7" s="504"/>
      <c r="I7" s="504"/>
      <c r="J7" s="504"/>
      <c r="K7" s="504"/>
      <c r="L7" s="504"/>
      <c r="M7" s="504"/>
      <c r="N7" s="504"/>
      <c r="O7" s="504"/>
      <c r="P7" s="504"/>
    </row>
    <row r="8" spans="1:16" ht="15.75">
      <c r="A8" s="509"/>
      <c r="B8" s="503" t="e">
        <f t="shared" ref="B8:B13" ca="1" si="1">SUMIF(INDIRECT("'"&amp;A8&amp;"'"&amp;"!A:A"),"总价",INDIRECT("'"&amp;A8&amp;"'"&amp;"!B:B"))</f>
        <v>#REF!</v>
      </c>
      <c r="C8" s="502" t="s">
        <v>2018</v>
      </c>
      <c r="D8" s="504"/>
      <c r="E8" s="510" t="e">
        <f t="shared" ca="1" si="0"/>
        <v>#REF!</v>
      </c>
      <c r="F8" s="504"/>
      <c r="G8" s="504"/>
      <c r="H8" s="504"/>
      <c r="I8" s="504"/>
      <c r="J8" s="504"/>
      <c r="K8" s="504"/>
      <c r="L8" s="504"/>
      <c r="M8" s="504"/>
      <c r="N8" s="504"/>
      <c r="O8" s="504"/>
      <c r="P8" s="504"/>
    </row>
    <row r="9" spans="1:16" ht="15.75">
      <c r="A9" s="509"/>
      <c r="B9" s="503" t="e">
        <f t="shared" ca="1" si="1"/>
        <v>#REF!</v>
      </c>
      <c r="C9" s="502" t="s">
        <v>2018</v>
      </c>
      <c r="D9" s="504"/>
      <c r="E9" s="510" t="e">
        <f t="shared" ca="1" si="0"/>
        <v>#REF!</v>
      </c>
      <c r="F9" s="504"/>
      <c r="G9" s="504"/>
      <c r="H9" s="504"/>
      <c r="I9" s="504"/>
      <c r="J9" s="504"/>
      <c r="K9" s="504"/>
      <c r="L9" s="504"/>
      <c r="M9" s="504"/>
      <c r="N9" s="504"/>
      <c r="O9" s="504"/>
      <c r="P9" s="504"/>
    </row>
    <row r="10" spans="1:16" ht="15.75">
      <c r="A10" s="509"/>
      <c r="B10" s="503" t="e">
        <f t="shared" ca="1" si="1"/>
        <v>#REF!</v>
      </c>
      <c r="C10" s="502" t="s">
        <v>2018</v>
      </c>
      <c r="D10" s="504"/>
      <c r="E10" s="510" t="e">
        <f t="shared" ca="1" si="0"/>
        <v>#REF!</v>
      </c>
      <c r="F10" s="504"/>
      <c r="G10" s="504"/>
      <c r="H10" s="504"/>
      <c r="I10" s="504"/>
      <c r="J10" s="504"/>
      <c r="K10" s="504"/>
      <c r="L10" s="504"/>
      <c r="M10" s="504"/>
      <c r="N10" s="504"/>
      <c r="O10" s="504"/>
      <c r="P10" s="504"/>
    </row>
    <row r="11" spans="1:16" ht="15.75">
      <c r="A11" s="509"/>
      <c r="B11" s="503" t="e">
        <f t="shared" ca="1" si="1"/>
        <v>#REF!</v>
      </c>
      <c r="C11" s="502" t="s">
        <v>2018</v>
      </c>
      <c r="D11" s="504"/>
      <c r="E11" s="510" t="e">
        <f t="shared" ca="1" si="0"/>
        <v>#REF!</v>
      </c>
      <c r="F11" s="504"/>
      <c r="G11" s="504"/>
      <c r="H11" s="504"/>
      <c r="I11" s="504"/>
      <c r="J11" s="504"/>
      <c r="K11" s="504"/>
      <c r="L11" s="504"/>
      <c r="M11" s="504"/>
      <c r="N11" s="504"/>
      <c r="O11" s="504"/>
      <c r="P11" s="504"/>
    </row>
    <row r="12" spans="1:16" ht="15.75">
      <c r="A12" s="509"/>
      <c r="B12" s="503" t="e">
        <f t="shared" ca="1" si="1"/>
        <v>#REF!</v>
      </c>
      <c r="C12" s="502" t="s">
        <v>2018</v>
      </c>
      <c r="D12" s="504"/>
      <c r="E12" s="510" t="e">
        <f t="shared" ca="1" si="0"/>
        <v>#REF!</v>
      </c>
      <c r="F12" s="504"/>
      <c r="G12" s="504"/>
      <c r="H12" s="504"/>
      <c r="I12" s="504"/>
      <c r="J12" s="504"/>
      <c r="K12" s="504"/>
      <c r="L12" s="504"/>
      <c r="M12" s="504"/>
      <c r="N12" s="504"/>
      <c r="O12" s="504"/>
      <c r="P12" s="504"/>
    </row>
    <row r="13" spans="1:16" ht="15.75">
      <c r="A13" s="509"/>
      <c r="B13" s="503" t="e">
        <f t="shared" ca="1" si="1"/>
        <v>#REF!</v>
      </c>
      <c r="C13" s="502" t="s">
        <v>2018</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549" t="s">
        <v>2026</v>
      </c>
      <c r="C1" s="3549"/>
      <c r="D1" s="3549"/>
      <c r="E1" s="3549"/>
      <c r="F1" s="3549"/>
      <c r="G1" s="3550" t="s">
        <v>2027</v>
      </c>
      <c r="H1" s="3550"/>
      <c r="I1" s="3550"/>
      <c r="J1" s="3550"/>
      <c r="K1" s="3550"/>
      <c r="L1" s="3550"/>
      <c r="N1" s="3550" t="s">
        <v>2028</v>
      </c>
      <c r="O1" s="3550"/>
      <c r="P1" s="3550"/>
      <c r="Q1" s="3550"/>
      <c r="S1" s="3550" t="s">
        <v>2029</v>
      </c>
      <c r="T1" s="3550"/>
      <c r="U1" s="3550"/>
      <c r="V1" s="3550"/>
      <c r="X1" s="3551" t="s">
        <v>2030</v>
      </c>
      <c r="Y1" s="3550"/>
      <c r="Z1" s="3550"/>
      <c r="AA1" s="3550"/>
      <c r="AB1" s="3550"/>
      <c r="AD1" s="3551" t="s">
        <v>2031</v>
      </c>
      <c r="AE1" s="3550"/>
      <c r="AF1" s="3550"/>
      <c r="AG1" s="3550"/>
      <c r="AH1" s="3550"/>
    </row>
    <row r="2" spans="1:34" s="366" customFormat="1" ht="13.5">
      <c r="B2" s="376" t="s">
        <v>2032</v>
      </c>
      <c r="C2" s="376" t="s">
        <v>2033</v>
      </c>
      <c r="D2" s="377" t="s">
        <v>1776</v>
      </c>
      <c r="E2" s="377" t="s">
        <v>1777</v>
      </c>
      <c r="F2" s="376" t="s">
        <v>2034</v>
      </c>
      <c r="G2" s="395"/>
      <c r="I2" s="376" t="s">
        <v>2032</v>
      </c>
      <c r="J2" s="377" t="s">
        <v>1788</v>
      </c>
      <c r="K2" s="377" t="s">
        <v>1777</v>
      </c>
      <c r="L2" s="376" t="s">
        <v>2034</v>
      </c>
      <c r="N2" s="376" t="s">
        <v>2032</v>
      </c>
      <c r="O2" s="377" t="s">
        <v>1788</v>
      </c>
      <c r="P2" s="377" t="s">
        <v>1777</v>
      </c>
      <c r="Q2" s="376" t="s">
        <v>2034</v>
      </c>
      <c r="S2" s="376" t="s">
        <v>2032</v>
      </c>
      <c r="T2" s="377" t="s">
        <v>1788</v>
      </c>
      <c r="U2" s="377" t="s">
        <v>1777</v>
      </c>
      <c r="V2" s="376" t="s">
        <v>2034</v>
      </c>
      <c r="X2" s="376" t="s">
        <v>2032</v>
      </c>
      <c r="Y2" s="376" t="s">
        <v>2033</v>
      </c>
      <c r="Z2" s="377" t="s">
        <v>1776</v>
      </c>
      <c r="AA2" s="377" t="s">
        <v>1777</v>
      </c>
      <c r="AB2" s="376" t="s">
        <v>2034</v>
      </c>
      <c r="AD2" s="376" t="s">
        <v>2032</v>
      </c>
      <c r="AE2" s="376" t="s">
        <v>2033</v>
      </c>
      <c r="AF2" s="377" t="s">
        <v>1776</v>
      </c>
      <c r="AG2" s="377" t="s">
        <v>1777</v>
      </c>
      <c r="AH2" s="376" t="s">
        <v>2034</v>
      </c>
    </row>
    <row r="3" spans="1:34" s="367" customFormat="1" ht="14.25">
      <c r="A3" s="378" t="s">
        <v>2035</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25">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2036</v>
      </c>
      <c r="B5" s="384">
        <f t="shared" ref="B5" si="2">B6*(1+N5)</f>
        <v>510.070896595546</v>
      </c>
      <c r="C5" s="384">
        <f t="shared" ref="C5" si="3">C6*(1+O5)</f>
        <v>352.55593185737399</v>
      </c>
      <c r="D5" s="384">
        <f t="shared" ref="D5" si="4">C5</f>
        <v>352.55593185737399</v>
      </c>
      <c r="E5" s="384">
        <f t="shared" ref="E5" si="5">E6*(1+P5)</f>
        <v>737.279924634037</v>
      </c>
      <c r="F5" s="384">
        <f t="shared" ref="F5" si="6">F6*(1+Q5)</f>
        <v>335.88319198297899</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2037</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2038</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1.17E-2</v>
      </c>
      <c r="Q6" s="433">
        <f t="shared" ref="Q6" si="21">L6/100</f>
        <v>5.4999999999999997E-3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2039</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400">
        <v>2021</v>
      </c>
      <c r="H7" s="402">
        <v>3</v>
      </c>
      <c r="I7" s="419">
        <v>0.47</v>
      </c>
      <c r="J7" s="419">
        <v>0.41</v>
      </c>
      <c r="K7" s="419">
        <v>0.48</v>
      </c>
      <c r="L7" s="420">
        <v>0.48</v>
      </c>
      <c r="M7" s="374"/>
      <c r="N7" s="432">
        <f t="shared" ref="N7" si="29">I7/100</f>
        <v>4.7000000000000002E-3</v>
      </c>
      <c r="O7" s="433">
        <f t="shared" ref="O7" si="30">J7/100</f>
        <v>4.1000000000000003E-3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2040</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2041</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9.7000000000000402E-3</v>
      </c>
      <c r="T9" s="433">
        <f t="shared" ref="T9" si="55">C9/C10-1</f>
        <v>1.6000000000000499E-3</v>
      </c>
      <c r="U9" s="433">
        <f t="shared" ref="U9" si="56">D9/D10-1</f>
        <v>1.6000000000000499E-3</v>
      </c>
      <c r="V9" s="433">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2042</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2043</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400">
        <v>2020</v>
      </c>
      <c r="H11" s="402">
        <v>3</v>
      </c>
      <c r="I11" s="419">
        <v>0.36</v>
      </c>
      <c r="J11" s="419">
        <v>-0.39</v>
      </c>
      <c r="K11" s="419">
        <v>0.49</v>
      </c>
      <c r="L11" s="420">
        <v>7.0000000000000007E-2</v>
      </c>
      <c r="M11" s="374"/>
      <c r="N11" s="432">
        <f t="shared" ref="N11" si="76">I11/100</f>
        <v>3.5999999999999999E-3</v>
      </c>
      <c r="O11" s="433">
        <f t="shared" ref="O11" si="77">J11/100</f>
        <v>-3.8999999999999998E-3</v>
      </c>
      <c r="P11" s="433">
        <f t="shared" ref="P11" si="78">K11/100</f>
        <v>4.8999999999999998E-3</v>
      </c>
      <c r="Q11" s="433">
        <f t="shared" ref="Q11" si="79">L11/100</f>
        <v>6.9999999999999999E-4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2044</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400">
        <v>2020</v>
      </c>
      <c r="H12" s="402">
        <v>2</v>
      </c>
      <c r="I12" s="419">
        <v>0.31</v>
      </c>
      <c r="J12" s="419">
        <v>-0.78</v>
      </c>
      <c r="K12" s="419">
        <v>0.5</v>
      </c>
      <c r="L12" s="420">
        <v>0.47</v>
      </c>
      <c r="M12" s="374"/>
      <c r="N12" s="432">
        <f t="shared" ref="N12" si="87">I12/100</f>
        <v>3.0999999999999999E-3</v>
      </c>
      <c r="O12" s="433">
        <f t="shared" ref="O12" si="88">J12/100</f>
        <v>-7.7999999999999996E-3</v>
      </c>
      <c r="P12" s="433">
        <f t="shared" ref="P12" si="89">K12/100</f>
        <v>5.0000000000000001E-3</v>
      </c>
      <c r="Q12" s="433">
        <f t="shared" ref="Q12" si="90">L12/100</f>
        <v>4.7000000000000002E-3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2045</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1.2000000000000901E-3</v>
      </c>
      <c r="T13" s="433">
        <f t="shared" ref="T13" si="102">C13/C14-1</f>
        <v>-4.0000000000000001E-3</v>
      </c>
      <c r="U13" s="433">
        <f t="shared" ref="U13" si="103">D13/D14-1</f>
        <v>-4.0000000000000001E-3</v>
      </c>
      <c r="V13" s="433">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2046</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400">
        <v>2019</v>
      </c>
      <c r="H14" s="402">
        <v>4</v>
      </c>
      <c r="I14" s="402">
        <v>0.45</v>
      </c>
      <c r="J14" s="402">
        <v>-0.12</v>
      </c>
      <c r="K14" s="402">
        <v>0.54</v>
      </c>
      <c r="L14" s="421">
        <v>0.48</v>
      </c>
      <c r="M14" s="374"/>
      <c r="N14" s="432">
        <f t="shared" ref="N14:N19" si="112">I14/100</f>
        <v>4.4999999999999997E-3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2047</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400">
        <v>2019</v>
      </c>
      <c r="H15" s="402">
        <v>3</v>
      </c>
      <c r="I15" s="402">
        <v>0.61</v>
      </c>
      <c r="J15" s="402">
        <v>0.67</v>
      </c>
      <c r="K15" s="402">
        <v>0.6</v>
      </c>
      <c r="L15" s="421">
        <v>1.03</v>
      </c>
      <c r="M15" s="374"/>
      <c r="N15" s="432">
        <f t="shared" si="112"/>
        <v>6.1000000000000004E-3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2048</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400">
        <v>2019</v>
      </c>
      <c r="H16" s="403">
        <v>2</v>
      </c>
      <c r="I16" s="403">
        <v>1.53</v>
      </c>
      <c r="J16" s="403">
        <v>1.01</v>
      </c>
      <c r="K16" s="403">
        <v>1.62</v>
      </c>
      <c r="L16" s="422">
        <v>1.25</v>
      </c>
      <c r="M16" s="374"/>
      <c r="N16" s="432">
        <f t="shared" si="112"/>
        <v>1.5299999999999999E-2</v>
      </c>
      <c r="O16" s="433">
        <f t="shared" ref="O16" si="133">J16/100</f>
        <v>1.01E-2</v>
      </c>
      <c r="P16" s="433">
        <f t="shared" ref="P16" si="134">K16/100</f>
        <v>1.6199999999999999E-2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2049</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6.0000000000000097E-3</v>
      </c>
      <c r="T17" s="433">
        <f t="shared" ref="T17" si="146">C17/C18-1</f>
        <v>3.7000000000000401E-3</v>
      </c>
      <c r="U17" s="433">
        <f t="shared" ref="U17" si="147">D17/D18-1</f>
        <v>3.7000000000000401E-3</v>
      </c>
      <c r="V17" s="433">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2050</v>
      </c>
      <c r="B18" s="387">
        <f t="shared" ref="B18" si="151">B19*(1+N18)</f>
        <v>464.37293017158902</v>
      </c>
      <c r="C18" s="387">
        <f t="shared" ref="C18" si="152">C19*(1+O18)</f>
        <v>344.73679941386001</v>
      </c>
      <c r="D18" s="387">
        <f t="shared" ref="D18" si="153">C18</f>
        <v>344.73679941386001</v>
      </c>
      <c r="E18" s="387">
        <f t="shared" ref="E18" si="154">E19*(1+P18)</f>
        <v>663.23777951031104</v>
      </c>
      <c r="F18" s="404">
        <f t="shared" ref="F18" si="155">F19*(1+Q18)</f>
        <v>304.75936311478398</v>
      </c>
      <c r="G18" s="3552">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5" customHeight="1">
      <c r="A19" s="385" t="s">
        <v>2051</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52"/>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5" customHeight="1">
      <c r="A20" s="385" t="s">
        <v>2052</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52"/>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2.4400000000000002E-2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2053</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3"/>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1.6400000000000001E-2</v>
      </c>
      <c r="Q21" s="433">
        <f t="shared" ref="Q21" si="190">L21/100</f>
        <v>2.01E-2</v>
      </c>
      <c r="R21" s="446"/>
      <c r="S21" s="432">
        <f>B21/B22-1</f>
        <v>1.6999999999999901E-2</v>
      </c>
      <c r="T21" s="433">
        <f t="shared" ref="T21" si="191">C21/C22-1</f>
        <v>1.9200000000000099E-2</v>
      </c>
      <c r="U21" s="433">
        <f t="shared" ref="U21" si="192">D21/D22-1</f>
        <v>1.9200000000000099E-2</v>
      </c>
      <c r="V21" s="433">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2054</v>
      </c>
      <c r="B22" s="388">
        <v>439</v>
      </c>
      <c r="C22" s="388">
        <v>327</v>
      </c>
      <c r="D22" s="388">
        <f t="shared" si="184"/>
        <v>327</v>
      </c>
      <c r="E22" s="388">
        <v>627</v>
      </c>
      <c r="F22" s="406">
        <v>283</v>
      </c>
      <c r="G22" s="3554">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5" customHeight="1">
      <c r="A23" s="385" t="s">
        <v>2055</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52"/>
      <c r="H23" s="402">
        <v>3</v>
      </c>
      <c r="I23" s="402">
        <v>2.98</v>
      </c>
      <c r="J23" s="402">
        <v>2.11</v>
      </c>
      <c r="K23" s="402">
        <v>3.24</v>
      </c>
      <c r="L23" s="421">
        <v>1.72</v>
      </c>
      <c r="M23" s="374"/>
      <c r="N23" s="432">
        <f t="shared" si="187"/>
        <v>2.98E-2</v>
      </c>
      <c r="O23" s="433">
        <f t="shared" ref="O23" si="204">J23/100</f>
        <v>2.1100000000000001E-2</v>
      </c>
      <c r="P23" s="433">
        <f t="shared" ref="P23" si="205">K23/100</f>
        <v>3.2399999999999998E-2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5" customHeight="1">
      <c r="A24" s="385" t="s">
        <v>2056</v>
      </c>
      <c r="B24" s="386">
        <f t="shared" si="199"/>
        <v>419.31181600000002</v>
      </c>
      <c r="C24" s="386">
        <f t="shared" si="200"/>
        <v>313.95436799999999</v>
      </c>
      <c r="D24" s="386">
        <f t="shared" si="201"/>
        <v>313.95436799999999</v>
      </c>
      <c r="E24" s="386">
        <f t="shared" si="202"/>
        <v>596.63028431999999</v>
      </c>
      <c r="F24" s="386">
        <f t="shared" si="203"/>
        <v>274.74220703999998</v>
      </c>
      <c r="G24" s="3552"/>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2057</v>
      </c>
      <c r="B25" s="386">
        <f t="shared" si="199"/>
        <v>405.524</v>
      </c>
      <c r="C25" s="386">
        <f t="shared" si="200"/>
        <v>307.79840000000002</v>
      </c>
      <c r="D25" s="386">
        <f t="shared" si="201"/>
        <v>307.79840000000002</v>
      </c>
      <c r="E25" s="386">
        <f t="shared" si="202"/>
        <v>574.67759999999998</v>
      </c>
      <c r="F25" s="386">
        <f t="shared" si="203"/>
        <v>270.20280000000002</v>
      </c>
      <c r="G25" s="3553"/>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3.4500000000000003E-2</v>
      </c>
      <c r="T25" s="433">
        <f t="shared" ref="T25:V25" si="211">C25/C26-1</f>
        <v>1.9200000000000099E-2</v>
      </c>
      <c r="U25" s="433">
        <f t="shared" si="211"/>
        <v>1.9200000000000099E-2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2058</v>
      </c>
      <c r="B26" s="388">
        <v>392</v>
      </c>
      <c r="C26" s="388">
        <v>302</v>
      </c>
      <c r="D26" s="388">
        <f t="shared" si="201"/>
        <v>302</v>
      </c>
      <c r="E26" s="388">
        <v>553</v>
      </c>
      <c r="F26" s="406">
        <v>266</v>
      </c>
      <c r="G26" s="3554">
        <v>2016</v>
      </c>
      <c r="H26" s="403">
        <v>4</v>
      </c>
      <c r="I26" s="403">
        <v>4.5599999999999996</v>
      </c>
      <c r="J26" s="403">
        <v>2.15</v>
      </c>
      <c r="K26" s="403">
        <v>5.32</v>
      </c>
      <c r="L26" s="422">
        <v>1.57</v>
      </c>
      <c r="N26" s="432">
        <f t="shared" si="187"/>
        <v>4.5600000000000002E-2</v>
      </c>
      <c r="O26" s="433">
        <f t="shared" si="210"/>
        <v>2.1499999999999998E-2</v>
      </c>
      <c r="P26" s="433">
        <f t="shared" si="210"/>
        <v>5.3199999999999997E-2</v>
      </c>
      <c r="Q26" s="433">
        <f t="shared" si="210"/>
        <v>1.5699999999999999E-2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2059</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52"/>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2060</v>
      </c>
      <c r="B28" s="386">
        <f t="shared" si="212"/>
        <v>360.06949782209398</v>
      </c>
      <c r="C28" s="386">
        <f t="shared" si="212"/>
        <v>289.84672674747799</v>
      </c>
      <c r="D28" s="386">
        <f t="shared" si="213"/>
        <v>289.84672674747799</v>
      </c>
      <c r="E28" s="386">
        <f t="shared" si="214"/>
        <v>501.06543001181501</v>
      </c>
      <c r="F28" s="386">
        <f t="shared" si="214"/>
        <v>256.82882500745001</v>
      </c>
      <c r="G28" s="3552"/>
      <c r="H28" s="405">
        <v>2</v>
      </c>
      <c r="I28" s="405">
        <v>3.85</v>
      </c>
      <c r="J28" s="405">
        <v>1.95</v>
      </c>
      <c r="K28" s="405">
        <v>4.4800000000000004</v>
      </c>
      <c r="L28" s="423">
        <v>1.41</v>
      </c>
      <c r="N28" s="432">
        <f t="shared" si="215"/>
        <v>3.85E-2</v>
      </c>
      <c r="O28" s="433">
        <f t="shared" si="210"/>
        <v>1.95E-2</v>
      </c>
      <c r="P28" s="433">
        <f t="shared" si="210"/>
        <v>4.48E-2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2061</v>
      </c>
      <c r="B29" s="386">
        <f t="shared" si="212"/>
        <v>346.720748986128</v>
      </c>
      <c r="C29" s="386">
        <f t="shared" si="212"/>
        <v>284.30282172386302</v>
      </c>
      <c r="D29" s="386">
        <f t="shared" si="213"/>
        <v>284.30282172386302</v>
      </c>
      <c r="E29" s="386">
        <f t="shared" si="214"/>
        <v>479.58023546306902</v>
      </c>
      <c r="F29" s="386">
        <f t="shared" si="214"/>
        <v>253.25788877571199</v>
      </c>
      <c r="G29" s="3555"/>
      <c r="H29" s="402">
        <v>1</v>
      </c>
      <c r="I29" s="402">
        <v>4.09</v>
      </c>
      <c r="J29" s="402">
        <v>2.93</v>
      </c>
      <c r="K29" s="402">
        <v>4.54</v>
      </c>
      <c r="L29" s="421">
        <v>1.48</v>
      </c>
      <c r="N29" s="432">
        <f t="shared" si="215"/>
        <v>4.0899999999999999E-2</v>
      </c>
      <c r="O29" s="433">
        <f t="shared" si="210"/>
        <v>2.93E-2</v>
      </c>
      <c r="P29" s="433">
        <f t="shared" si="210"/>
        <v>4.5400000000000003E-2</v>
      </c>
      <c r="Q29" s="433">
        <f t="shared" si="210"/>
        <v>1.4800000000000001E-2</v>
      </c>
      <c r="R29" s="446"/>
      <c r="S29" s="437">
        <f>B29/B30-1</f>
        <v>4.1203450408792801E-2</v>
      </c>
      <c r="T29" s="438">
        <f>C29/C30-1</f>
        <v>2.6363977342465102E-2</v>
      </c>
      <c r="U29" s="438">
        <f>E29/E30-1</f>
        <v>4.4837114298626399E-2</v>
      </c>
      <c r="V29" s="438">
        <f>F29/F30-1</f>
        <v>1.7099954922538602E-2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2062</v>
      </c>
      <c r="B30" s="388">
        <v>333</v>
      </c>
      <c r="C30" s="388">
        <v>277</v>
      </c>
      <c r="D30" s="388">
        <f t="shared" si="213"/>
        <v>277</v>
      </c>
      <c r="E30" s="388">
        <v>459</v>
      </c>
      <c r="F30" s="406">
        <v>249</v>
      </c>
      <c r="G30" s="3556">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2063</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52"/>
      <c r="H31" s="408">
        <v>3</v>
      </c>
      <c r="I31" s="408">
        <v>1.65</v>
      </c>
      <c r="J31" s="408">
        <v>0.92</v>
      </c>
      <c r="K31" s="408">
        <v>1.88</v>
      </c>
      <c r="L31" s="425">
        <v>1.26</v>
      </c>
      <c r="N31" s="432">
        <f t="shared" si="215"/>
        <v>1.6500000000000001E-2</v>
      </c>
      <c r="O31" s="436">
        <f t="shared" si="210"/>
        <v>9.1999999999999998E-3</v>
      </c>
      <c r="P31" s="436">
        <f t="shared" si="210"/>
        <v>1.8800000000000001E-2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2064</v>
      </c>
      <c r="B32" s="386">
        <f t="shared" si="216"/>
        <v>322.34053690220799</v>
      </c>
      <c r="C32" s="386">
        <f t="shared" si="216"/>
        <v>271.461607704225</v>
      </c>
      <c r="D32" s="386">
        <f t="shared" si="213"/>
        <v>271.461607704225</v>
      </c>
      <c r="E32" s="386">
        <f t="shared" si="217"/>
        <v>442.69434542172502</v>
      </c>
      <c r="F32" s="386">
        <f t="shared" si="217"/>
        <v>241.34030753190899</v>
      </c>
      <c r="G32" s="3552"/>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2065</v>
      </c>
      <c r="B33" s="386">
        <f t="shared" si="216"/>
        <v>319.87748030386803</v>
      </c>
      <c r="C33" s="386">
        <f t="shared" si="216"/>
        <v>269.60135833173598</v>
      </c>
      <c r="D33" s="386">
        <f t="shared" si="213"/>
        <v>269.60135833173598</v>
      </c>
      <c r="E33" s="386">
        <f t="shared" si="217"/>
        <v>439.18089823583801</v>
      </c>
      <c r="F33" s="386">
        <f t="shared" si="217"/>
        <v>239.23503918706299</v>
      </c>
      <c r="G33" s="3555"/>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9.2999999999999992E-3</v>
      </c>
      <c r="R33" s="446"/>
      <c r="S33" s="437">
        <f>B33/B34-1</f>
        <v>5.9040261127922796E-3</v>
      </c>
      <c r="T33" s="438">
        <f>C33/C34-1</f>
        <v>5.9752176557332799E-3</v>
      </c>
      <c r="U33" s="438">
        <f>E33/E34-1</f>
        <v>4.9906138119859599E-3</v>
      </c>
      <c r="V33" s="438">
        <f>F33/F34-1</f>
        <v>9.4305450930933805E-3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2066</v>
      </c>
      <c r="B34" s="389">
        <v>318</v>
      </c>
      <c r="C34" s="389">
        <v>268</v>
      </c>
      <c r="D34" s="389">
        <f t="shared" si="213"/>
        <v>268</v>
      </c>
      <c r="E34" s="389">
        <v>437</v>
      </c>
      <c r="F34" s="409">
        <v>237</v>
      </c>
      <c r="G34" s="3556">
        <v>2014</v>
      </c>
      <c r="H34" s="407">
        <v>4</v>
      </c>
      <c r="I34" s="407">
        <v>0.21</v>
      </c>
      <c r="J34" s="407">
        <v>0.41</v>
      </c>
      <c r="K34" s="407">
        <v>0.12</v>
      </c>
      <c r="L34" s="424">
        <v>0.89</v>
      </c>
      <c r="N34" s="432">
        <f t="shared" si="215"/>
        <v>2.0999999999999999E-3</v>
      </c>
      <c r="O34" s="433">
        <f t="shared" si="210"/>
        <v>4.1000000000000003E-3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2067</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52"/>
      <c r="H35" s="410">
        <v>3</v>
      </c>
      <c r="I35" s="410">
        <v>0.83</v>
      </c>
      <c r="J35" s="410">
        <v>1.47</v>
      </c>
      <c r="K35" s="410">
        <v>0.65</v>
      </c>
      <c r="L35" s="426">
        <v>0.72</v>
      </c>
      <c r="N35" s="432">
        <f t="shared" si="215"/>
        <v>8.3000000000000001E-3</v>
      </c>
      <c r="O35" s="433">
        <f t="shared" si="210"/>
        <v>1.47E-2</v>
      </c>
      <c r="P35" s="433">
        <f t="shared" si="210"/>
        <v>6.4999999999999997E-3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2068</v>
      </c>
      <c r="B36" s="386">
        <f t="shared" si="218"/>
        <v>314.721411723865</v>
      </c>
      <c r="C36" s="386">
        <f t="shared" si="218"/>
        <v>263.03901319069001</v>
      </c>
      <c r="D36" s="386">
        <f t="shared" si="213"/>
        <v>263.03901319069001</v>
      </c>
      <c r="E36" s="386">
        <f t="shared" si="219"/>
        <v>433.65745506782798</v>
      </c>
      <c r="F36" s="386">
        <f t="shared" si="219"/>
        <v>233.23005080045701</v>
      </c>
      <c r="G36" s="3552"/>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2069</v>
      </c>
      <c r="B37" s="391">
        <f t="shared" si="218"/>
        <v>307.34512863658699</v>
      </c>
      <c r="C37" s="391">
        <f t="shared" si="218"/>
        <v>257.80556031626998</v>
      </c>
      <c r="D37" s="391">
        <f t="shared" si="213"/>
        <v>257.80556031626998</v>
      </c>
      <c r="E37" s="391">
        <f t="shared" si="219"/>
        <v>422.70928459677202</v>
      </c>
      <c r="F37" s="391">
        <f t="shared" si="219"/>
        <v>229.738032703366</v>
      </c>
      <c r="G37" s="3555"/>
      <c r="H37" s="411">
        <v>1</v>
      </c>
      <c r="I37" s="411">
        <v>2.97</v>
      </c>
      <c r="J37" s="411">
        <v>2.34</v>
      </c>
      <c r="K37" s="411">
        <v>3.28</v>
      </c>
      <c r="L37" s="427">
        <v>1.36</v>
      </c>
      <c r="N37" s="439">
        <f t="shared" si="215"/>
        <v>2.9700000000000001E-2</v>
      </c>
      <c r="O37" s="440">
        <f t="shared" si="210"/>
        <v>2.3400000000000001E-2</v>
      </c>
      <c r="P37" s="440">
        <f t="shared" si="210"/>
        <v>3.2800000000000003E-2</v>
      </c>
      <c r="Q37" s="440">
        <f t="shared" si="210"/>
        <v>1.3599999999999999E-2</v>
      </c>
      <c r="R37" s="449"/>
      <c r="S37" s="450">
        <f>B37/B38-1</f>
        <v>2.7910129219355501E-2</v>
      </c>
      <c r="T37" s="451">
        <f>C37/C38-1</f>
        <v>2.3037937762975198E-2</v>
      </c>
      <c r="U37" s="451">
        <f>E37/E38-1</f>
        <v>3.3519033243940802E-2</v>
      </c>
      <c r="V37" s="451">
        <f>F37/F38-1</f>
        <v>1.20618180765029E-2</v>
      </c>
      <c r="W37" s="458" t="s">
        <v>2070</v>
      </c>
      <c r="X37" s="459">
        <v>1</v>
      </c>
      <c r="Y37" s="459">
        <v>1</v>
      </c>
      <c r="Z37" s="459">
        <v>1</v>
      </c>
      <c r="AA37" s="459">
        <v>1</v>
      </c>
      <c r="AB37" s="459">
        <v>1</v>
      </c>
      <c r="AD37" s="440">
        <f>I37/100</f>
        <v>2.9700000000000001E-2</v>
      </c>
      <c r="AE37" s="440">
        <f>J37/100</f>
        <v>2.3400000000000001E-2</v>
      </c>
      <c r="AF37" s="440">
        <f t="shared" si="221"/>
        <v>2.3400000000000001E-2</v>
      </c>
      <c r="AG37" s="440">
        <f>K37/100</f>
        <v>3.2800000000000003E-2</v>
      </c>
      <c r="AH37" s="440">
        <f>L37/100</f>
        <v>1.3599999999999999E-2</v>
      </c>
    </row>
    <row r="38" spans="1:34">
      <c r="A38" s="385" t="s">
        <v>2071</v>
      </c>
      <c r="B38" s="388">
        <v>299</v>
      </c>
      <c r="C38" s="388">
        <v>252</v>
      </c>
      <c r="D38" s="388">
        <f t="shared" si="213"/>
        <v>252</v>
      </c>
      <c r="E38" s="388">
        <v>409</v>
      </c>
      <c r="F38" s="406">
        <v>227</v>
      </c>
      <c r="G38" s="3557">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2072</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8"/>
      <c r="H39" s="408">
        <v>3</v>
      </c>
      <c r="I39" s="408">
        <v>1.86</v>
      </c>
      <c r="J39" s="408">
        <v>1.72</v>
      </c>
      <c r="K39" s="408">
        <v>1.98</v>
      </c>
      <c r="L39" s="425">
        <v>0.88</v>
      </c>
      <c r="N39" s="432">
        <f t="shared" si="215"/>
        <v>1.8599999999999998E-2</v>
      </c>
      <c r="O39" s="436">
        <f t="shared" si="210"/>
        <v>1.72E-2</v>
      </c>
      <c r="P39" s="436">
        <f t="shared" si="210"/>
        <v>1.9800000000000002E-2</v>
      </c>
      <c r="Q39" s="436">
        <f t="shared" si="210"/>
        <v>8.8000000000000005E-3</v>
      </c>
      <c r="R39" s="446"/>
      <c r="S39" s="432"/>
      <c r="T39" s="433"/>
      <c r="U39" s="433"/>
      <c r="V39" s="433"/>
    </row>
    <row r="40" spans="1:34">
      <c r="A40" s="385" t="s">
        <v>2073</v>
      </c>
      <c r="B40" s="386">
        <f t="shared" si="222"/>
        <v>288.264905382878</v>
      </c>
      <c r="C40" s="386">
        <f t="shared" si="222"/>
        <v>243.64564425013299</v>
      </c>
      <c r="D40" s="386">
        <f t="shared" si="213"/>
        <v>243.64564425013299</v>
      </c>
      <c r="E40" s="386">
        <f t="shared" si="223"/>
        <v>393.31080825986498</v>
      </c>
      <c r="F40" s="386">
        <f t="shared" si="223"/>
        <v>223.079037905512</v>
      </c>
      <c r="G40" s="3558"/>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2074</v>
      </c>
      <c r="B41" s="386">
        <f t="shared" si="222"/>
        <v>282.50186729015797</v>
      </c>
      <c r="C41" s="386">
        <f t="shared" si="222"/>
        <v>238.097961741555</v>
      </c>
      <c r="D41" s="386">
        <f t="shared" si="213"/>
        <v>238.097961741555</v>
      </c>
      <c r="E41" s="386">
        <f t="shared" si="223"/>
        <v>385.33438646014099</v>
      </c>
      <c r="F41" s="386">
        <f t="shared" si="223"/>
        <v>221.550340555677</v>
      </c>
      <c r="G41" s="3559"/>
      <c r="H41" s="402">
        <v>1</v>
      </c>
      <c r="I41" s="402">
        <v>1.67</v>
      </c>
      <c r="J41" s="402">
        <v>1.31</v>
      </c>
      <c r="K41" s="402">
        <v>1.85</v>
      </c>
      <c r="L41" s="421">
        <v>0.96</v>
      </c>
      <c r="N41" s="437">
        <f t="shared" si="215"/>
        <v>1.67E-2</v>
      </c>
      <c r="O41" s="438">
        <f t="shared" si="215"/>
        <v>1.3100000000000001E-2</v>
      </c>
      <c r="P41" s="438">
        <f t="shared" si="215"/>
        <v>1.8499999999999999E-2</v>
      </c>
      <c r="Q41" s="438">
        <f t="shared" si="215"/>
        <v>9.5999999999999992E-3</v>
      </c>
      <c r="R41" s="446"/>
      <c r="S41" s="437">
        <f>B41/B42-1</f>
        <v>1.61937672307855E-2</v>
      </c>
      <c r="T41" s="438">
        <f>C41/C42-1</f>
        <v>1.7512657015190902E-2</v>
      </c>
      <c r="U41" s="438">
        <f>E41/E42-1</f>
        <v>1.6713420739156999E-2</v>
      </c>
      <c r="V41" s="438">
        <f>F41/F42-1</f>
        <v>7.0470025258062598E-3</v>
      </c>
      <c r="X41" s="461"/>
      <c r="Y41" s="433"/>
      <c r="Z41" s="433"/>
    </row>
    <row r="42" spans="1:34">
      <c r="A42" s="385" t="s">
        <v>2075</v>
      </c>
      <c r="B42" s="392">
        <v>278</v>
      </c>
      <c r="C42" s="392">
        <v>234</v>
      </c>
      <c r="D42" s="392">
        <f t="shared" si="213"/>
        <v>234</v>
      </c>
      <c r="E42" s="392">
        <v>379</v>
      </c>
      <c r="F42" s="413">
        <v>220</v>
      </c>
      <c r="G42" s="3556">
        <v>2012</v>
      </c>
      <c r="H42" s="407">
        <v>4</v>
      </c>
      <c r="I42" s="407">
        <v>0.91</v>
      </c>
      <c r="J42" s="407">
        <v>0.68</v>
      </c>
      <c r="K42" s="407">
        <v>0.98</v>
      </c>
      <c r="L42" s="424">
        <v>0.9</v>
      </c>
      <c r="N42" s="432">
        <f t="shared" si="215"/>
        <v>9.1000000000000004E-3</v>
      </c>
      <c r="O42" s="433">
        <f t="shared" si="215"/>
        <v>6.7999999999999996E-3</v>
      </c>
      <c r="P42" s="433">
        <f t="shared" si="215"/>
        <v>9.7999999999999997E-3</v>
      </c>
      <c r="Q42" s="433">
        <f t="shared" si="215"/>
        <v>8.9999999999999993E-3</v>
      </c>
      <c r="R42" s="446"/>
      <c r="S42" s="447"/>
      <c r="T42" s="448"/>
      <c r="U42" s="448"/>
      <c r="V42" s="448"/>
      <c r="X42" s="448"/>
      <c r="Y42" s="448"/>
      <c r="Z42" s="448"/>
    </row>
    <row r="43" spans="1:34">
      <c r="A43" s="385" t="s">
        <v>2076</v>
      </c>
      <c r="B43" s="386">
        <f>B42/(1+N42)</f>
        <v>275.49301357645402</v>
      </c>
      <c r="C43" s="386">
        <f>C42/(1+O42)</f>
        <v>232.41954707985701</v>
      </c>
      <c r="D43" s="386">
        <f t="shared" si="213"/>
        <v>232.41954707985701</v>
      </c>
      <c r="E43" s="386">
        <f t="shared" ref="E43:F45" si="224">E42/(1+P42)</f>
        <v>375.32184591008098</v>
      </c>
      <c r="F43" s="386">
        <f t="shared" si="224"/>
        <v>218.03766105054501</v>
      </c>
      <c r="G43" s="3552"/>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2077</v>
      </c>
      <c r="B44" s="386">
        <f>B43/(1+N43)</f>
        <v>275.24529281292303</v>
      </c>
      <c r="C44" s="386">
        <f>C43/(1+O43)</f>
        <v>231.74747938962699</v>
      </c>
      <c r="D44" s="386">
        <f t="shared" si="213"/>
        <v>231.74747938962699</v>
      </c>
      <c r="E44" s="386">
        <f t="shared" si="224"/>
        <v>375.35938184826603</v>
      </c>
      <c r="F44" s="386">
        <f t="shared" si="224"/>
        <v>216.78033510692501</v>
      </c>
      <c r="G44" s="3552"/>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2078</v>
      </c>
      <c r="B45" s="386">
        <f>B44/(1+N44)</f>
        <v>275.19025476196998</v>
      </c>
      <c r="C45" s="393">
        <v>232</v>
      </c>
      <c r="D45" s="393">
        <f t="shared" si="213"/>
        <v>232</v>
      </c>
      <c r="E45" s="386">
        <f t="shared" si="224"/>
        <v>375.65990977608698</v>
      </c>
      <c r="F45" s="386">
        <f t="shared" si="224"/>
        <v>214.12518283971301</v>
      </c>
      <c r="G45" s="3555"/>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6.91835498073612E-4</v>
      </c>
      <c r="T45" s="438">
        <f>C45/C46-1</f>
        <v>0</v>
      </c>
      <c r="U45" s="438">
        <f>E45/E46-1</f>
        <v>-9.0449527636460303E-4</v>
      </c>
      <c r="V45" s="438">
        <f>F45/F46-1</f>
        <v>5.2825485432512797E-3</v>
      </c>
      <c r="X45" s="433"/>
      <c r="Y45" s="433"/>
      <c r="Z45" s="433"/>
    </row>
    <row r="46" spans="1:34">
      <c r="A46" s="385" t="s">
        <v>2079</v>
      </c>
      <c r="B46" s="388">
        <v>275</v>
      </c>
      <c r="C46" s="388">
        <v>232</v>
      </c>
      <c r="D46" s="388">
        <f t="shared" si="213"/>
        <v>232</v>
      </c>
      <c r="E46" s="388">
        <v>376</v>
      </c>
      <c r="F46" s="406">
        <v>213</v>
      </c>
      <c r="G46" s="3556">
        <v>2011</v>
      </c>
      <c r="H46" s="407">
        <v>4</v>
      </c>
      <c r="I46" s="407">
        <v>-0.2</v>
      </c>
      <c r="J46" s="407">
        <v>0.04</v>
      </c>
      <c r="K46" s="407">
        <v>-0.34</v>
      </c>
      <c r="L46" s="424">
        <v>0.46</v>
      </c>
      <c r="N46" s="434">
        <f t="shared" si="215"/>
        <v>-2E-3</v>
      </c>
      <c r="O46" s="435">
        <f t="shared" si="215"/>
        <v>4.0000000000000002E-4</v>
      </c>
      <c r="P46" s="435">
        <f t="shared" si="215"/>
        <v>-3.3999999999999998E-3</v>
      </c>
      <c r="Q46" s="435">
        <f t="shared" si="215"/>
        <v>4.5999999999999999E-3</v>
      </c>
      <c r="R46" s="446"/>
      <c r="S46" s="447"/>
      <c r="T46" s="448"/>
      <c r="U46" s="448"/>
      <c r="V46" s="448"/>
      <c r="X46" s="448"/>
      <c r="Y46" s="448"/>
      <c r="Z46" s="448"/>
    </row>
    <row r="47" spans="1:34">
      <c r="A47" s="385" t="s">
        <v>2080</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52">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2081</v>
      </c>
      <c r="B48" s="386">
        <f t="shared" si="225"/>
        <v>275.19335084830601</v>
      </c>
      <c r="C48" s="386">
        <f t="shared" si="225"/>
        <v>230.18088050139701</v>
      </c>
      <c r="D48" s="386">
        <f t="shared" si="213"/>
        <v>230.18088050139701</v>
      </c>
      <c r="E48" s="386">
        <f t="shared" si="226"/>
        <v>377.58482925212297</v>
      </c>
      <c r="F48" s="386">
        <f t="shared" si="226"/>
        <v>210.906879978479</v>
      </c>
      <c r="G48" s="3552">
        <v>2011</v>
      </c>
      <c r="H48" s="405">
        <v>2</v>
      </c>
      <c r="I48" s="405">
        <v>-0.4</v>
      </c>
      <c r="J48" s="405">
        <v>0.17</v>
      </c>
      <c r="K48" s="405">
        <v>-0.57999999999999996</v>
      </c>
      <c r="L48" s="423">
        <v>-0.2</v>
      </c>
      <c r="N48" s="432">
        <f t="shared" si="215"/>
        <v>-4.0000000000000001E-3</v>
      </c>
      <c r="O48" s="436">
        <f t="shared" si="215"/>
        <v>1.6999999999999999E-3</v>
      </c>
      <c r="P48" s="436">
        <f t="shared" si="215"/>
        <v>-5.7999999999999996E-3</v>
      </c>
      <c r="Q48" s="436">
        <f t="shared" si="215"/>
        <v>-2E-3</v>
      </c>
      <c r="R48" s="446"/>
      <c r="S48" s="432"/>
      <c r="T48" s="433"/>
      <c r="U48" s="433"/>
      <c r="V48" s="433"/>
    </row>
    <row r="49" spans="1:26">
      <c r="A49" s="385" t="s">
        <v>2082</v>
      </c>
      <c r="B49" s="386">
        <f t="shared" si="225"/>
        <v>276.29854502841999</v>
      </c>
      <c r="C49" s="386">
        <f t="shared" si="225"/>
        <v>229.79023709833001</v>
      </c>
      <c r="D49" s="386">
        <f t="shared" si="213"/>
        <v>229.79023709833001</v>
      </c>
      <c r="E49" s="386">
        <f t="shared" si="226"/>
        <v>379.78759731655902</v>
      </c>
      <c r="F49" s="386">
        <f t="shared" si="226"/>
        <v>211.32953905659201</v>
      </c>
      <c r="G49" s="3555">
        <v>2011</v>
      </c>
      <c r="H49" s="402">
        <v>1</v>
      </c>
      <c r="I49" s="402">
        <v>2.65</v>
      </c>
      <c r="J49" s="402">
        <v>3.76</v>
      </c>
      <c r="K49" s="402">
        <v>1.89</v>
      </c>
      <c r="L49" s="421">
        <v>7.95</v>
      </c>
      <c r="N49" s="437">
        <f t="shared" si="215"/>
        <v>2.6499999999999999E-2</v>
      </c>
      <c r="O49" s="438">
        <f t="shared" si="215"/>
        <v>3.7600000000000001E-2</v>
      </c>
      <c r="P49" s="438">
        <f t="shared" si="215"/>
        <v>1.89E-2</v>
      </c>
      <c r="Q49" s="438">
        <f t="shared" si="215"/>
        <v>7.9500000000000001E-2</v>
      </c>
      <c r="R49" s="446"/>
      <c r="S49" s="437">
        <f>B49/B50-1</f>
        <v>2.7132137652117898E-2</v>
      </c>
      <c r="T49" s="438">
        <f>C49/C50-1</f>
        <v>3.9774828499231897E-2</v>
      </c>
      <c r="U49" s="438">
        <f>E49/E50-1</f>
        <v>1.81973118406418E-2</v>
      </c>
      <c r="V49" s="438">
        <f>F49/F50-1</f>
        <v>7.8211933962205799E-2</v>
      </c>
      <c r="X49" s="433"/>
      <c r="Y49" s="433"/>
      <c r="Z49" s="433"/>
    </row>
    <row r="50" spans="1:26">
      <c r="A50" s="385" t="s">
        <v>2083</v>
      </c>
      <c r="B50" s="388">
        <v>269</v>
      </c>
      <c r="C50" s="388">
        <v>221</v>
      </c>
      <c r="D50" s="388">
        <f t="shared" si="213"/>
        <v>221</v>
      </c>
      <c r="E50" s="388">
        <v>373</v>
      </c>
      <c r="F50" s="406">
        <v>196</v>
      </c>
      <c r="G50" s="3556">
        <v>2010</v>
      </c>
      <c r="H50" s="407">
        <v>4</v>
      </c>
      <c r="I50" s="407">
        <v>5.72</v>
      </c>
      <c r="J50" s="407">
        <v>6.57</v>
      </c>
      <c r="K50" s="407">
        <v>5.72</v>
      </c>
      <c r="L50" s="424">
        <v>2.72</v>
      </c>
      <c r="N50" s="432">
        <f t="shared" si="215"/>
        <v>5.7200000000000001E-2</v>
      </c>
      <c r="O50" s="433">
        <f t="shared" si="215"/>
        <v>6.5699999999999995E-2</v>
      </c>
      <c r="P50" s="433">
        <f t="shared" si="215"/>
        <v>5.7200000000000001E-2</v>
      </c>
      <c r="Q50" s="433">
        <f t="shared" si="215"/>
        <v>2.7199999999999998E-2</v>
      </c>
      <c r="R50" s="446"/>
      <c r="S50" s="447"/>
      <c r="T50" s="448"/>
      <c r="U50" s="448"/>
      <c r="V50" s="448"/>
      <c r="X50" s="448"/>
      <c r="Y50" s="448"/>
      <c r="Z50" s="448"/>
    </row>
    <row r="51" spans="1:26">
      <c r="A51" s="385" t="s">
        <v>2084</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52">
        <v>2010</v>
      </c>
      <c r="H51" s="408">
        <v>3</v>
      </c>
      <c r="I51" s="408">
        <v>4.7300000000000004</v>
      </c>
      <c r="J51" s="408">
        <v>3.9</v>
      </c>
      <c r="K51" s="408">
        <v>5.03</v>
      </c>
      <c r="L51" s="425">
        <v>4.21</v>
      </c>
      <c r="N51" s="432">
        <f t="shared" si="215"/>
        <v>4.7300000000000002E-2</v>
      </c>
      <c r="O51" s="433">
        <f t="shared" si="215"/>
        <v>3.9E-2</v>
      </c>
      <c r="P51" s="433">
        <f t="shared" si="215"/>
        <v>5.0299999999999997E-2</v>
      </c>
      <c r="Q51" s="433">
        <f t="shared" si="215"/>
        <v>4.2099999999999999E-2</v>
      </c>
      <c r="R51" s="446"/>
      <c r="S51" s="432"/>
      <c r="T51" s="433"/>
      <c r="U51" s="433"/>
      <c r="V51" s="433"/>
    </row>
    <row r="52" spans="1:26">
      <c r="A52" s="385" t="s">
        <v>2085</v>
      </c>
      <c r="B52" s="386">
        <f t="shared" si="227"/>
        <v>242.95398227588399</v>
      </c>
      <c r="C52" s="386">
        <f t="shared" si="227"/>
        <v>199.591370536141</v>
      </c>
      <c r="D52" s="386">
        <f t="shared" si="213"/>
        <v>199.591370536141</v>
      </c>
      <c r="E52" s="386">
        <f t="shared" si="228"/>
        <v>335.92189522342102</v>
      </c>
      <c r="F52" s="386">
        <f t="shared" si="228"/>
        <v>183.101399911095</v>
      </c>
      <c r="G52" s="3552">
        <v>2010</v>
      </c>
      <c r="H52" s="405">
        <v>2</v>
      </c>
      <c r="I52" s="405">
        <v>4.6900000000000004</v>
      </c>
      <c r="J52" s="405">
        <v>3.55</v>
      </c>
      <c r="K52" s="405">
        <v>5.07</v>
      </c>
      <c r="L52" s="423">
        <v>4.2300000000000004</v>
      </c>
      <c r="N52" s="432">
        <f t="shared" si="215"/>
        <v>4.6899999999999997E-2</v>
      </c>
      <c r="O52" s="433">
        <f t="shared" si="215"/>
        <v>3.5499999999999997E-2</v>
      </c>
      <c r="P52" s="433">
        <f t="shared" si="215"/>
        <v>5.0700000000000002E-2</v>
      </c>
      <c r="Q52" s="433">
        <f t="shared" si="215"/>
        <v>4.2299999999999997E-2</v>
      </c>
      <c r="R52" s="446"/>
      <c r="S52" s="432"/>
      <c r="T52" s="433"/>
      <c r="U52" s="433"/>
      <c r="V52" s="433"/>
    </row>
    <row r="53" spans="1:26">
      <c r="A53" s="385" t="s">
        <v>2086</v>
      </c>
      <c r="B53" s="386">
        <f t="shared" si="227"/>
        <v>232.06990378821601</v>
      </c>
      <c r="C53" s="386">
        <f t="shared" si="227"/>
        <v>192.74878854286899</v>
      </c>
      <c r="D53" s="386">
        <f t="shared" si="213"/>
        <v>192.74878854286899</v>
      </c>
      <c r="E53" s="386">
        <f t="shared" si="228"/>
        <v>319.71247284993001</v>
      </c>
      <c r="F53" s="386">
        <f t="shared" si="228"/>
        <v>175.670536228624</v>
      </c>
      <c r="G53" s="3555">
        <v>2010</v>
      </c>
      <c r="H53" s="402">
        <v>1</v>
      </c>
      <c r="I53" s="402">
        <v>5.4</v>
      </c>
      <c r="J53" s="402">
        <v>3.2</v>
      </c>
      <c r="K53" s="402">
        <v>6.16</v>
      </c>
      <c r="L53" s="421">
        <v>4.51</v>
      </c>
      <c r="N53" s="432">
        <f t="shared" si="215"/>
        <v>5.3999999999999999E-2</v>
      </c>
      <c r="O53" s="433">
        <f t="shared" si="215"/>
        <v>3.2000000000000001E-2</v>
      </c>
      <c r="P53" s="433">
        <f t="shared" si="215"/>
        <v>6.1600000000000002E-2</v>
      </c>
      <c r="Q53" s="433">
        <f t="shared" si="215"/>
        <v>4.5100000000000001E-2</v>
      </c>
      <c r="R53" s="446"/>
      <c r="S53" s="437">
        <f>B53/B54-1</f>
        <v>5.4863199037347599E-2</v>
      </c>
      <c r="T53" s="438">
        <f>C53/C54-1</f>
        <v>3.0742184721226602E-2</v>
      </c>
      <c r="U53" s="438">
        <f>E53/E54-1</f>
        <v>6.2167683886810203E-2</v>
      </c>
      <c r="V53" s="438">
        <f>F53/F54-1</f>
        <v>4.5657953741810003E-2</v>
      </c>
      <c r="X53" s="433"/>
      <c r="Y53" s="433"/>
      <c r="Z53" s="433"/>
    </row>
    <row r="54" spans="1:26">
      <c r="A54" s="385" t="s">
        <v>2087</v>
      </c>
      <c r="B54" s="388">
        <v>220</v>
      </c>
      <c r="C54" s="388">
        <v>187</v>
      </c>
      <c r="D54" s="388">
        <f t="shared" si="213"/>
        <v>187</v>
      </c>
      <c r="E54" s="388">
        <v>301</v>
      </c>
      <c r="F54" s="406">
        <v>168</v>
      </c>
      <c r="G54" s="3556">
        <v>2009</v>
      </c>
      <c r="H54" s="407">
        <v>4</v>
      </c>
      <c r="I54" s="407">
        <v>2.2999999999999998</v>
      </c>
      <c r="J54" s="407">
        <v>1.04</v>
      </c>
      <c r="K54" s="407">
        <v>2.84</v>
      </c>
      <c r="L54" s="424">
        <v>0.67</v>
      </c>
      <c r="N54" s="434">
        <f t="shared" si="215"/>
        <v>2.3E-2</v>
      </c>
      <c r="O54" s="435">
        <f t="shared" si="215"/>
        <v>1.04E-2</v>
      </c>
      <c r="P54" s="435">
        <f t="shared" si="215"/>
        <v>2.8400000000000002E-2</v>
      </c>
      <c r="Q54" s="435">
        <f t="shared" si="215"/>
        <v>6.7000000000000002E-3</v>
      </c>
      <c r="R54" s="446"/>
      <c r="S54" s="447"/>
      <c r="T54" s="448"/>
      <c r="U54" s="448"/>
      <c r="V54" s="448"/>
      <c r="X54" s="448"/>
      <c r="Y54" s="448"/>
      <c r="Z54" s="448"/>
    </row>
    <row r="55" spans="1:26">
      <c r="A55" s="385" t="s">
        <v>2088</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52">
        <v>2009</v>
      </c>
      <c r="H55" s="408">
        <v>3</v>
      </c>
      <c r="I55" s="408">
        <v>2.1</v>
      </c>
      <c r="J55" s="408">
        <v>1.86</v>
      </c>
      <c r="K55" s="408">
        <v>2.29</v>
      </c>
      <c r="L55" s="425">
        <v>0.85</v>
      </c>
      <c r="N55" s="432">
        <f t="shared" si="215"/>
        <v>2.1000000000000001E-2</v>
      </c>
      <c r="O55" s="436">
        <f t="shared" si="215"/>
        <v>1.8599999999999998E-2</v>
      </c>
      <c r="P55" s="436">
        <f t="shared" si="215"/>
        <v>2.29E-2</v>
      </c>
      <c r="Q55" s="436">
        <f t="shared" si="215"/>
        <v>8.5000000000000006E-3</v>
      </c>
      <c r="R55" s="446"/>
      <c r="S55" s="432"/>
      <c r="T55" s="433"/>
      <c r="U55" s="433"/>
      <c r="V55" s="433"/>
    </row>
    <row r="56" spans="1:26">
      <c r="A56" s="385" t="s">
        <v>2089</v>
      </c>
      <c r="B56" s="386">
        <f t="shared" si="229"/>
        <v>210.630522469011</v>
      </c>
      <c r="C56" s="386">
        <f t="shared" si="229"/>
        <v>181.695678122472</v>
      </c>
      <c r="D56" s="386">
        <f t="shared" si="213"/>
        <v>181.695678122472</v>
      </c>
      <c r="E56" s="386">
        <f t="shared" si="230"/>
        <v>286.13517466736698</v>
      </c>
      <c r="F56" s="386">
        <f t="shared" si="230"/>
        <v>165.47535084591101</v>
      </c>
      <c r="G56" s="3552">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2090</v>
      </c>
      <c r="B57" s="386">
        <f t="shared" si="229"/>
        <v>208.834545378754</v>
      </c>
      <c r="C57" s="386">
        <f t="shared" si="229"/>
        <v>183.77230517090399</v>
      </c>
      <c r="D57" s="386">
        <f t="shared" si="213"/>
        <v>183.77230517090399</v>
      </c>
      <c r="E57" s="386">
        <f t="shared" si="230"/>
        <v>281.10342338870902</v>
      </c>
      <c r="F57" s="386">
        <f t="shared" si="230"/>
        <v>168.97309388942301</v>
      </c>
      <c r="G57" s="3555">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-2.4137638417038799E-2</v>
      </c>
      <c r="T57" s="438">
        <f>C57/C58-1</f>
        <v>-2.2487738452641001E-2</v>
      </c>
      <c r="U57" s="438">
        <f>E57/E58-1</f>
        <v>-2.73237945027354E-2</v>
      </c>
      <c r="V57" s="438">
        <f>F57/F58-1</f>
        <v>1.7910204153148E-2</v>
      </c>
      <c r="X57" s="433"/>
      <c r="Y57" s="433"/>
      <c r="Z57" s="433"/>
    </row>
    <row r="58" spans="1:26">
      <c r="A58" s="385" t="s">
        <v>2091</v>
      </c>
      <c r="B58" s="392">
        <v>214</v>
      </c>
      <c r="C58" s="392">
        <v>188</v>
      </c>
      <c r="D58" s="392">
        <f t="shared" si="213"/>
        <v>188</v>
      </c>
      <c r="E58" s="392">
        <v>289</v>
      </c>
      <c r="F58" s="413">
        <v>166</v>
      </c>
      <c r="G58" s="3556">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2092</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52">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2093</v>
      </c>
      <c r="B60" s="386">
        <f t="shared" si="231"/>
        <v>206.31694671589099</v>
      </c>
      <c r="C60" s="386">
        <f t="shared" si="231"/>
        <v>183.61041121036101</v>
      </c>
      <c r="D60" s="386">
        <f t="shared" si="213"/>
        <v>183.61041121036101</v>
      </c>
      <c r="E60" s="386">
        <f t="shared" si="232"/>
        <v>276.66850301795603</v>
      </c>
      <c r="F60" s="386">
        <f t="shared" si="232"/>
        <v>165.136093827861</v>
      </c>
      <c r="G60" s="3552">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6.8599999999999994E-2</v>
      </c>
      <c r="R60" s="446"/>
      <c r="S60" s="432"/>
      <c r="T60" s="433"/>
      <c r="U60" s="433"/>
      <c r="V60" s="433"/>
    </row>
    <row r="61" spans="1:26" s="372" customFormat="1">
      <c r="A61" s="385" t="s">
        <v>2094</v>
      </c>
      <c r="B61" s="394">
        <f t="shared" si="231"/>
        <v>196.62341248059801</v>
      </c>
      <c r="C61" s="394">
        <f t="shared" si="231"/>
        <v>170.99125648199001</v>
      </c>
      <c r="D61" s="394">
        <f t="shared" si="213"/>
        <v>170.99125648199001</v>
      </c>
      <c r="E61" s="394">
        <f t="shared" si="232"/>
        <v>266.07857570490103</v>
      </c>
      <c r="F61" s="394">
        <f t="shared" si="232"/>
        <v>154.53499328828499</v>
      </c>
      <c r="G61" s="3555">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4.5869215322328301E-2</v>
      </c>
      <c r="T61" s="442">
        <f>C61/C62-1</f>
        <v>3.6310645345394701E-2</v>
      </c>
      <c r="U61" s="442">
        <f>E61/E62-1</f>
        <v>4.7553447657088702E-2</v>
      </c>
      <c r="V61" s="442">
        <f>F61/F62-1</f>
        <v>4.41553600559801E-2</v>
      </c>
      <c r="X61" s="442"/>
      <c r="Y61" s="442"/>
      <c r="Z61" s="442"/>
    </row>
    <row r="62" spans="1:26">
      <c r="A62" s="385" t="s">
        <v>2095</v>
      </c>
      <c r="B62" s="388">
        <v>188</v>
      </c>
      <c r="C62" s="388">
        <v>165</v>
      </c>
      <c r="D62" s="388">
        <f t="shared" si="213"/>
        <v>165</v>
      </c>
      <c r="E62" s="388">
        <v>254</v>
      </c>
      <c r="F62" s="406">
        <v>148</v>
      </c>
      <c r="G62" s="3556">
        <v>2007</v>
      </c>
      <c r="H62" s="415">
        <v>4</v>
      </c>
      <c r="I62" s="415">
        <v>5.51</v>
      </c>
      <c r="J62" s="415">
        <v>4.8899999999999997</v>
      </c>
      <c r="K62" s="415">
        <v>6.43</v>
      </c>
      <c r="L62" s="430">
        <v>5.36</v>
      </c>
      <c r="N62" s="443">
        <f t="shared" ref="N62:O65" si="233">B62/B63-1</f>
        <v>4.1339718365245498E-2</v>
      </c>
      <c r="O62" s="444">
        <f t="shared" si="233"/>
        <v>4.0324492593775997E-2</v>
      </c>
      <c r="P62" s="444">
        <f t="shared" ref="P62:Q65" si="234">E62/E63-1</f>
        <v>6.1625555347991003E-2</v>
      </c>
      <c r="Q62" s="444">
        <f t="shared" si="234"/>
        <v>4.6757569250590603E-2</v>
      </c>
      <c r="R62" s="446"/>
      <c r="S62" s="447"/>
      <c r="T62" s="448"/>
      <c r="U62" s="448"/>
      <c r="V62" s="448"/>
      <c r="X62" s="448"/>
      <c r="Y62" s="448"/>
      <c r="Z62" s="448"/>
    </row>
    <row r="63" spans="1:26">
      <c r="A63" s="385" t="s">
        <v>2096</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52">
        <v>2007</v>
      </c>
      <c r="H63" s="408">
        <v>3</v>
      </c>
      <c r="I63" s="408">
        <v>8.65</v>
      </c>
      <c r="J63" s="408">
        <v>8.06</v>
      </c>
      <c r="K63" s="408">
        <v>9.94</v>
      </c>
      <c r="L63" s="425">
        <v>5.8</v>
      </c>
      <c r="N63" s="443">
        <f t="shared" si="233"/>
        <v>6.9402175717400094E-2</v>
      </c>
      <c r="O63" s="444">
        <f t="shared" si="233"/>
        <v>7.11974824711534E-2</v>
      </c>
      <c r="P63" s="444">
        <f t="shared" si="234"/>
        <v>0.105296799225796</v>
      </c>
      <c r="Q63" s="444">
        <f t="shared" si="234"/>
        <v>5.3292245059512099E-2</v>
      </c>
      <c r="R63" s="446"/>
      <c r="S63" s="432"/>
      <c r="T63" s="433"/>
      <c r="U63" s="433"/>
      <c r="V63" s="433"/>
      <c r="X63" s="462"/>
      <c r="Y63" s="462"/>
      <c r="Z63" s="462"/>
    </row>
    <row r="64" spans="1:26">
      <c r="A64" s="385" t="s">
        <v>2097</v>
      </c>
      <c r="B64" s="386">
        <f t="shared" si="235"/>
        <v>168.820177487156</v>
      </c>
      <c r="C64" s="386">
        <f t="shared" si="235"/>
        <v>148.06267029972801</v>
      </c>
      <c r="D64" s="386">
        <f t="shared" si="213"/>
        <v>148.06267029972801</v>
      </c>
      <c r="E64" s="386">
        <f t="shared" si="236"/>
        <v>216.46288379323701</v>
      </c>
      <c r="F64" s="386">
        <f t="shared" si="236"/>
        <v>134.23529411764699</v>
      </c>
      <c r="G64" s="3552">
        <v>2007</v>
      </c>
      <c r="H64" s="405">
        <v>2</v>
      </c>
      <c r="I64" s="405">
        <v>3.67</v>
      </c>
      <c r="J64" s="405">
        <v>2.3199999999999998</v>
      </c>
      <c r="K64" s="405">
        <v>5.0199999999999996</v>
      </c>
      <c r="L64" s="423">
        <v>6.71</v>
      </c>
      <c r="N64" s="443">
        <f t="shared" si="233"/>
        <v>3.0339138143848001E-2</v>
      </c>
      <c r="O64" s="444">
        <f t="shared" si="233"/>
        <v>2.09223415887905E-2</v>
      </c>
      <c r="P64" s="444">
        <f t="shared" si="234"/>
        <v>5.6164796592717003E-2</v>
      </c>
      <c r="Q64" s="444">
        <f t="shared" si="234"/>
        <v>6.5704536723887305E-2</v>
      </c>
      <c r="R64" s="446"/>
      <c r="S64" s="432"/>
      <c r="T64" s="433"/>
      <c r="U64" s="433"/>
      <c r="V64" s="433"/>
      <c r="X64" s="462"/>
      <c r="Y64" s="462"/>
      <c r="Z64" s="462"/>
    </row>
    <row r="65" spans="1:26">
      <c r="A65" s="385" t="s">
        <v>2098</v>
      </c>
      <c r="B65" s="386">
        <f t="shared" si="235"/>
        <v>163.849135917795</v>
      </c>
      <c r="C65" s="386">
        <f t="shared" si="235"/>
        <v>145.028337874659</v>
      </c>
      <c r="D65" s="386">
        <f t="shared" si="213"/>
        <v>145.028337874659</v>
      </c>
      <c r="E65" s="386">
        <f t="shared" si="236"/>
        <v>204.95180722891601</v>
      </c>
      <c r="F65" s="386">
        <f t="shared" si="236"/>
        <v>125.959203036053</v>
      </c>
      <c r="G65" s="3555">
        <v>2007</v>
      </c>
      <c r="H65" s="402">
        <v>1</v>
      </c>
      <c r="I65" s="402">
        <v>3.58</v>
      </c>
      <c r="J65" s="402">
        <v>3.08</v>
      </c>
      <c r="K65" s="402">
        <v>4.34</v>
      </c>
      <c r="L65" s="421">
        <v>3.21</v>
      </c>
      <c r="N65" s="482">
        <f t="shared" si="233"/>
        <v>3.0497710174814101E-2</v>
      </c>
      <c r="O65" s="483">
        <f t="shared" si="233"/>
        <v>2.8569772160705002E-2</v>
      </c>
      <c r="P65" s="483">
        <f t="shared" si="234"/>
        <v>5.1034908866234303E-2</v>
      </c>
      <c r="Q65" s="483">
        <f t="shared" si="234"/>
        <v>3.2452483902074801E-2</v>
      </c>
      <c r="R65" s="446"/>
      <c r="S65" s="437">
        <f>B65/B66-1</f>
        <v>3.0497710174814101E-2</v>
      </c>
      <c r="T65" s="438">
        <f>C65/C66-1</f>
        <v>2.8569772160705002E-2</v>
      </c>
      <c r="U65" s="438">
        <f>E65/E66-1</f>
        <v>5.1034908866234303E-2</v>
      </c>
      <c r="V65" s="438">
        <f>F65/F66-1</f>
        <v>3.2452483902074801E-2</v>
      </c>
      <c r="X65" s="462"/>
      <c r="Y65" s="462"/>
      <c r="Z65" s="462"/>
    </row>
    <row r="66" spans="1:26">
      <c r="A66" s="385" t="s">
        <v>2099</v>
      </c>
      <c r="B66" s="389">
        <v>159</v>
      </c>
      <c r="C66" s="389">
        <v>141</v>
      </c>
      <c r="D66" s="389">
        <f t="shared" si="213"/>
        <v>141</v>
      </c>
      <c r="E66" s="389">
        <v>195</v>
      </c>
      <c r="F66" s="409">
        <v>122</v>
      </c>
      <c r="G66" s="3556">
        <v>2006</v>
      </c>
      <c r="H66" s="407">
        <v>4</v>
      </c>
      <c r="I66" s="407">
        <v>3.79</v>
      </c>
      <c r="J66" s="407">
        <v>2.21</v>
      </c>
      <c r="K66" s="407">
        <v>5.65</v>
      </c>
      <c r="L66" s="424">
        <v>5.41</v>
      </c>
      <c r="N66" s="443">
        <f t="shared" ref="N66:O69" si="237">I66/SUM(I$66:I$69)*(B$66/B$70-1)</f>
        <v>7.2454664627485302E-2</v>
      </c>
      <c r="O66" s="444">
        <f t="shared" si="237"/>
        <v>2.3237230038062801E-2</v>
      </c>
      <c r="P66" s="444">
        <f t="shared" ref="P66:Q69" si="238">K66/SUM(K$66:K$69)*(E$66/E$70-1)</f>
        <v>0.161468938663237</v>
      </c>
      <c r="Q66" s="444">
        <f t="shared" si="238"/>
        <v>5.0755230321793798E-2</v>
      </c>
      <c r="R66" s="446"/>
      <c r="S66" s="447"/>
      <c r="T66" s="448"/>
      <c r="U66" s="448"/>
      <c r="V66" s="448"/>
      <c r="X66" s="462"/>
      <c r="Y66" s="462"/>
      <c r="Z66" s="462"/>
    </row>
    <row r="67" spans="1:26">
      <c r="A67" s="385" t="s">
        <v>2100</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52">
        <v>2006</v>
      </c>
      <c r="H67" s="408">
        <v>3</v>
      </c>
      <c r="I67" s="408">
        <v>0.92</v>
      </c>
      <c r="J67" s="408">
        <v>1.08</v>
      </c>
      <c r="K67" s="408">
        <v>0.73</v>
      </c>
      <c r="L67" s="425">
        <v>1.08</v>
      </c>
      <c r="N67" s="443">
        <f t="shared" si="237"/>
        <v>1.75879396984925E-2</v>
      </c>
      <c r="O67" s="444">
        <f t="shared" si="237"/>
        <v>1.13557504258406E-2</v>
      </c>
      <c r="P67" s="444">
        <f t="shared" si="238"/>
        <v>2.0862358446754499E-2</v>
      </c>
      <c r="Q67" s="444">
        <f t="shared" si="238"/>
        <v>1.0132282578103001E-2</v>
      </c>
      <c r="R67" s="446"/>
      <c r="S67" s="432"/>
      <c r="T67" s="433"/>
      <c r="U67" s="433"/>
      <c r="V67" s="433"/>
      <c r="X67" s="462"/>
      <c r="Y67" s="462"/>
      <c r="Z67" s="462"/>
    </row>
    <row r="68" spans="1:26">
      <c r="A68" s="385" t="s">
        <v>2101</v>
      </c>
      <c r="B68" s="386">
        <f t="shared" si="239"/>
        <v>146.57412060301499</v>
      </c>
      <c r="C68" s="386">
        <f t="shared" si="239"/>
        <v>136.468319559229</v>
      </c>
      <c r="D68" s="386">
        <f t="shared" si="213"/>
        <v>136.468319559229</v>
      </c>
      <c r="E68" s="386">
        <f t="shared" si="240"/>
        <v>166.73864894795099</v>
      </c>
      <c r="F68" s="386">
        <f t="shared" si="240"/>
        <v>115.058823529412</v>
      </c>
      <c r="G68" s="3552">
        <v>2006</v>
      </c>
      <c r="H68" s="405">
        <v>2</v>
      </c>
      <c r="I68" s="405">
        <v>0.96</v>
      </c>
      <c r="J68" s="405">
        <v>0.25</v>
      </c>
      <c r="K68" s="405">
        <v>1.9</v>
      </c>
      <c r="L68" s="423">
        <v>0.95</v>
      </c>
      <c r="N68" s="443">
        <f t="shared" si="237"/>
        <v>1.8352632728861701E-2</v>
      </c>
      <c r="O68" s="444">
        <f t="shared" si="237"/>
        <v>2.62864593190755E-3</v>
      </c>
      <c r="P68" s="444">
        <f t="shared" si="238"/>
        <v>5.4299289107991297E-2</v>
      </c>
      <c r="Q68" s="444">
        <f t="shared" si="238"/>
        <v>8.9126559714794995E-3</v>
      </c>
      <c r="R68" s="446"/>
      <c r="S68" s="432"/>
      <c r="T68" s="433"/>
      <c r="U68" s="433"/>
      <c r="V68" s="433"/>
      <c r="X68" s="462"/>
      <c r="Y68" s="462"/>
      <c r="Z68" s="462"/>
    </row>
    <row r="69" spans="1:26">
      <c r="A69" s="385" t="s">
        <v>2102</v>
      </c>
      <c r="B69" s="386">
        <f t="shared" si="239"/>
        <v>144.04145728643201</v>
      </c>
      <c r="C69" s="386">
        <f t="shared" si="239"/>
        <v>136.123966942149</v>
      </c>
      <c r="D69" s="386">
        <f t="shared" si="213"/>
        <v>136.123966942149</v>
      </c>
      <c r="E69" s="386">
        <f t="shared" si="240"/>
        <v>158.32225913621301</v>
      </c>
      <c r="F69" s="386">
        <f t="shared" si="240"/>
        <v>114.04278074866301</v>
      </c>
      <c r="G69" s="3555">
        <v>2006</v>
      </c>
      <c r="H69" s="402">
        <v>1</v>
      </c>
      <c r="I69" s="402">
        <v>2.29</v>
      </c>
      <c r="J69" s="402">
        <v>3.72</v>
      </c>
      <c r="K69" s="402">
        <v>0.75</v>
      </c>
      <c r="L69" s="421">
        <v>0.04</v>
      </c>
      <c r="N69" s="482">
        <f t="shared" si="237"/>
        <v>4.3778675988638799E-2</v>
      </c>
      <c r="O69" s="483">
        <f t="shared" si="237"/>
        <v>3.9114251466784399E-2</v>
      </c>
      <c r="P69" s="483">
        <f t="shared" si="238"/>
        <v>2.1433929911049199E-2</v>
      </c>
      <c r="Q69" s="483">
        <f t="shared" si="238"/>
        <v>3.7526972511492602E-4</v>
      </c>
      <c r="R69" s="446"/>
      <c r="S69" s="437">
        <f>B69/B70-1</f>
        <v>4.3778675988638702E-2</v>
      </c>
      <c r="T69" s="438">
        <f>C69/C70-1</f>
        <v>3.91142514667846E-2</v>
      </c>
      <c r="U69" s="438">
        <f>E69/E70-1</f>
        <v>2.1433929911049299E-2</v>
      </c>
      <c r="V69" s="438">
        <f>F69/F70-1</f>
        <v>3.7526972511492401E-4</v>
      </c>
      <c r="X69" s="462"/>
      <c r="Y69" s="462"/>
      <c r="Z69" s="462"/>
    </row>
    <row r="70" spans="1:26">
      <c r="A70" s="385" t="s">
        <v>2103</v>
      </c>
      <c r="B70" s="389">
        <v>138</v>
      </c>
      <c r="C70" s="389">
        <v>131</v>
      </c>
      <c r="D70" s="389">
        <f t="shared" si="213"/>
        <v>131</v>
      </c>
      <c r="E70" s="389">
        <v>155</v>
      </c>
      <c r="F70" s="409">
        <v>114</v>
      </c>
      <c r="G70" s="3556">
        <v>2005</v>
      </c>
      <c r="H70" s="407">
        <v>4</v>
      </c>
      <c r="I70" s="407">
        <v>3.29</v>
      </c>
      <c r="J70" s="407">
        <v>1.44</v>
      </c>
      <c r="K70" s="407">
        <v>0.66</v>
      </c>
      <c r="L70" s="424">
        <v>7.78</v>
      </c>
      <c r="N70" s="443">
        <f t="shared" ref="N70:O73" si="241">I70/SUM(I$70:I$73)*(B$70/B$74-1)</f>
        <v>9.9404603216919907E-2</v>
      </c>
      <c r="O70" s="444">
        <f t="shared" si="241"/>
        <v>4.7636550760861603E-2</v>
      </c>
      <c r="P70" s="444">
        <f t="shared" ref="P70:Q73" si="242">K70/SUM(K$70:K$73)*(E$70/E$74-1)</f>
        <v>8.3756345177665004E-2</v>
      </c>
      <c r="Q70" s="444">
        <f t="shared" si="242"/>
        <v>5.2148766661559598E-2</v>
      </c>
      <c r="R70" s="446"/>
      <c r="S70" s="447"/>
      <c r="T70" s="448"/>
      <c r="U70" s="448"/>
      <c r="V70" s="448"/>
      <c r="X70" s="462"/>
      <c r="Y70" s="462"/>
      <c r="Z70" s="462"/>
    </row>
    <row r="71" spans="1:26">
      <c r="A71" s="385" t="s">
        <v>2104</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52">
        <v>2005</v>
      </c>
      <c r="H71" s="408">
        <v>3</v>
      </c>
      <c r="I71" s="408">
        <v>0.46</v>
      </c>
      <c r="J71" s="408">
        <v>0.32</v>
      </c>
      <c r="K71" s="408">
        <v>0.42</v>
      </c>
      <c r="L71" s="425">
        <v>0.64</v>
      </c>
      <c r="N71" s="443">
        <f t="shared" si="241"/>
        <v>1.38985159513019E-2</v>
      </c>
      <c r="O71" s="444">
        <f t="shared" si="241"/>
        <v>1.0585900169080301E-2</v>
      </c>
      <c r="P71" s="444">
        <f t="shared" si="242"/>
        <v>5.3299492385786802E-2</v>
      </c>
      <c r="Q71" s="444">
        <f t="shared" si="242"/>
        <v>4.2898728359123603E-3</v>
      </c>
      <c r="R71" s="446"/>
      <c r="S71" s="432"/>
      <c r="T71" s="433"/>
      <c r="U71" s="433"/>
      <c r="V71" s="433"/>
      <c r="X71" s="462"/>
      <c r="Y71" s="462"/>
      <c r="Z71" s="462"/>
    </row>
    <row r="72" spans="1:26">
      <c r="A72" s="385" t="s">
        <v>2105</v>
      </c>
      <c r="B72" s="386">
        <f t="shared" si="243"/>
        <v>124.290322580645</v>
      </c>
      <c r="C72" s="386">
        <f t="shared" si="243"/>
        <v>123.896860986547</v>
      </c>
      <c r="D72" s="386">
        <f t="shared" si="213"/>
        <v>123.896860986547</v>
      </c>
      <c r="E72" s="386">
        <f t="shared" si="244"/>
        <v>138.005076142132</v>
      </c>
      <c r="F72" s="386">
        <f t="shared" si="244"/>
        <v>107.96106557377</v>
      </c>
      <c r="G72" s="3552">
        <v>2005</v>
      </c>
      <c r="H72" s="405">
        <v>2</v>
      </c>
      <c r="I72" s="405">
        <v>0.47</v>
      </c>
      <c r="J72" s="405">
        <v>0.1</v>
      </c>
      <c r="K72" s="405">
        <v>0.52</v>
      </c>
      <c r="L72" s="423">
        <v>0.79</v>
      </c>
      <c r="N72" s="443">
        <f t="shared" si="241"/>
        <v>1.4200657602417101E-2</v>
      </c>
      <c r="O72" s="444">
        <f t="shared" si="241"/>
        <v>3.30809380283761E-3</v>
      </c>
      <c r="P72" s="444">
        <f t="shared" si="242"/>
        <v>6.5989847715736002E-2</v>
      </c>
      <c r="Q72" s="444">
        <f t="shared" si="242"/>
        <v>5.2953117818293196E-3</v>
      </c>
      <c r="R72" s="446"/>
      <c r="S72" s="432"/>
      <c r="T72" s="433"/>
      <c r="U72" s="433"/>
      <c r="V72" s="433"/>
      <c r="X72" s="462"/>
      <c r="Y72" s="462"/>
      <c r="Z72" s="462"/>
    </row>
    <row r="73" spans="1:26">
      <c r="A73" s="385" t="s">
        <v>2106</v>
      </c>
      <c r="B73" s="386">
        <f t="shared" si="243"/>
        <v>122.57204301075301</v>
      </c>
      <c r="C73" s="386">
        <f t="shared" si="243"/>
        <v>123.493273542601</v>
      </c>
      <c r="D73" s="386">
        <f t="shared" si="213"/>
        <v>123.493273542601</v>
      </c>
      <c r="E73" s="386">
        <f t="shared" si="244"/>
        <v>129.82233502538099</v>
      </c>
      <c r="F73" s="386">
        <f t="shared" si="244"/>
        <v>107.39446721311501</v>
      </c>
      <c r="G73" s="3555">
        <v>2005</v>
      </c>
      <c r="H73" s="402">
        <v>1</v>
      </c>
      <c r="I73" s="402">
        <v>0.43</v>
      </c>
      <c r="J73" s="402">
        <v>0.37</v>
      </c>
      <c r="K73" s="402">
        <v>0.37</v>
      </c>
      <c r="L73" s="421">
        <v>0.55000000000000004</v>
      </c>
      <c r="N73" s="482">
        <f t="shared" si="241"/>
        <v>1.2992090997956099E-2</v>
      </c>
      <c r="O73" s="483">
        <f t="shared" si="241"/>
        <v>1.22399470704992E-2</v>
      </c>
      <c r="P73" s="483">
        <f t="shared" si="242"/>
        <v>4.6954314720812199E-2</v>
      </c>
      <c r="Q73" s="483">
        <f t="shared" si="242"/>
        <v>3.6866094683621802E-3</v>
      </c>
      <c r="R73" s="446"/>
      <c r="S73" s="437">
        <f>B73/B74-1</f>
        <v>1.29920909979562E-2</v>
      </c>
      <c r="T73" s="438">
        <f>C73/C74-1</f>
        <v>1.22399470704992E-2</v>
      </c>
      <c r="U73" s="438">
        <f>E73/E74-1</f>
        <v>4.6954314720812199E-2</v>
      </c>
      <c r="V73" s="438">
        <f>F73/F74-1</f>
        <v>3.68660946836208E-3</v>
      </c>
      <c r="X73" s="462"/>
      <c r="Y73" s="462"/>
      <c r="Z73" s="462"/>
    </row>
    <row r="74" spans="1:26">
      <c r="A74" s="385" t="s">
        <v>2107</v>
      </c>
      <c r="B74" s="392">
        <v>121</v>
      </c>
      <c r="C74" s="392">
        <v>122</v>
      </c>
      <c r="D74" s="392">
        <f t="shared" si="213"/>
        <v>122</v>
      </c>
      <c r="E74" s="392">
        <v>124</v>
      </c>
      <c r="F74" s="413">
        <v>107</v>
      </c>
      <c r="G74" s="3556">
        <v>2004</v>
      </c>
      <c r="H74" s="407">
        <v>4</v>
      </c>
      <c r="I74" s="407">
        <v>0.33</v>
      </c>
      <c r="J74" s="407">
        <v>0.5</v>
      </c>
      <c r="K74" s="407">
        <v>0.5</v>
      </c>
      <c r="L74" s="424">
        <v>0</v>
      </c>
      <c r="N74" s="443">
        <f t="shared" ref="N74:O77" si="245">I74/SUM(I$74:I$77)*(B$74/B$78-1)</f>
        <v>1.33917701485269E-2</v>
      </c>
      <c r="O74" s="444">
        <f t="shared" si="245"/>
        <v>1.0632642211589599E-2</v>
      </c>
      <c r="P74" s="444">
        <f t="shared" ref="P74:Q77" si="246">K74/SUM(K$74:K$77)*(E$74/E$78-1)</f>
        <v>2.2244466688911099E-2</v>
      </c>
      <c r="Q74" s="444">
        <f t="shared" si="246"/>
        <v>0</v>
      </c>
      <c r="R74" s="446"/>
      <c r="S74" s="447"/>
      <c r="T74" s="448"/>
      <c r="U74" s="448"/>
      <c r="V74" s="448"/>
      <c r="X74" s="462"/>
      <c r="Y74" s="462"/>
      <c r="Z74" s="462"/>
    </row>
    <row r="75" spans="1:26">
      <c r="A75" s="385" t="s">
        <v>2108</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52">
        <v>2004</v>
      </c>
      <c r="H75" s="408">
        <v>3</v>
      </c>
      <c r="I75" s="408">
        <v>0.56000000000000005</v>
      </c>
      <c r="J75" s="408">
        <v>0.8</v>
      </c>
      <c r="K75" s="408">
        <v>0.83</v>
      </c>
      <c r="L75" s="425">
        <v>0.06</v>
      </c>
      <c r="N75" s="443">
        <f t="shared" si="245"/>
        <v>2.2725428130833499E-2</v>
      </c>
      <c r="O75" s="444">
        <f t="shared" si="245"/>
        <v>1.7012227538543302E-2</v>
      </c>
      <c r="P75" s="444">
        <f t="shared" si="246"/>
        <v>3.6925814703592498E-2</v>
      </c>
      <c r="Q75" s="444">
        <f t="shared" si="246"/>
        <v>2.8846153846153699E-2</v>
      </c>
      <c r="R75" s="446"/>
      <c r="S75" s="432"/>
      <c r="T75" s="433"/>
      <c r="U75" s="433"/>
      <c r="V75" s="433"/>
      <c r="X75" s="462"/>
      <c r="Y75" s="462"/>
      <c r="Z75" s="462"/>
    </row>
    <row r="76" spans="1:26">
      <c r="A76" s="385" t="s">
        <v>2109</v>
      </c>
      <c r="B76" s="386">
        <f t="shared" si="247"/>
        <v>116.99099099099099</v>
      </c>
      <c r="C76" s="386">
        <f t="shared" si="247"/>
        <v>118.848484848485</v>
      </c>
      <c r="D76" s="386">
        <f t="shared" si="213"/>
        <v>118.848484848485</v>
      </c>
      <c r="E76" s="386">
        <f t="shared" si="248"/>
        <v>117.60960960961</v>
      </c>
      <c r="F76" s="386">
        <f t="shared" si="248"/>
        <v>104</v>
      </c>
      <c r="G76" s="3552">
        <v>2004</v>
      </c>
      <c r="H76" s="405">
        <v>2</v>
      </c>
      <c r="I76" s="405">
        <v>1</v>
      </c>
      <c r="J76" s="405">
        <v>1.5</v>
      </c>
      <c r="K76" s="405">
        <v>1.5</v>
      </c>
      <c r="L76" s="423">
        <v>0</v>
      </c>
      <c r="N76" s="443">
        <f t="shared" si="245"/>
        <v>4.05811216622027E-2</v>
      </c>
      <c r="O76" s="444">
        <f t="shared" si="245"/>
        <v>3.1897926634768703E-2</v>
      </c>
      <c r="P76" s="444">
        <f t="shared" si="246"/>
        <v>6.6733400066733395E-2</v>
      </c>
      <c r="Q76" s="444">
        <f t="shared" si="246"/>
        <v>0</v>
      </c>
      <c r="R76" s="446"/>
      <c r="S76" s="432"/>
      <c r="T76" s="433"/>
      <c r="U76" s="433"/>
      <c r="V76" s="433"/>
      <c r="X76" s="462"/>
      <c r="Y76" s="462"/>
      <c r="Z76" s="462"/>
    </row>
    <row r="77" spans="1:26" s="372" customFormat="1">
      <c r="A77" s="385" t="s">
        <v>2110</v>
      </c>
      <c r="B77" s="394">
        <f t="shared" si="247"/>
        <v>112.486486486486</v>
      </c>
      <c r="C77" s="394">
        <f t="shared" si="247"/>
        <v>115.212121212121</v>
      </c>
      <c r="D77" s="394">
        <f t="shared" si="213"/>
        <v>115.212121212121</v>
      </c>
      <c r="E77" s="394">
        <f t="shared" si="248"/>
        <v>110.402402402402</v>
      </c>
      <c r="F77" s="394">
        <f t="shared" si="248"/>
        <v>104</v>
      </c>
      <c r="G77" s="3555">
        <v>2004</v>
      </c>
      <c r="H77" s="414">
        <v>1</v>
      </c>
      <c r="I77" s="414">
        <v>0.33</v>
      </c>
      <c r="J77" s="414">
        <v>0.5</v>
      </c>
      <c r="K77" s="414">
        <v>0.5</v>
      </c>
      <c r="L77" s="429">
        <v>0</v>
      </c>
      <c r="N77" s="484">
        <f t="shared" si="245"/>
        <v>1.33917701485269E-2</v>
      </c>
      <c r="O77" s="485">
        <f t="shared" si="245"/>
        <v>1.0632642211589599E-2</v>
      </c>
      <c r="P77" s="485">
        <f t="shared" si="246"/>
        <v>2.2244466688911099E-2</v>
      </c>
      <c r="Q77" s="485">
        <f t="shared" si="246"/>
        <v>0</v>
      </c>
      <c r="R77" s="452"/>
      <c r="S77" s="441">
        <f>B77/B78-1</f>
        <v>1.33917701485269E-2</v>
      </c>
      <c r="T77" s="442">
        <f>C77/C78-1</f>
        <v>1.06326422115897E-2</v>
      </c>
      <c r="U77" s="442">
        <f>E77/E78-1</f>
        <v>2.22444666889112E-2</v>
      </c>
      <c r="V77" s="442">
        <f>F77/F78-1</f>
        <v>0</v>
      </c>
      <c r="X77" s="497"/>
      <c r="Y77" s="497"/>
      <c r="Z77" s="497"/>
    </row>
    <row r="78" spans="1:26">
      <c r="A78" s="385" t="s">
        <v>2111</v>
      </c>
      <c r="B78" s="467">
        <v>111</v>
      </c>
      <c r="C78" s="467">
        <v>114</v>
      </c>
      <c r="D78" s="467">
        <f t="shared" si="213"/>
        <v>114</v>
      </c>
      <c r="E78" s="467">
        <v>108</v>
      </c>
      <c r="F78" s="473">
        <v>104</v>
      </c>
      <c r="G78" s="3556">
        <v>2003</v>
      </c>
      <c r="H78" s="415">
        <v>4</v>
      </c>
      <c r="I78" s="479"/>
      <c r="J78" s="479"/>
      <c r="K78" s="479"/>
      <c r="L78" s="479"/>
      <c r="N78" s="486"/>
      <c r="O78" s="479"/>
      <c r="P78" s="479"/>
      <c r="Q78" s="479"/>
      <c r="S78" s="486"/>
      <c r="T78" s="479"/>
      <c r="U78" s="479"/>
      <c r="V78" s="479"/>
      <c r="X78" s="462"/>
      <c r="Y78" s="462"/>
      <c r="Z78" s="462"/>
    </row>
    <row r="79" spans="1:26">
      <c r="A79" s="385" t="s">
        <v>2112</v>
      </c>
      <c r="B79" s="468">
        <f t="shared" ref="B79:C81" si="249">B80+(B$78-B$82)/4</f>
        <v>109.75</v>
      </c>
      <c r="C79" s="468">
        <f t="shared" si="249"/>
        <v>112.25</v>
      </c>
      <c r="D79" s="468">
        <f t="shared" si="213"/>
        <v>112.25</v>
      </c>
      <c r="E79" s="468">
        <f t="shared" ref="E79:F81" si="250">E80+(E$78-E$82)/4</f>
        <v>107.25</v>
      </c>
      <c r="F79" s="468">
        <f t="shared" si="250"/>
        <v>103.5</v>
      </c>
      <c r="G79" s="3552">
        <v>2003</v>
      </c>
      <c r="H79" s="408">
        <v>3</v>
      </c>
      <c r="I79" s="479"/>
      <c r="J79" s="479"/>
      <c r="K79" s="479"/>
      <c r="L79" s="479"/>
      <c r="X79" s="462"/>
      <c r="Y79" s="462"/>
      <c r="Z79" s="462"/>
    </row>
    <row r="80" spans="1:26">
      <c r="A80" s="385" t="s">
        <v>2113</v>
      </c>
      <c r="B80" s="468">
        <f t="shared" si="249"/>
        <v>108.5</v>
      </c>
      <c r="C80" s="468">
        <f t="shared" si="249"/>
        <v>110.5</v>
      </c>
      <c r="D80" s="468">
        <f t="shared" si="213"/>
        <v>110.5</v>
      </c>
      <c r="E80" s="468">
        <f t="shared" si="250"/>
        <v>106.5</v>
      </c>
      <c r="F80" s="468">
        <f t="shared" si="250"/>
        <v>103</v>
      </c>
      <c r="G80" s="3552">
        <v>2003</v>
      </c>
      <c r="H80" s="405">
        <v>2</v>
      </c>
      <c r="I80" s="479"/>
      <c r="J80" s="479"/>
      <c r="K80" s="479"/>
      <c r="L80" s="479"/>
      <c r="X80" s="462"/>
      <c r="Y80" s="462"/>
      <c r="Z80" s="462"/>
    </row>
    <row r="81" spans="1:26">
      <c r="A81" s="385" t="s">
        <v>2114</v>
      </c>
      <c r="B81" s="468">
        <f t="shared" si="249"/>
        <v>107.25</v>
      </c>
      <c r="C81" s="468">
        <f t="shared" si="249"/>
        <v>108.75</v>
      </c>
      <c r="D81" s="468">
        <f t="shared" si="213"/>
        <v>108.75</v>
      </c>
      <c r="E81" s="468">
        <f t="shared" si="250"/>
        <v>105.75</v>
      </c>
      <c r="F81" s="468">
        <f t="shared" si="250"/>
        <v>102.5</v>
      </c>
      <c r="G81" s="3555">
        <v>2003</v>
      </c>
      <c r="H81" s="474">
        <v>1</v>
      </c>
      <c r="I81" s="479"/>
      <c r="J81" s="479"/>
      <c r="K81" s="479"/>
      <c r="L81" s="479"/>
      <c r="S81" s="432"/>
      <c r="T81" s="433"/>
      <c r="U81" s="433"/>
      <c r="X81" s="462"/>
      <c r="Y81" s="462"/>
      <c r="Z81" s="462"/>
    </row>
    <row r="82" spans="1:26">
      <c r="A82" s="385" t="s">
        <v>2115</v>
      </c>
      <c r="B82" s="469">
        <v>106</v>
      </c>
      <c r="C82" s="469">
        <v>107</v>
      </c>
      <c r="D82" s="469">
        <f t="shared" si="213"/>
        <v>107</v>
      </c>
      <c r="E82" s="469">
        <v>105</v>
      </c>
      <c r="F82" s="475">
        <v>102</v>
      </c>
      <c r="G82" s="3556">
        <v>2002</v>
      </c>
      <c r="H82" s="407">
        <v>4</v>
      </c>
      <c r="I82" s="479"/>
      <c r="J82" s="479"/>
      <c r="K82" s="479"/>
      <c r="L82" s="479"/>
      <c r="N82" s="486"/>
      <c r="O82" s="479"/>
      <c r="P82" s="479"/>
      <c r="Q82" s="479"/>
      <c r="S82" s="486"/>
      <c r="T82" s="479"/>
      <c r="U82" s="479"/>
      <c r="V82" s="479"/>
      <c r="X82" s="462"/>
      <c r="Y82" s="462"/>
      <c r="Z82" s="462"/>
    </row>
    <row r="83" spans="1:26">
      <c r="A83" s="385" t="s">
        <v>2116</v>
      </c>
      <c r="B83" s="468">
        <f t="shared" ref="B83:C85" si="251">B84+(B$82-B$86)/4</f>
        <v>105</v>
      </c>
      <c r="C83" s="468">
        <f t="shared" si="251"/>
        <v>106</v>
      </c>
      <c r="D83" s="468">
        <f t="shared" si="213"/>
        <v>106</v>
      </c>
      <c r="E83" s="468">
        <f t="shared" ref="E83:F85" si="252">E84+(E$82-E$86)/4</f>
        <v>104.5</v>
      </c>
      <c r="F83" s="468">
        <f t="shared" si="252"/>
        <v>101.5</v>
      </c>
      <c r="G83" s="3552">
        <v>2002</v>
      </c>
      <c r="H83" s="408">
        <v>3</v>
      </c>
      <c r="I83" s="479"/>
      <c r="J83" s="479"/>
      <c r="K83" s="479"/>
      <c r="L83" s="479"/>
      <c r="X83" s="462"/>
      <c r="Y83" s="462"/>
      <c r="Z83" s="462"/>
    </row>
    <row r="84" spans="1:26">
      <c r="A84" s="385" t="s">
        <v>2117</v>
      </c>
      <c r="B84" s="468">
        <f t="shared" si="251"/>
        <v>104</v>
      </c>
      <c r="C84" s="468">
        <f t="shared" si="251"/>
        <v>105</v>
      </c>
      <c r="D84" s="468">
        <f t="shared" si="213"/>
        <v>105</v>
      </c>
      <c r="E84" s="468">
        <f t="shared" si="252"/>
        <v>104</v>
      </c>
      <c r="F84" s="468">
        <f t="shared" si="252"/>
        <v>101</v>
      </c>
      <c r="G84" s="3552">
        <v>2002</v>
      </c>
      <c r="H84" s="405">
        <v>2</v>
      </c>
      <c r="I84" s="479"/>
      <c r="J84" s="479"/>
      <c r="K84" s="479"/>
      <c r="L84" s="479"/>
      <c r="X84" s="462"/>
      <c r="Y84" s="462"/>
      <c r="Z84" s="462"/>
    </row>
    <row r="85" spans="1:26" s="371" customFormat="1">
      <c r="A85" s="390" t="s">
        <v>2118</v>
      </c>
      <c r="B85" s="449">
        <f t="shared" si="251"/>
        <v>103</v>
      </c>
      <c r="C85" s="449">
        <f t="shared" si="251"/>
        <v>104</v>
      </c>
      <c r="D85" s="449">
        <f t="shared" si="213"/>
        <v>104</v>
      </c>
      <c r="E85" s="449">
        <f t="shared" si="252"/>
        <v>103.5</v>
      </c>
      <c r="F85" s="449">
        <f t="shared" si="252"/>
        <v>100.5</v>
      </c>
      <c r="G85" s="3555">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2119</v>
      </c>
      <c r="G88" s="478"/>
      <c r="N88" s="478"/>
      <c r="S88" s="478"/>
    </row>
    <row r="89" spans="1:26" s="373" customFormat="1">
      <c r="A89" s="373" t="s">
        <v>2120</v>
      </c>
      <c r="G89" s="478"/>
      <c r="N89" s="478"/>
      <c r="S89" s="478"/>
    </row>
    <row r="90" spans="1:26" s="373" customFormat="1">
      <c r="A90" s="373" t="s">
        <v>2121</v>
      </c>
      <c r="G90" s="478"/>
      <c r="I90" s="481"/>
      <c r="J90" s="481"/>
      <c r="K90" s="481"/>
      <c r="L90" s="481"/>
      <c r="N90" s="488"/>
      <c r="O90" s="481"/>
      <c r="P90" s="481"/>
      <c r="Q90" s="481"/>
      <c r="S90" s="488"/>
      <c r="T90" s="481"/>
      <c r="U90" s="481"/>
      <c r="V90" s="481"/>
    </row>
    <row r="91" spans="1:26" s="373" customFormat="1">
      <c r="A91" s="373" t="s">
        <v>2122</v>
      </c>
      <c r="G91" s="478"/>
      <c r="N91" s="478"/>
      <c r="S91" s="478"/>
    </row>
    <row r="99" spans="7:22">
      <c r="G99" s="374"/>
      <c r="S99" s="489" t="s">
        <v>2123</v>
      </c>
      <c r="T99" s="490" t="s">
        <v>2124</v>
      </c>
      <c r="U99" s="490" t="s">
        <v>2125</v>
      </c>
      <c r="V99" s="490" t="s">
        <v>2126</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2127</v>
      </c>
      <c r="C1" s="3560" t="s">
        <v>2128</v>
      </c>
      <c r="D1" s="3561"/>
      <c r="E1" s="3561"/>
      <c r="F1" s="3561"/>
      <c r="G1" s="3561"/>
      <c r="H1" s="3561"/>
      <c r="I1" s="3561"/>
      <c r="J1" s="3561"/>
      <c r="K1" s="3561"/>
      <c r="L1" s="3561"/>
      <c r="M1" s="3561"/>
      <c r="N1" s="3561"/>
      <c r="O1" s="3561"/>
      <c r="P1" s="3561"/>
      <c r="Q1" s="3561"/>
      <c r="R1" s="3561"/>
      <c r="S1" s="3562"/>
      <c r="T1" s="247" t="s">
        <v>1659</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2129</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2130</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2131</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2132</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2133</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2134</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2135</v>
      </c>
      <c r="B17" s="275" t="s">
        <v>2136</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2137</v>
      </c>
      <c r="E19" s="305"/>
      <c r="F19" s="305"/>
      <c r="G19" s="305"/>
      <c r="H19" s="306"/>
      <c r="I19" s="283"/>
      <c r="J19" s="283"/>
      <c r="K19" s="283"/>
      <c r="L19" s="283"/>
      <c r="M19" s="283"/>
      <c r="N19" s="283"/>
      <c r="O19" s="283"/>
      <c r="P19" s="283"/>
      <c r="Q19" s="283"/>
      <c r="R19" s="354"/>
      <c r="S19" s="282"/>
    </row>
    <row r="20" spans="1:45" ht="15.75">
      <c r="A20" s="285" t="s">
        <v>2138</v>
      </c>
      <c r="B20" s="286" t="e">
        <f ca="1">IF(D20="——",S22,S22-F20)</f>
        <v>#REF!</v>
      </c>
      <c r="C20" s="283"/>
      <c r="D20" s="287"/>
      <c r="E20" s="307"/>
      <c r="F20" s="247" t="e">
        <f ca="1">SUMIF(INDIRECT("'"&amp;H20&amp;"'"&amp;"!A:A"),"承租人权益价值",INDIRECT("'"&amp;H20&amp;"'"&amp;"!c:c"))</f>
        <v>#REF!</v>
      </c>
      <c r="G20" s="247" t="s">
        <v>740</v>
      </c>
      <c r="H20" s="308"/>
      <c r="I20" s="283"/>
      <c r="J20" s="283"/>
      <c r="K20" s="283"/>
      <c r="L20" s="283"/>
      <c r="M20" s="283"/>
      <c r="N20" s="283"/>
      <c r="O20" s="283"/>
      <c r="P20" s="283"/>
      <c r="Q20" s="283"/>
      <c r="R20" s="354"/>
      <c r="S20" s="282"/>
    </row>
    <row r="21" spans="1:45" ht="15.75">
      <c r="A21" s="285" t="s">
        <v>2139</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2140</v>
      </c>
      <c r="B22" s="289">
        <f>SUM(B24:B10000)</f>
        <v>100</v>
      </c>
      <c r="C22" s="3563" t="s">
        <v>124</v>
      </c>
      <c r="D22" s="3564"/>
      <c r="E22" s="3564"/>
      <c r="F22" s="3564"/>
      <c r="G22" s="3564"/>
      <c r="H22" s="3564"/>
      <c r="I22" s="3564"/>
      <c r="J22" s="3564"/>
      <c r="K22" s="3564"/>
      <c r="L22" s="3564"/>
      <c r="M22" s="3564"/>
      <c r="N22" s="3564"/>
      <c r="O22" s="3564"/>
      <c r="P22" s="3564"/>
      <c r="Q22" s="3565"/>
      <c r="R22" s="356">
        <f>ROUND(S22*10000/B22,0)</f>
        <v>10000</v>
      </c>
      <c r="S22" s="289">
        <f>SUM(S24:S10000)</f>
        <v>100</v>
      </c>
    </row>
    <row r="23" spans="1:45" s="240" customFormat="1" ht="24">
      <c r="A23" s="292" t="s">
        <v>2141</v>
      </c>
      <c r="B23" s="292" t="s">
        <v>361</v>
      </c>
      <c r="C23" s="292" t="s">
        <v>1659</v>
      </c>
      <c r="D23" s="292" t="str">
        <f>B5</f>
        <v>修正项2</v>
      </c>
      <c r="E23" s="292" t="s">
        <v>1659</v>
      </c>
      <c r="F23" s="292" t="str">
        <f>B7</f>
        <v>修正项3</v>
      </c>
      <c r="G23" s="292" t="s">
        <v>1659</v>
      </c>
      <c r="H23" s="292" t="str">
        <f>B9</f>
        <v>修正项4</v>
      </c>
      <c r="I23" s="292" t="s">
        <v>1659</v>
      </c>
      <c r="J23" s="292" t="str">
        <f>B11</f>
        <v>修正项5</v>
      </c>
      <c r="K23" s="292" t="s">
        <v>1659</v>
      </c>
      <c r="L23" s="292" t="str">
        <f>B13</f>
        <v>修正项6</v>
      </c>
      <c r="M23" s="292" t="s">
        <v>1659</v>
      </c>
      <c r="N23" s="292" t="str">
        <f>B15</f>
        <v>修正项7</v>
      </c>
      <c r="O23" s="292" t="s">
        <v>1659</v>
      </c>
      <c r="P23" s="292" t="str">
        <f>B17</f>
        <v>楼层</v>
      </c>
      <c r="Q23" s="292" t="s">
        <v>1659</v>
      </c>
      <c r="R23" s="357" t="s">
        <v>2142</v>
      </c>
      <c r="S23" s="292" t="s">
        <v>2143</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2144</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69"/>
      <c r="B4" s="3233" t="s">
        <v>95</v>
      </c>
      <c r="C4" s="3233"/>
      <c r="D4" s="3233"/>
      <c r="E4" s="3169"/>
    </row>
    <row r="5" spans="1:5" ht="15.75">
      <c r="A5" s="3168"/>
      <c r="B5" s="3225" t="s">
        <v>96</v>
      </c>
      <c r="C5" s="3170" t="s">
        <v>97</v>
      </c>
      <c r="D5" s="3171">
        <f ca="1">结果表!H101</f>
        <v>90270</v>
      </c>
      <c r="E5" s="3168"/>
    </row>
    <row r="6" spans="1:5" ht="15.75">
      <c r="A6" s="3168"/>
      <c r="B6" s="3225"/>
      <c r="C6" s="3170" t="s">
        <v>98</v>
      </c>
      <c r="D6" s="3171" t="str">
        <f ca="1">NUMBERSTRING(INT(D5*10000),2)&amp;"元整"</f>
        <v>玖亿零贰佰柒拾万元整</v>
      </c>
      <c r="E6" s="3168"/>
    </row>
    <row r="7" spans="1:5" ht="15.75">
      <c r="A7" s="3168"/>
      <c r="B7" s="3226"/>
      <c r="C7" s="3172" t="s">
        <v>99</v>
      </c>
      <c r="D7" s="3173">
        <f ca="1">结果表!H102</f>
        <v>31117</v>
      </c>
      <c r="E7" s="3168"/>
    </row>
    <row r="8" spans="1:5" ht="15.75">
      <c r="A8" s="3168"/>
      <c r="B8" s="3227" t="str">
        <f>结果表!E103</f>
        <v>2.估价师知悉的法定优先受偿款</v>
      </c>
      <c r="C8" s="3174" t="s">
        <v>100</v>
      </c>
      <c r="D8" s="3173">
        <f>结果表!H103</f>
        <v>0</v>
      </c>
      <c r="E8" s="3168"/>
    </row>
    <row r="9" spans="1:5" ht="15.75">
      <c r="A9" s="3168"/>
      <c r="B9" s="3229"/>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4" t="str">
        <f>结果表!E107</f>
        <v>3.房地产抵押价值</v>
      </c>
      <c r="C13" s="3178" t="s">
        <v>97</v>
      </c>
      <c r="D13" s="3179">
        <f ca="1">结果表!H107</f>
        <v>90270</v>
      </c>
      <c r="E13" s="3168"/>
    </row>
    <row r="14" spans="1:5" ht="15.75">
      <c r="A14" s="3168"/>
      <c r="B14" s="3225"/>
      <c r="C14" s="3170" t="s">
        <v>98</v>
      </c>
      <c r="D14" s="3171" t="str">
        <f ca="1">NUMBERSTRING(INT(D13*10000),2)&amp;"元整"</f>
        <v>玖亿零贰佰柒拾万元整</v>
      </c>
      <c r="E14" s="3168"/>
    </row>
    <row r="15" spans="1:5" ht="15">
      <c r="A15" s="3168"/>
      <c r="B15" s="3226"/>
      <c r="C15" s="3172" t="s">
        <v>99</v>
      </c>
      <c r="D15" s="3180">
        <f ca="1">结果表!H108</f>
        <v>31117</v>
      </c>
      <c r="E15" s="3168"/>
    </row>
    <row r="16" spans="1:5" ht="15">
      <c r="A16" s="3168"/>
      <c r="B16" s="3227" t="str">
        <f>结果表!E109</f>
        <v>——</v>
      </c>
      <c r="C16" s="3178" t="s">
        <v>97</v>
      </c>
      <c r="D16" s="3181" t="str">
        <f>结果表!H109</f>
        <v>——</v>
      </c>
      <c r="E16" s="3168"/>
    </row>
    <row r="17" spans="1:5" ht="15.75">
      <c r="A17" s="3168"/>
      <c r="B17" s="3228"/>
      <c r="C17" s="3170" t="s">
        <v>98</v>
      </c>
      <c r="D17" s="3171" t="e">
        <f>NUMBERSTRING(INT(D16*10000),2)&amp;"元整"</f>
        <v>#VALUE!</v>
      </c>
      <c r="E17" s="3168"/>
    </row>
    <row r="18" spans="1:5" ht="15">
      <c r="A18" s="3168"/>
      <c r="B18" s="3229"/>
      <c r="C18" s="3172" t="s">
        <v>99</v>
      </c>
      <c r="D18" s="3180" t="str">
        <f>结果表!H110</f>
        <v>——</v>
      </c>
      <c r="E18" s="3168"/>
    </row>
    <row r="19" spans="1:5" ht="15.75">
      <c r="A19" s="3168"/>
      <c r="B19" s="3224" t="str">
        <f>结果表!E111</f>
        <v>——</v>
      </c>
      <c r="C19" s="3178" t="s">
        <v>97</v>
      </c>
      <c r="D19" s="3173" t="str">
        <f>结果表!H111</f>
        <v>——</v>
      </c>
      <c r="E19" s="3168"/>
    </row>
    <row r="20" spans="1:5" ht="15.75">
      <c r="A20" s="3168"/>
      <c r="B20" s="3225"/>
      <c r="C20" s="3170" t="s">
        <v>98</v>
      </c>
      <c r="D20" s="3171" t="e">
        <f>NUMBERSTRING(INT(D19*10000),2)&amp;"元整"</f>
        <v>#VALUE!</v>
      </c>
      <c r="E20" s="3168"/>
    </row>
    <row r="21" spans="1:5" ht="15">
      <c r="A21" s="3168"/>
      <c r="B21" s="3230"/>
      <c r="C21" s="3182" t="s">
        <v>99</v>
      </c>
      <c r="D21" s="3183" t="str">
        <f>结果表!H112</f>
        <v>——</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2145</v>
      </c>
      <c r="B1" s="153"/>
      <c r="C1" s="154"/>
      <c r="D1" s="154"/>
      <c r="E1" s="154"/>
      <c r="F1" s="154"/>
      <c r="G1" s="158"/>
    </row>
    <row r="2" spans="1:7" s="144" customFormat="1" ht="18" customHeight="1">
      <c r="A2" s="155" t="s">
        <v>2146</v>
      </c>
      <c r="B2" s="156">
        <f ca="1">C52</f>
        <v>48996</v>
      </c>
      <c r="C2" s="157" t="s">
        <v>2147</v>
      </c>
      <c r="D2" s="158"/>
      <c r="E2" s="158"/>
      <c r="F2" s="158"/>
      <c r="G2" s="158"/>
    </row>
    <row r="3" spans="1:7" s="144" customFormat="1" ht="18" customHeight="1">
      <c r="A3" s="159" t="s">
        <v>2148</v>
      </c>
      <c r="B3" s="160">
        <f ca="1">ROUND(B2*10000/'数据-汇总表'!E3,0)</f>
        <v>16889</v>
      </c>
      <c r="C3" s="157" t="s">
        <v>2149</v>
      </c>
      <c r="D3" s="158"/>
      <c r="E3" s="158"/>
      <c r="F3" s="158"/>
      <c r="G3" s="158"/>
    </row>
    <row r="4" spans="1:7" s="145" customFormat="1" ht="15.75">
      <c r="A4" s="161" t="s">
        <v>2150</v>
      </c>
      <c r="B4" s="162"/>
      <c r="C4" s="162"/>
      <c r="D4" s="162"/>
      <c r="E4" s="162"/>
      <c r="F4" s="162"/>
      <c r="G4" s="208"/>
    </row>
    <row r="5" spans="1:7" s="146" customFormat="1" ht="13.5" customHeight="1">
      <c r="A5" s="163" t="s">
        <v>929</v>
      </c>
      <c r="B5" s="164" t="s">
        <v>2151</v>
      </c>
      <c r="C5" s="165">
        <f>C6+C7+C8</f>
        <v>20610</v>
      </c>
      <c r="D5" s="165" t="s">
        <v>2152</v>
      </c>
      <c r="E5" s="209" t="s">
        <v>2153</v>
      </c>
      <c r="F5" s="209" t="s">
        <v>2154</v>
      </c>
      <c r="G5" s="210"/>
    </row>
    <row r="6" spans="1:7" s="146" customFormat="1" ht="13.5" customHeight="1">
      <c r="A6" s="166" t="s">
        <v>933</v>
      </c>
      <c r="B6" s="167" t="s">
        <v>2155</v>
      </c>
      <c r="C6" s="168">
        <v>20000</v>
      </c>
      <c r="D6" s="169"/>
      <c r="E6" s="211"/>
      <c r="F6" s="211"/>
      <c r="G6" s="212"/>
    </row>
    <row r="7" spans="1:7" s="146" customFormat="1" ht="13.5" customHeight="1">
      <c r="A7" s="166" t="s">
        <v>935</v>
      </c>
      <c r="B7" s="167" t="s">
        <v>2156</v>
      </c>
      <c r="C7" s="170">
        <f>ROUND(C6*F7,0)</f>
        <v>610</v>
      </c>
      <c r="D7" s="170"/>
      <c r="E7" s="211"/>
      <c r="F7" s="213">
        <f>'数据-取费表'!B48+'数据-取费表'!B49</f>
        <v>3.0499999999999999E-2</v>
      </c>
      <c r="G7" s="212"/>
    </row>
    <row r="8" spans="1:7" s="147" customFormat="1">
      <c r="A8" s="166" t="s">
        <v>937</v>
      </c>
      <c r="B8" s="167" t="s">
        <v>2157</v>
      </c>
      <c r="C8" s="170" t="str">
        <f>IF(G8="已包含在土地购买价格中","0",'数据-取费表'!B29)</f>
        <v>0</v>
      </c>
      <c r="D8" s="171"/>
      <c r="E8" s="170"/>
      <c r="F8" s="213"/>
      <c r="G8" s="214" t="s">
        <v>2158</v>
      </c>
    </row>
    <row r="9" spans="1:7" s="146" customFormat="1" ht="13.5" customHeight="1">
      <c r="A9" s="172" t="s">
        <v>940</v>
      </c>
      <c r="B9" s="173" t="s">
        <v>2159</v>
      </c>
      <c r="C9" s="174">
        <f>ROUND(D9*E9/10000,0)</f>
        <v>0</v>
      </c>
      <c r="D9" s="175">
        <f>'数据-汇总表'!E5</f>
        <v>0</v>
      </c>
      <c r="E9" s="174">
        <f>'数据-取费表'!B27</f>
        <v>0</v>
      </c>
      <c r="F9" s="213"/>
      <c r="G9" s="215"/>
    </row>
    <row r="10" spans="1:7" s="146" customFormat="1" ht="13.5" customHeight="1">
      <c r="A10" s="172" t="s">
        <v>944</v>
      </c>
      <c r="B10" s="173" t="s">
        <v>2160</v>
      </c>
      <c r="C10" s="174">
        <f>ROUND(D10*E10/10000,0)</f>
        <v>580</v>
      </c>
      <c r="D10" s="175">
        <f>'数据-汇总表'!E6</f>
        <v>29009.8</v>
      </c>
      <c r="E10" s="174">
        <f>'数据-取费表'!B28</f>
        <v>200</v>
      </c>
      <c r="F10" s="213"/>
      <c r="G10" s="215"/>
    </row>
    <row r="11" spans="1:7" s="146" customFormat="1" ht="13.5" hidden="1" customHeight="1">
      <c r="A11" s="176" t="s">
        <v>946</v>
      </c>
      <c r="B11" s="167" t="s">
        <v>2161</v>
      </c>
      <c r="C11" s="165"/>
      <c r="D11" s="177"/>
      <c r="E11" s="211"/>
      <c r="F11" s="211"/>
      <c r="G11" s="212"/>
    </row>
    <row r="12" spans="1:7" s="146" customFormat="1" ht="13.5" hidden="1" customHeight="1">
      <c r="A12" s="176" t="s">
        <v>948</v>
      </c>
      <c r="B12" s="167" t="s">
        <v>2162</v>
      </c>
      <c r="C12" s="165">
        <v>0</v>
      </c>
      <c r="D12" s="177"/>
      <c r="E12" s="216"/>
      <c r="F12" s="213">
        <v>3.0499999999999999E-2</v>
      </c>
      <c r="G12" s="212"/>
    </row>
    <row r="13" spans="1:7" s="146" customFormat="1" ht="13.5" hidden="1" customHeight="1">
      <c r="A13" s="176" t="s">
        <v>949</v>
      </c>
      <c r="B13" s="167" t="s">
        <v>2163</v>
      </c>
      <c r="C13" s="165"/>
      <c r="D13" s="177"/>
      <c r="E13" s="211"/>
      <c r="F13" s="211"/>
      <c r="G13" s="212"/>
    </row>
    <row r="14" spans="1:7" s="146" customFormat="1" ht="13.5" hidden="1" customHeight="1">
      <c r="A14" s="176" t="s">
        <v>951</v>
      </c>
      <c r="B14" s="167" t="s">
        <v>2157</v>
      </c>
      <c r="C14" s="165"/>
      <c r="D14" s="177"/>
      <c r="E14" s="211"/>
      <c r="F14" s="211"/>
      <c r="G14" s="212" t="s">
        <v>2164</v>
      </c>
    </row>
    <row r="15" spans="1:7" s="146" customFormat="1" ht="13.5" hidden="1" customHeight="1">
      <c r="A15" s="176" t="s">
        <v>953</v>
      </c>
      <c r="B15" s="167" t="s">
        <v>2165</v>
      </c>
      <c r="C15" s="170"/>
      <c r="D15" s="177"/>
      <c r="E15" s="211"/>
      <c r="F15" s="211"/>
      <c r="G15" s="212" t="s">
        <v>2166</v>
      </c>
    </row>
    <row r="16" spans="1:7" s="146" customFormat="1" ht="13.5" hidden="1" customHeight="1">
      <c r="A16" s="176" t="s">
        <v>956</v>
      </c>
      <c r="B16" s="167" t="s">
        <v>2157</v>
      </c>
      <c r="C16" s="170"/>
      <c r="D16" s="177"/>
      <c r="E16" s="211"/>
      <c r="F16" s="211"/>
      <c r="G16" s="212"/>
    </row>
    <row r="17" spans="1:7" s="146" customFormat="1" ht="13.5" hidden="1" customHeight="1">
      <c r="A17" s="176" t="s">
        <v>957</v>
      </c>
      <c r="B17" s="167" t="s">
        <v>2167</v>
      </c>
      <c r="C17" s="178"/>
      <c r="D17" s="179"/>
      <c r="E17" s="178"/>
      <c r="F17" s="178"/>
      <c r="G17" s="212" t="s">
        <v>2166</v>
      </c>
    </row>
    <row r="18" spans="1:7" s="146" customFormat="1" ht="13.5" hidden="1" customHeight="1">
      <c r="A18" s="176" t="s">
        <v>959</v>
      </c>
      <c r="B18" s="167" t="s">
        <v>2168</v>
      </c>
      <c r="C18" s="170">
        <v>0</v>
      </c>
      <c r="D18" s="177"/>
      <c r="E18" s="211"/>
      <c r="F18" s="213">
        <v>3.0499999999999999E-2</v>
      </c>
      <c r="G18" s="212" t="s">
        <v>2169</v>
      </c>
    </row>
    <row r="19" spans="1:7" s="147" customFormat="1" ht="13.5" customHeight="1">
      <c r="A19" s="180" t="s">
        <v>2170</v>
      </c>
      <c r="B19" s="164" t="s">
        <v>2171</v>
      </c>
      <c r="C19" s="165">
        <f>IF(G19="已包含在土地取得成本中","0",ROUND(D19*E19/10000,0))</f>
        <v>580</v>
      </c>
      <c r="D19" s="181">
        <f>'数据-汇总表'!E3</f>
        <v>29009.8</v>
      </c>
      <c r="E19" s="165">
        <f>'数据-取费表'!B31</f>
        <v>200</v>
      </c>
      <c r="F19" s="217"/>
      <c r="G19" s="214" t="s">
        <v>2172</v>
      </c>
    </row>
    <row r="20" spans="1:7" s="146" customFormat="1" ht="13.5" customHeight="1">
      <c r="A20" s="180" t="s">
        <v>2173</v>
      </c>
      <c r="B20" s="164" t="s">
        <v>2174</v>
      </c>
      <c r="C20" s="182">
        <f>ROUND((C5+C19)*F20,0)</f>
        <v>424</v>
      </c>
      <c r="D20" s="182"/>
      <c r="E20" s="182"/>
      <c r="F20" s="218">
        <f>'数据-取费表'!B37</f>
        <v>0.02</v>
      </c>
      <c r="G20" s="219" t="s">
        <v>2175</v>
      </c>
    </row>
    <row r="21" spans="1:7" s="146" customFormat="1" ht="13.5" customHeight="1">
      <c r="A21" s="180" t="s">
        <v>2176</v>
      </c>
      <c r="B21" s="164" t="s">
        <v>2177</v>
      </c>
      <c r="C21" s="183">
        <f>F21</f>
        <v>0.02</v>
      </c>
      <c r="D21" s="184" t="s">
        <v>2178</v>
      </c>
      <c r="E21" s="182"/>
      <c r="F21" s="218">
        <f>'数据-取费表'!B38</f>
        <v>0.02</v>
      </c>
      <c r="G21" s="220" t="s">
        <v>2179</v>
      </c>
    </row>
    <row r="22" spans="1:7" s="146" customFormat="1" ht="13.5" customHeight="1">
      <c r="A22" s="180" t="s">
        <v>2180</v>
      </c>
      <c r="B22" s="164" t="s">
        <v>2181</v>
      </c>
      <c r="C22" s="185">
        <f ca="1">ROUND(SUM(C23:C25),0)</f>
        <v>1813</v>
      </c>
      <c r="D22" s="183">
        <f ca="1">C26</f>
        <v>8.0000000000000004E-4</v>
      </c>
      <c r="E22" s="184" t="s">
        <v>2178</v>
      </c>
      <c r="F22" s="221">
        <f ca="1">'数据-取费表'!B40</f>
        <v>4.1499999999999995E-2</v>
      </c>
      <c r="G22" s="219" t="str">
        <f>IF('数据-取费表'!B22&lt;=1,"单利计息","复利计息")</f>
        <v>复利计息</v>
      </c>
    </row>
    <row r="23" spans="1:7" s="146" customFormat="1" ht="13.5" customHeight="1">
      <c r="A23" s="186" t="s">
        <v>933</v>
      </c>
      <c r="B23" s="167" t="s">
        <v>2182</v>
      </c>
      <c r="C23" s="187">
        <f ca="1">ROUND(IF('数据-取费表'!B22&lt;=1,C5*F22*'数据-取费表'!B23,C5*(POWER((1+F22),'数据-取费表'!B23)-1)),0)</f>
        <v>1746</v>
      </c>
      <c r="D23" s="188"/>
      <c r="E23" s="188"/>
      <c r="F23" s="222"/>
      <c r="G23" s="223" t="s">
        <v>2183</v>
      </c>
    </row>
    <row r="24" spans="1:7" s="146" customFormat="1" ht="13.5" customHeight="1">
      <c r="A24" s="186" t="s">
        <v>935</v>
      </c>
      <c r="B24" s="167" t="s">
        <v>2184</v>
      </c>
      <c r="C24" s="187">
        <f ca="1">ROUND(IF('数据-取费表'!B22&lt;=1,C19*F22*('数据-取费表'!B19/2+'数据-取费表'!B21),C19*(POWER((1+F22),('数据-取费表'!B19/2+'数据-取费表'!B21))-1)),0)</f>
        <v>49</v>
      </c>
      <c r="D24" s="188"/>
      <c r="E24" s="188"/>
      <c r="F24" s="222"/>
      <c r="G24" s="223" t="s">
        <v>2185</v>
      </c>
    </row>
    <row r="25" spans="1:7" s="146" customFormat="1" ht="24">
      <c r="A25" s="186" t="s">
        <v>937</v>
      </c>
      <c r="B25" s="167" t="s">
        <v>2186</v>
      </c>
      <c r="C25" s="187">
        <f ca="1">ROUND(IF('数据-取费表'!B22&lt;=1,C20*F22*'数据-取费表'!B23/2,C20*(POWER((1+F22),'数据-取费表'!B23/2)-1)),0)</f>
        <v>18</v>
      </c>
      <c r="D25" s="188"/>
      <c r="E25" s="224"/>
      <c r="F25" s="222"/>
      <c r="G25" s="225" t="s">
        <v>2187</v>
      </c>
    </row>
    <row r="26" spans="1:7" s="146" customFormat="1">
      <c r="A26" s="186" t="s">
        <v>980</v>
      </c>
      <c r="B26" s="167" t="s">
        <v>2188</v>
      </c>
      <c r="C26" s="188">
        <f ca="1">ROUND(IF('数据-取费表'!B22&lt;=1,F21*F22*'数据-取费表'!B23/2,F21*(POWER((1+F22),'数据-取费表'!B23/2)-1)),4)</f>
        <v>8.0000000000000004E-4</v>
      </c>
      <c r="D26" s="188"/>
      <c r="E26" s="224"/>
      <c r="F26" s="222"/>
      <c r="G26" s="226"/>
    </row>
    <row r="27" spans="1:7" s="146" customFormat="1" ht="24.75">
      <c r="A27" s="180" t="s">
        <v>2189</v>
      </c>
      <c r="B27" s="189" t="s">
        <v>2190</v>
      </c>
      <c r="C27" s="190">
        <f>C28</f>
        <v>3242</v>
      </c>
      <c r="D27" s="183">
        <f>C29</f>
        <v>3.0000000000000001E-3</v>
      </c>
      <c r="E27" s="184" t="s">
        <v>2178</v>
      </c>
      <c r="F27" s="227">
        <f>'数据-取费表'!Q16</f>
        <v>0.15</v>
      </c>
      <c r="G27" s="228" t="s">
        <v>2191</v>
      </c>
    </row>
    <row r="28" spans="1:7" s="146" customFormat="1" ht="13.5" customHeight="1">
      <c r="A28" s="186" t="s">
        <v>933</v>
      </c>
      <c r="B28" s="191" t="s">
        <v>2192</v>
      </c>
      <c r="C28" s="192">
        <f>ROUND((C5+C19+C20)*F27*'数据-取费表'!B21/'数据-取费表'!B20,0)</f>
        <v>3242</v>
      </c>
      <c r="D28" s="183"/>
      <c r="E28" s="184"/>
      <c r="F28" s="227"/>
      <c r="G28" s="228"/>
    </row>
    <row r="29" spans="1:7" s="146" customFormat="1" ht="13.5" customHeight="1">
      <c r="A29" s="186" t="s">
        <v>935</v>
      </c>
      <c r="B29" s="191" t="s">
        <v>2193</v>
      </c>
      <c r="C29" s="188">
        <f>ROUND(C21*F27*'数据-取费表'!B21/'数据-取费表'!B20,4)</f>
        <v>3.0000000000000001E-3</v>
      </c>
      <c r="D29" s="183"/>
      <c r="E29" s="184"/>
      <c r="F29" s="227"/>
      <c r="G29" s="228"/>
    </row>
    <row r="30" spans="1:7" s="146" customFormat="1" ht="13.5" customHeight="1">
      <c r="A30" s="180" t="s">
        <v>2194</v>
      </c>
      <c r="B30" s="164" t="s">
        <v>2195</v>
      </c>
      <c r="C30" s="183">
        <f>F30</f>
        <v>5.6000000000000001E-2</v>
      </c>
      <c r="D30" s="184" t="s">
        <v>2196</v>
      </c>
      <c r="E30" s="224"/>
      <c r="F30" s="221">
        <f>'数据-取费表'!B41</f>
        <v>5.6000000000000001E-2</v>
      </c>
      <c r="G30" s="220" t="s">
        <v>2197</v>
      </c>
    </row>
    <row r="31" spans="1:7" ht="16.5" customHeight="1">
      <c r="A31" s="193">
        <v>1</v>
      </c>
      <c r="B31" s="164" t="s">
        <v>2198</v>
      </c>
      <c r="C31" s="165">
        <f ca="1">ROUND((C5+C19+C20+C22+C27)/(1-C21-D22-D27-C30/(1+'数据-取费表'!B42)),0)</f>
        <v>28898</v>
      </c>
      <c r="D31" s="194"/>
      <c r="E31" s="165"/>
      <c r="F31" s="229"/>
      <c r="G31" s="220" t="s">
        <v>2199</v>
      </c>
    </row>
    <row r="32" spans="1:7" s="145" customFormat="1" ht="15.75">
      <c r="A32" s="195" t="s">
        <v>2200</v>
      </c>
      <c r="B32" s="196"/>
      <c r="C32" s="196"/>
      <c r="D32" s="196"/>
      <c r="E32" s="196"/>
      <c r="F32" s="196"/>
      <c r="G32" s="230"/>
    </row>
    <row r="33" spans="1:7" s="146" customFormat="1" ht="13.5" customHeight="1">
      <c r="A33" s="163" t="s">
        <v>929</v>
      </c>
      <c r="B33" s="164" t="s">
        <v>2201</v>
      </c>
      <c r="C33" s="197">
        <f>SUM(C34:C38)</f>
        <v>21801</v>
      </c>
      <c r="D33" s="182"/>
      <c r="E33" s="209"/>
      <c r="F33" s="224"/>
      <c r="G33" s="220"/>
    </row>
    <row r="34" spans="1:7" s="148" customFormat="1" ht="13.5" customHeight="1">
      <c r="A34" s="186" t="s">
        <v>933</v>
      </c>
      <c r="B34" s="167" t="s">
        <v>2202</v>
      </c>
      <c r="C34" s="170">
        <f>IF(F34=100%,'数据-取费表'!M16-SUMIF('数据-取费表'!C:C,"公共配套",'数据-取费表'!M:M),'数据-取费表'!O16-SUMIF('数据-取费表'!C:C,"公共配套",'数据-取费表'!O:O))</f>
        <v>20307</v>
      </c>
      <c r="D34" s="169"/>
      <c r="E34" s="170"/>
      <c r="F34" s="231">
        <f>IF('数据-取费表'!B24=0,1,'数据-取费表'!N16)</f>
        <v>1</v>
      </c>
      <c r="G34" s="212" t="s">
        <v>2203</v>
      </c>
    </row>
    <row r="35" spans="1:7" ht="13.5" customHeight="1">
      <c r="A35" s="186" t="s">
        <v>935</v>
      </c>
      <c r="B35" s="167" t="s">
        <v>2204</v>
      </c>
      <c r="C35" s="170">
        <f>ROUND(C34*F35,0)</f>
        <v>609</v>
      </c>
      <c r="D35" s="170"/>
      <c r="E35" s="170"/>
      <c r="F35" s="232">
        <f>'数据-取费表'!B33</f>
        <v>0.03</v>
      </c>
      <c r="G35" s="212" t="s">
        <v>2205</v>
      </c>
    </row>
    <row r="36" spans="1:7" ht="24">
      <c r="A36" s="186" t="s">
        <v>937</v>
      </c>
      <c r="B36" s="167" t="s">
        <v>2206</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2207</v>
      </c>
    </row>
    <row r="37" spans="1:7" s="148" customFormat="1" ht="13.5" customHeight="1">
      <c r="A37" s="186" t="s">
        <v>980</v>
      </c>
      <c r="B37" s="167" t="s">
        <v>2208</v>
      </c>
      <c r="C37" s="192">
        <f>ROUND(E37*D37*F34/10000,0)</f>
        <v>580</v>
      </c>
      <c r="D37" s="169">
        <f>'数据-汇总表'!E3</f>
        <v>29009.8</v>
      </c>
      <c r="E37" s="192">
        <f>'数据-取费表'!B35</f>
        <v>200</v>
      </c>
      <c r="F37" s="232"/>
      <c r="G37" s="234" t="s">
        <v>2209</v>
      </c>
    </row>
    <row r="38" spans="1:7" ht="13.5" customHeight="1">
      <c r="A38" s="186" t="s">
        <v>1002</v>
      </c>
      <c r="B38" s="167" t="s">
        <v>2162</v>
      </c>
      <c r="C38" s="170">
        <f>ROUND(C34*F38,0)</f>
        <v>305</v>
      </c>
      <c r="D38" s="170"/>
      <c r="E38" s="170"/>
      <c r="F38" s="232">
        <f>'数据-取费表'!B36</f>
        <v>1.4999999999999999E-2</v>
      </c>
      <c r="G38" s="212" t="s">
        <v>2205</v>
      </c>
    </row>
    <row r="39" spans="1:7" s="146" customFormat="1" ht="13.5" customHeight="1">
      <c r="A39" s="180" t="s">
        <v>2170</v>
      </c>
      <c r="B39" s="164" t="s">
        <v>2174</v>
      </c>
      <c r="C39" s="182">
        <f>ROUND(C33*F20,0)</f>
        <v>436</v>
      </c>
      <c r="D39" s="182"/>
      <c r="E39" s="182"/>
      <c r="F39" s="218"/>
      <c r="G39" s="219" t="s">
        <v>2210</v>
      </c>
    </row>
    <row r="40" spans="1:7" s="146" customFormat="1" ht="13.5" customHeight="1">
      <c r="A40" s="180" t="s">
        <v>2173</v>
      </c>
      <c r="B40" s="164" t="s">
        <v>2177</v>
      </c>
      <c r="C40" s="198">
        <f>F21</f>
        <v>0.02</v>
      </c>
      <c r="D40" s="184" t="s">
        <v>2211</v>
      </c>
      <c r="E40" s="182"/>
      <c r="F40" s="218"/>
      <c r="G40" s="220" t="s">
        <v>2212</v>
      </c>
    </row>
    <row r="41" spans="1:7" s="146" customFormat="1" ht="13.5" customHeight="1">
      <c r="A41" s="180" t="s">
        <v>2176</v>
      </c>
      <c r="B41" s="164" t="s">
        <v>2181</v>
      </c>
      <c r="C41" s="182">
        <f ca="1">ROUND(SUM(C42:C43),0)</f>
        <v>923</v>
      </c>
      <c r="D41" s="183">
        <f ca="1">C44</f>
        <v>8.0000000000000004E-4</v>
      </c>
      <c r="E41" s="184" t="s">
        <v>2211</v>
      </c>
      <c r="F41" s="221"/>
      <c r="G41" s="219" t="str">
        <f>IF('数据-取费表'!B22&lt;=1,"单利计息","复利计息")</f>
        <v>复利计息</v>
      </c>
    </row>
    <row r="42" spans="1:7" ht="13.5" customHeight="1">
      <c r="A42" s="186" t="s">
        <v>933</v>
      </c>
      <c r="B42" s="167" t="s">
        <v>2182</v>
      </c>
      <c r="C42" s="188">
        <f ca="1">ROUND(IF('数据-取费表'!B22&lt;=1,C33*F22*'数据-取费表'!B21/2,C33*(POWER((1+F22),'数据-取费表'!B21/2)-1)),0)</f>
        <v>905</v>
      </c>
      <c r="D42" s="188"/>
      <c r="E42" s="188"/>
      <c r="F42" s="222"/>
      <c r="G42" s="3412" t="s">
        <v>2213</v>
      </c>
    </row>
    <row r="43" spans="1:7" ht="13.5" customHeight="1">
      <c r="A43" s="186" t="s">
        <v>935</v>
      </c>
      <c r="B43" s="167" t="s">
        <v>2184</v>
      </c>
      <c r="C43" s="188">
        <f ca="1">ROUND(IF('数据-取费表'!B22&lt;=1,C39*F22*'数据-取费表'!B21/2,C39*(POWER((1+F22),'数据-取费表'!B21/2)-1)),0)</f>
        <v>18</v>
      </c>
      <c r="D43" s="188"/>
      <c r="E43" s="188"/>
      <c r="F43" s="222"/>
      <c r="G43" s="3413"/>
    </row>
    <row r="44" spans="1:7" ht="13.5" customHeight="1">
      <c r="A44" s="186" t="s">
        <v>937</v>
      </c>
      <c r="B44" s="167" t="s">
        <v>2186</v>
      </c>
      <c r="C44" s="188">
        <f ca="1">ROUND(IF('数据-取费表'!B22&lt;=1,C40*F22*'数据-取费表'!B21/2,C40*(POWER((1+F22),'数据-取费表'!B21/2)-1)),4)</f>
        <v>8.0000000000000004E-4</v>
      </c>
      <c r="D44" s="188"/>
      <c r="E44" s="188"/>
      <c r="F44" s="222"/>
      <c r="G44" s="3414"/>
    </row>
    <row r="45" spans="1:7" s="146" customFormat="1" ht="13.5" customHeight="1">
      <c r="A45" s="180" t="s">
        <v>2180</v>
      </c>
      <c r="B45" s="189" t="s">
        <v>2190</v>
      </c>
      <c r="C45" s="190">
        <f>C46</f>
        <v>3336</v>
      </c>
      <c r="D45" s="183">
        <f>C47</f>
        <v>3.0000000000000001E-3</v>
      </c>
      <c r="E45" s="184" t="s">
        <v>2211</v>
      </c>
      <c r="F45" s="227"/>
      <c r="G45" s="228" t="s">
        <v>2214</v>
      </c>
    </row>
    <row r="46" spans="1:7" s="146" customFormat="1" ht="13.5" customHeight="1">
      <c r="A46" s="186" t="s">
        <v>933</v>
      </c>
      <c r="B46" s="191" t="s">
        <v>2215</v>
      </c>
      <c r="C46" s="192">
        <f>ROUND((C33+C39)*F27,0)</f>
        <v>3336</v>
      </c>
      <c r="D46" s="199"/>
      <c r="E46" s="184"/>
      <c r="F46" s="227"/>
      <c r="G46" s="228"/>
    </row>
    <row r="47" spans="1:7" s="146" customFormat="1" ht="13.5" customHeight="1">
      <c r="A47" s="186" t="s">
        <v>935</v>
      </c>
      <c r="B47" s="191" t="s">
        <v>2216</v>
      </c>
      <c r="C47" s="188">
        <f>ROUND(C40*F27,4)</f>
        <v>3.0000000000000001E-3</v>
      </c>
      <c r="D47" s="199"/>
      <c r="E47" s="184"/>
      <c r="F47" s="227"/>
      <c r="G47" s="228"/>
    </row>
    <row r="48" spans="1:7" s="146" customFormat="1" ht="13.5" customHeight="1">
      <c r="A48" s="180" t="s">
        <v>2189</v>
      </c>
      <c r="B48" s="164" t="s">
        <v>2195</v>
      </c>
      <c r="C48" s="198">
        <f>F30</f>
        <v>5.6000000000000001E-2</v>
      </c>
      <c r="D48" s="184" t="s">
        <v>2217</v>
      </c>
      <c r="E48" s="182"/>
      <c r="F48" s="221"/>
      <c r="G48" s="220" t="s">
        <v>2218</v>
      </c>
    </row>
    <row r="49" spans="1:7" ht="16.5" customHeight="1">
      <c r="A49" s="180" t="s">
        <v>2194</v>
      </c>
      <c r="B49" s="164" t="s">
        <v>2219</v>
      </c>
      <c r="C49" s="182">
        <f ca="1">ROUND((C33+C39+C41+C45)/(1-C40-D41-D45-C48/(1+'数据-取费表'!B42)),0)</f>
        <v>28711</v>
      </c>
      <c r="D49" s="182"/>
      <c r="E49" s="182"/>
      <c r="F49" s="235"/>
      <c r="G49" s="220" t="s">
        <v>2220</v>
      </c>
    </row>
    <row r="50" spans="1:7" s="148" customFormat="1" ht="24">
      <c r="A50" s="180" t="s">
        <v>2221</v>
      </c>
      <c r="B50" s="164" t="s">
        <v>2222</v>
      </c>
      <c r="C50" s="182"/>
      <c r="D50" s="182"/>
      <c r="E50" s="182"/>
      <c r="F50" s="235">
        <f>IF('数据-取费表'!B24=0,'数据-取费表'!N16,1)</f>
        <v>0.7</v>
      </c>
      <c r="G50" s="228" t="s">
        <v>2223</v>
      </c>
    </row>
    <row r="51" spans="1:7" ht="16.5" customHeight="1">
      <c r="A51" s="180" t="s">
        <v>2224</v>
      </c>
      <c r="B51" s="164" t="s">
        <v>2225</v>
      </c>
      <c r="C51" s="182">
        <f ca="1">ROUND(C49*F50,0)</f>
        <v>20098</v>
      </c>
      <c r="D51" s="182"/>
      <c r="E51" s="182"/>
      <c r="F51" s="235"/>
      <c r="G51" s="220" t="s">
        <v>2226</v>
      </c>
    </row>
    <row r="52" spans="1:7" s="145" customFormat="1" ht="15.75">
      <c r="A52" s="200" t="s">
        <v>2227</v>
      </c>
      <c r="B52" s="201"/>
      <c r="C52" s="202">
        <f ca="1">C31+C51</f>
        <v>48996</v>
      </c>
      <c r="D52" s="201"/>
      <c r="E52" s="201"/>
      <c r="F52" s="201"/>
      <c r="G52" s="236"/>
    </row>
    <row r="55" spans="1:7" ht="15">
      <c r="B55" s="203" t="s">
        <v>2228</v>
      </c>
      <c r="C55" s="204"/>
    </row>
    <row r="56" spans="1:7">
      <c r="B56" s="205" t="s">
        <v>2229</v>
      </c>
      <c r="C56" s="206">
        <f ca="1">ROUND(C51/C52,3)</f>
        <v>0.41</v>
      </c>
    </row>
    <row r="57" spans="1:7">
      <c r="B57" s="205" t="s">
        <v>2230</v>
      </c>
      <c r="C57" s="207">
        <f ca="1">1-C56</f>
        <v>0.59000000000000008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566" t="s">
        <v>2231</v>
      </c>
      <c r="B1" s="3566"/>
      <c r="C1" s="3566"/>
      <c r="D1" s="3566"/>
      <c r="E1" s="3566"/>
      <c r="F1" s="3566"/>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7" t="s">
        <v>2232</v>
      </c>
      <c r="B2" s="3567"/>
      <c r="C2" s="3567"/>
      <c r="D2" s="3567"/>
      <c r="E2" s="3567"/>
      <c r="F2" s="3567"/>
      <c r="H2" s="130" t="s">
        <v>2233</v>
      </c>
      <c r="I2" s="102" t="s">
        <v>2234</v>
      </c>
      <c r="J2" s="102" t="s">
        <v>2235</v>
      </c>
      <c r="K2" s="102" t="s">
        <v>2236</v>
      </c>
      <c r="L2" s="102" t="s">
        <v>2237</v>
      </c>
      <c r="M2" s="102" t="s">
        <v>2238</v>
      </c>
      <c r="N2" s="102" t="s">
        <v>2239</v>
      </c>
      <c r="O2" s="102" t="s">
        <v>2240</v>
      </c>
      <c r="P2" s="102" t="s">
        <v>2241</v>
      </c>
      <c r="Q2" s="102" t="s">
        <v>2242</v>
      </c>
      <c r="R2" s="102" t="s">
        <v>2243</v>
      </c>
      <c r="S2" s="102" t="s">
        <v>2244</v>
      </c>
    </row>
    <row r="3" spans="1:19" s="124" customFormat="1" ht="19.5" customHeight="1">
      <c r="A3" s="3568" t="s">
        <v>2245</v>
      </c>
      <c r="B3" s="126"/>
      <c r="C3" s="127" t="s">
        <v>463</v>
      </c>
      <c r="D3" s="127" t="s">
        <v>1776</v>
      </c>
      <c r="E3" s="127" t="s">
        <v>1777</v>
      </c>
      <c r="F3" s="127" t="s">
        <v>1778</v>
      </c>
      <c r="G3" s="131"/>
      <c r="H3" s="130" t="s">
        <v>2246</v>
      </c>
      <c r="I3" s="102" t="s">
        <v>2247</v>
      </c>
      <c r="J3" s="102" t="s">
        <v>2248</v>
      </c>
      <c r="K3" s="102" t="s">
        <v>2249</v>
      </c>
      <c r="L3" s="102" t="s">
        <v>2250</v>
      </c>
      <c r="M3" s="102" t="s">
        <v>2251</v>
      </c>
      <c r="N3" s="102" t="s">
        <v>2252</v>
      </c>
      <c r="O3" s="102" t="s">
        <v>2253</v>
      </c>
      <c r="P3" s="102" t="s">
        <v>2254</v>
      </c>
      <c r="Q3" s="102" t="s">
        <v>2255</v>
      </c>
      <c r="R3" s="102" t="s">
        <v>2256</v>
      </c>
      <c r="S3" s="102" t="s">
        <v>2257</v>
      </c>
    </row>
    <row r="4" spans="1:19" s="124" customFormat="1" ht="19.5" customHeight="1">
      <c r="A4" s="3569"/>
      <c r="B4" s="128" t="s">
        <v>2258</v>
      </c>
      <c r="C4" s="128" t="s">
        <v>2259</v>
      </c>
      <c r="D4" s="128" t="s">
        <v>2259</v>
      </c>
      <c r="E4" s="128" t="s">
        <v>2259</v>
      </c>
      <c r="F4" s="132" t="s">
        <v>2259</v>
      </c>
      <c r="G4" s="131"/>
      <c r="H4" s="130" t="s">
        <v>2260</v>
      </c>
      <c r="I4" s="102" t="s">
        <v>2261</v>
      </c>
      <c r="J4" s="102" t="s">
        <v>2262</v>
      </c>
      <c r="K4" s="102" t="s">
        <v>2263</v>
      </c>
      <c r="L4" s="102" t="s">
        <v>2264</v>
      </c>
      <c r="M4" s="102" t="s">
        <v>2265</v>
      </c>
      <c r="N4" s="102" t="s">
        <v>2266</v>
      </c>
      <c r="O4" s="102" t="s">
        <v>2267</v>
      </c>
      <c r="P4" s="102" t="s">
        <v>2268</v>
      </c>
      <c r="Q4" s="102" t="s">
        <v>2269</v>
      </c>
      <c r="R4" s="102" t="s">
        <v>2270</v>
      </c>
      <c r="S4" s="102" t="s">
        <v>2271</v>
      </c>
    </row>
    <row r="5" spans="1:19" ht="14.25" customHeight="1">
      <c r="A5" s="99" t="s">
        <v>230</v>
      </c>
      <c r="B5" s="100" t="s">
        <v>2233</v>
      </c>
      <c r="C5" s="100">
        <v>29530</v>
      </c>
      <c r="D5" s="100">
        <v>28130</v>
      </c>
      <c r="E5" s="100">
        <v>27930</v>
      </c>
      <c r="F5" s="133">
        <v>11300</v>
      </c>
      <c r="G5" s="131"/>
      <c r="H5" s="130" t="s">
        <v>2272</v>
      </c>
      <c r="I5" s="102" t="s">
        <v>2273</v>
      </c>
      <c r="J5" s="102" t="s">
        <v>2274</v>
      </c>
      <c r="K5" s="102" t="s">
        <v>2275</v>
      </c>
      <c r="L5" s="102" t="s">
        <v>2276</v>
      </c>
      <c r="M5" s="102" t="s">
        <v>2277</v>
      </c>
      <c r="N5" s="102" t="s">
        <v>2278</v>
      </c>
      <c r="O5" s="102" t="s">
        <v>2279</v>
      </c>
      <c r="P5" s="102" t="s">
        <v>2280</v>
      </c>
      <c r="Q5" s="102" t="s">
        <v>2281</v>
      </c>
      <c r="R5" s="102" t="s">
        <v>2282</v>
      </c>
      <c r="S5" s="102" t="s">
        <v>2283</v>
      </c>
    </row>
    <row r="6" spans="1:19" ht="14.25" customHeight="1">
      <c r="A6" s="99" t="s">
        <v>230</v>
      </c>
      <c r="B6" s="102" t="s">
        <v>2246</v>
      </c>
      <c r="C6" s="102">
        <v>30290</v>
      </c>
      <c r="D6" s="102">
        <v>29210</v>
      </c>
      <c r="E6" s="102">
        <v>28860</v>
      </c>
      <c r="F6" s="134">
        <v>12600</v>
      </c>
      <c r="G6" s="131"/>
      <c r="H6" s="130" t="s">
        <v>2284</v>
      </c>
      <c r="I6" s="102" t="s">
        <v>2285</v>
      </c>
      <c r="J6" s="102" t="s">
        <v>2286</v>
      </c>
      <c r="K6" s="102" t="s">
        <v>2287</v>
      </c>
      <c r="L6" s="102" t="s">
        <v>2288</v>
      </c>
      <c r="M6" s="102" t="s">
        <v>2289</v>
      </c>
      <c r="N6" s="102" t="s">
        <v>2290</v>
      </c>
      <c r="O6" s="102" t="s">
        <v>2291</v>
      </c>
      <c r="P6" s="102" t="s">
        <v>2292</v>
      </c>
      <c r="Q6" s="102" t="s">
        <v>2293</v>
      </c>
      <c r="R6" s="102" t="s">
        <v>2294</v>
      </c>
      <c r="S6" s="102" t="s">
        <v>2295</v>
      </c>
    </row>
    <row r="7" spans="1:19" ht="14.25" customHeight="1">
      <c r="A7" s="99" t="s">
        <v>230</v>
      </c>
      <c r="B7" s="104" t="s">
        <v>2260</v>
      </c>
      <c r="C7" s="102">
        <v>29350</v>
      </c>
      <c r="D7" s="102">
        <v>28410</v>
      </c>
      <c r="E7" s="102">
        <v>27990</v>
      </c>
      <c r="F7" s="134">
        <v>12300</v>
      </c>
      <c r="G7" s="131"/>
      <c r="I7" s="102" t="s">
        <v>2296</v>
      </c>
      <c r="J7" s="102" t="s">
        <v>2297</v>
      </c>
      <c r="K7" s="102" t="s">
        <v>2298</v>
      </c>
      <c r="L7" s="102" t="s">
        <v>2299</v>
      </c>
      <c r="M7" s="102" t="s">
        <v>2300</v>
      </c>
      <c r="N7" s="102" t="s">
        <v>2301</v>
      </c>
      <c r="O7" s="102" t="s">
        <v>2302</v>
      </c>
      <c r="P7" s="102" t="s">
        <v>2303</v>
      </c>
      <c r="Q7" s="102" t="s">
        <v>2304</v>
      </c>
      <c r="R7" s="102" t="s">
        <v>2305</v>
      </c>
      <c r="S7" s="104" t="s">
        <v>2306</v>
      </c>
    </row>
    <row r="8" spans="1:19" ht="14.25" customHeight="1">
      <c r="A8" s="99" t="s">
        <v>230</v>
      </c>
      <c r="B8" s="102" t="s">
        <v>2272</v>
      </c>
      <c r="C8" s="102">
        <v>30890</v>
      </c>
      <c r="D8" s="102">
        <v>29780</v>
      </c>
      <c r="E8" s="102">
        <v>29270</v>
      </c>
      <c r="F8" s="134">
        <v>11600</v>
      </c>
      <c r="G8" s="131"/>
      <c r="I8" s="102" t="s">
        <v>2307</v>
      </c>
      <c r="J8" s="102" t="s">
        <v>2308</v>
      </c>
      <c r="K8" s="102" t="s">
        <v>2309</v>
      </c>
      <c r="L8" s="102" t="s">
        <v>2310</v>
      </c>
      <c r="M8" s="102" t="s">
        <v>2311</v>
      </c>
      <c r="N8" s="102" t="s">
        <v>2312</v>
      </c>
      <c r="O8" s="102" t="s">
        <v>2313</v>
      </c>
      <c r="P8" s="102" t="s">
        <v>2314</v>
      </c>
      <c r="Q8" s="102" t="s">
        <v>2315</v>
      </c>
      <c r="R8" s="102" t="s">
        <v>2316</v>
      </c>
      <c r="S8" s="102" t="s">
        <v>2317</v>
      </c>
    </row>
    <row r="9" spans="1:19" ht="14.25" customHeight="1">
      <c r="A9" s="99" t="s">
        <v>230</v>
      </c>
      <c r="B9" s="106" t="s">
        <v>2284</v>
      </c>
      <c r="C9" s="114">
        <v>28140</v>
      </c>
      <c r="D9" s="114"/>
      <c r="E9" s="114"/>
      <c r="F9" s="135"/>
      <c r="G9" s="131"/>
      <c r="I9" s="102" t="s">
        <v>2318</v>
      </c>
      <c r="J9" s="102" t="s">
        <v>2319</v>
      </c>
      <c r="K9" s="102" t="s">
        <v>2320</v>
      </c>
      <c r="L9" s="102" t="s">
        <v>2321</v>
      </c>
      <c r="M9" s="102" t="s">
        <v>2322</v>
      </c>
      <c r="N9" s="102" t="s">
        <v>2323</v>
      </c>
      <c r="O9" s="102" t="s">
        <v>2324</v>
      </c>
      <c r="P9" s="102" t="s">
        <v>2325</v>
      </c>
      <c r="Q9" s="102" t="s">
        <v>2326</v>
      </c>
      <c r="R9" s="102" t="s">
        <v>2327</v>
      </c>
    </row>
    <row r="10" spans="1:19" ht="14.25" customHeight="1">
      <c r="A10" s="99" t="s">
        <v>241</v>
      </c>
      <c r="B10" s="100" t="s">
        <v>2234</v>
      </c>
      <c r="C10" s="100">
        <v>27450</v>
      </c>
      <c r="D10" s="100">
        <v>26180</v>
      </c>
      <c r="E10" s="100">
        <v>25980</v>
      </c>
      <c r="F10" s="133">
        <v>8910</v>
      </c>
      <c r="G10" s="131"/>
      <c r="I10" s="102" t="s">
        <v>2328</v>
      </c>
      <c r="J10" s="102" t="s">
        <v>2329</v>
      </c>
      <c r="K10" s="102" t="s">
        <v>2330</v>
      </c>
      <c r="L10" s="102" t="s">
        <v>2331</v>
      </c>
      <c r="M10" s="102" t="s">
        <v>2332</v>
      </c>
      <c r="N10" s="102" t="s">
        <v>2333</v>
      </c>
      <c r="O10" s="102" t="s">
        <v>2334</v>
      </c>
      <c r="P10" s="102" t="s">
        <v>2335</v>
      </c>
      <c r="Q10" s="102" t="s">
        <v>2336</v>
      </c>
      <c r="R10" s="102" t="s">
        <v>2337</v>
      </c>
    </row>
    <row r="11" spans="1:19" ht="14.25" customHeight="1">
      <c r="A11" s="99" t="s">
        <v>241</v>
      </c>
      <c r="B11" s="104" t="s">
        <v>2247</v>
      </c>
      <c r="C11" s="102">
        <v>22950</v>
      </c>
      <c r="D11" s="102">
        <v>22630</v>
      </c>
      <c r="E11" s="102">
        <v>22030</v>
      </c>
      <c r="F11" s="136">
        <v>8330</v>
      </c>
      <c r="G11" s="131"/>
      <c r="I11" s="102" t="s">
        <v>2338</v>
      </c>
      <c r="J11" s="102" t="s">
        <v>2339</v>
      </c>
      <c r="K11" s="102" t="s">
        <v>2340</v>
      </c>
      <c r="L11" s="102" t="s">
        <v>2341</v>
      </c>
      <c r="M11" s="102" t="s">
        <v>2342</v>
      </c>
      <c r="N11" s="102" t="s">
        <v>2343</v>
      </c>
      <c r="O11" s="102" t="s">
        <v>2344</v>
      </c>
      <c r="P11" s="102" t="s">
        <v>2345</v>
      </c>
      <c r="Q11" s="102" t="s">
        <v>2346</v>
      </c>
      <c r="R11" s="102" t="s">
        <v>2347</v>
      </c>
    </row>
    <row r="12" spans="1:19" ht="14.25" customHeight="1">
      <c r="A12" s="99" t="s">
        <v>241</v>
      </c>
      <c r="B12" s="104" t="s">
        <v>2261</v>
      </c>
      <c r="C12" s="102">
        <v>24940</v>
      </c>
      <c r="D12" s="102">
        <v>23180</v>
      </c>
      <c r="E12" s="102">
        <v>22910</v>
      </c>
      <c r="F12" s="136">
        <v>7180</v>
      </c>
      <c r="G12" s="131"/>
      <c r="I12" s="102" t="s">
        <v>2348</v>
      </c>
      <c r="J12" s="102" t="s">
        <v>2349</v>
      </c>
      <c r="K12" s="102" t="s">
        <v>2350</v>
      </c>
      <c r="L12" s="102" t="s">
        <v>2351</v>
      </c>
      <c r="M12" s="102" t="s">
        <v>2352</v>
      </c>
      <c r="N12" s="102" t="s">
        <v>2353</v>
      </c>
      <c r="O12" s="102" t="s">
        <v>2354</v>
      </c>
      <c r="P12" s="102" t="s">
        <v>2355</v>
      </c>
      <c r="Q12" s="102" t="s">
        <v>2356</v>
      </c>
      <c r="R12" s="102" t="s">
        <v>2357</v>
      </c>
    </row>
    <row r="13" spans="1:19" ht="14.25" customHeight="1">
      <c r="A13" s="99" t="s">
        <v>241</v>
      </c>
      <c r="B13" s="104" t="s">
        <v>2273</v>
      </c>
      <c r="C13" s="102">
        <v>24140</v>
      </c>
      <c r="D13" s="102">
        <v>22270</v>
      </c>
      <c r="E13" s="102">
        <v>21950</v>
      </c>
      <c r="F13" s="136">
        <v>7600</v>
      </c>
      <c r="G13" s="131"/>
      <c r="I13" s="102" t="s">
        <v>2358</v>
      </c>
      <c r="J13" s="102" t="s">
        <v>2359</v>
      </c>
      <c r="K13" s="102" t="s">
        <v>2360</v>
      </c>
      <c r="L13" s="102" t="s">
        <v>2361</v>
      </c>
      <c r="M13" s="102" t="s">
        <v>2362</v>
      </c>
      <c r="N13" s="102" t="s">
        <v>2363</v>
      </c>
      <c r="O13" s="102" t="s">
        <v>2364</v>
      </c>
      <c r="P13" s="102" t="s">
        <v>2365</v>
      </c>
      <c r="Q13" s="102" t="s">
        <v>2366</v>
      </c>
      <c r="R13" s="102" t="s">
        <v>2367</v>
      </c>
    </row>
    <row r="14" spans="1:19" ht="14.25" customHeight="1">
      <c r="A14" s="99" t="s">
        <v>241</v>
      </c>
      <c r="B14" s="104" t="s">
        <v>2285</v>
      </c>
      <c r="C14" s="102">
        <v>25600</v>
      </c>
      <c r="D14" s="102">
        <v>22260</v>
      </c>
      <c r="E14" s="102">
        <v>22110</v>
      </c>
      <c r="F14" s="136">
        <v>7630</v>
      </c>
      <c r="G14" s="131"/>
      <c r="I14" s="102" t="s">
        <v>2368</v>
      </c>
      <c r="J14" s="102" t="s">
        <v>2369</v>
      </c>
      <c r="K14" s="102" t="s">
        <v>2370</v>
      </c>
      <c r="L14" s="102" t="s">
        <v>2371</v>
      </c>
      <c r="M14" s="102" t="s">
        <v>2372</v>
      </c>
      <c r="N14" s="102" t="s">
        <v>2373</v>
      </c>
      <c r="O14" s="102" t="s">
        <v>2374</v>
      </c>
      <c r="P14" s="102" t="s">
        <v>2375</v>
      </c>
      <c r="Q14" s="102" t="s">
        <v>2376</v>
      </c>
      <c r="R14" s="102" t="s">
        <v>2377</v>
      </c>
    </row>
    <row r="15" spans="1:19" ht="14.25" customHeight="1">
      <c r="A15" s="99" t="s">
        <v>241</v>
      </c>
      <c r="B15" s="104" t="s">
        <v>2296</v>
      </c>
      <c r="C15" s="102">
        <v>24760</v>
      </c>
      <c r="D15" s="102">
        <v>24440</v>
      </c>
      <c r="E15" s="102">
        <v>24130</v>
      </c>
      <c r="F15" s="136">
        <v>9480</v>
      </c>
      <c r="G15" s="131"/>
      <c r="I15" s="102" t="s">
        <v>2378</v>
      </c>
      <c r="J15" s="102" t="s">
        <v>2379</v>
      </c>
      <c r="K15" s="102" t="s">
        <v>2380</v>
      </c>
      <c r="L15" s="102" t="s">
        <v>2381</v>
      </c>
      <c r="M15" s="102" t="s">
        <v>2382</v>
      </c>
      <c r="N15" s="102" t="s">
        <v>2383</v>
      </c>
      <c r="O15" s="102" t="s">
        <v>2384</v>
      </c>
      <c r="P15" s="102" t="s">
        <v>2385</v>
      </c>
      <c r="Q15" s="102" t="s">
        <v>2386</v>
      </c>
      <c r="R15" s="102" t="s">
        <v>2387</v>
      </c>
    </row>
    <row r="16" spans="1:19" ht="14.25" customHeight="1">
      <c r="A16" s="99" t="s">
        <v>241</v>
      </c>
      <c r="B16" s="104" t="s">
        <v>2307</v>
      </c>
      <c r="C16" s="102">
        <v>22220</v>
      </c>
      <c r="D16" s="102">
        <v>22310</v>
      </c>
      <c r="E16" s="102">
        <v>22000</v>
      </c>
      <c r="F16" s="136">
        <v>8900</v>
      </c>
      <c r="G16" s="131"/>
      <c r="I16" s="102" t="s">
        <v>2388</v>
      </c>
      <c r="J16" s="102" t="s">
        <v>2389</v>
      </c>
      <c r="K16" s="102" t="s">
        <v>2390</v>
      </c>
      <c r="L16" s="102" t="s">
        <v>2391</v>
      </c>
      <c r="M16" s="102" t="s">
        <v>2392</v>
      </c>
      <c r="N16" s="102" t="s">
        <v>2393</v>
      </c>
      <c r="O16" s="102" t="s">
        <v>2394</v>
      </c>
      <c r="P16" s="102" t="s">
        <v>2395</v>
      </c>
      <c r="Q16" s="102" t="s">
        <v>2396</v>
      </c>
      <c r="R16" s="102" t="s">
        <v>2397</v>
      </c>
    </row>
    <row r="17" spans="1:18" ht="14.25" customHeight="1">
      <c r="A17" s="99" t="s">
        <v>241</v>
      </c>
      <c r="B17" s="104" t="s">
        <v>2318</v>
      </c>
      <c r="C17" s="102">
        <v>24700</v>
      </c>
      <c r="D17" s="102">
        <v>25150</v>
      </c>
      <c r="E17" s="102">
        <v>24700</v>
      </c>
      <c r="F17" s="137"/>
      <c r="G17" s="131"/>
      <c r="I17" s="102" t="s">
        <v>2398</v>
      </c>
      <c r="J17" s="102" t="s">
        <v>2399</v>
      </c>
      <c r="K17" s="102" t="s">
        <v>2400</v>
      </c>
      <c r="L17" s="102" t="s">
        <v>2401</v>
      </c>
      <c r="M17" s="102" t="s">
        <v>2402</v>
      </c>
      <c r="N17" s="102" t="s">
        <v>2403</v>
      </c>
      <c r="O17" s="102" t="s">
        <v>2404</v>
      </c>
      <c r="P17" s="102" t="s">
        <v>2405</v>
      </c>
      <c r="Q17" s="102" t="s">
        <v>2406</v>
      </c>
      <c r="R17" s="102" t="s">
        <v>2407</v>
      </c>
    </row>
    <row r="18" spans="1:18" ht="14.25" customHeight="1">
      <c r="A18" s="99" t="s">
        <v>241</v>
      </c>
      <c r="B18" s="104" t="s">
        <v>2328</v>
      </c>
      <c r="C18" s="102">
        <v>22350</v>
      </c>
      <c r="D18" s="102">
        <v>24340</v>
      </c>
      <c r="E18" s="102">
        <v>24100</v>
      </c>
      <c r="F18" s="137"/>
      <c r="G18" s="131"/>
      <c r="I18" s="102" t="s">
        <v>2408</v>
      </c>
      <c r="J18" s="102" t="s">
        <v>2409</v>
      </c>
      <c r="K18" s="102" t="s">
        <v>2410</v>
      </c>
      <c r="L18" s="102" t="s">
        <v>2411</v>
      </c>
      <c r="M18" s="102" t="s">
        <v>2412</v>
      </c>
      <c r="N18" s="102" t="s">
        <v>2413</v>
      </c>
      <c r="O18" s="102" t="s">
        <v>2414</v>
      </c>
      <c r="P18" s="102" t="s">
        <v>2415</v>
      </c>
      <c r="Q18" s="102" t="s">
        <v>2416</v>
      </c>
      <c r="R18" s="102" t="s">
        <v>2417</v>
      </c>
    </row>
    <row r="19" spans="1:18" ht="14.25" customHeight="1">
      <c r="A19" s="99" t="s">
        <v>241</v>
      </c>
      <c r="B19" s="104" t="s">
        <v>2338</v>
      </c>
      <c r="C19" s="102">
        <v>23430</v>
      </c>
      <c r="D19" s="102">
        <v>21580</v>
      </c>
      <c r="E19" s="102">
        <v>21350</v>
      </c>
      <c r="F19" s="137"/>
      <c r="G19" s="131"/>
      <c r="I19" s="102" t="s">
        <v>2418</v>
      </c>
      <c r="J19" s="102" t="s">
        <v>2419</v>
      </c>
      <c r="K19" s="102" t="s">
        <v>2420</v>
      </c>
      <c r="L19" s="102" t="s">
        <v>2421</v>
      </c>
      <c r="M19" s="102" t="s">
        <v>2422</v>
      </c>
      <c r="N19" s="102" t="s">
        <v>2423</v>
      </c>
      <c r="O19" s="102" t="s">
        <v>2424</v>
      </c>
      <c r="P19" s="102" t="s">
        <v>2425</v>
      </c>
      <c r="Q19" s="102" t="s">
        <v>2426</v>
      </c>
      <c r="R19" s="102" t="s">
        <v>2427</v>
      </c>
    </row>
    <row r="20" spans="1:18" ht="14.25" customHeight="1">
      <c r="A20" s="99" t="s">
        <v>241</v>
      </c>
      <c r="B20" s="104" t="s">
        <v>2348</v>
      </c>
      <c r="C20" s="102">
        <v>27660</v>
      </c>
      <c r="D20" s="102">
        <v>24240</v>
      </c>
      <c r="E20" s="102">
        <v>24020</v>
      </c>
      <c r="F20" s="137"/>
      <c r="I20" s="102" t="s">
        <v>2428</v>
      </c>
      <c r="J20" s="102" t="s">
        <v>2429</v>
      </c>
      <c r="K20" s="102" t="s">
        <v>2430</v>
      </c>
      <c r="L20" s="102" t="s">
        <v>2431</v>
      </c>
      <c r="M20" s="102" t="s">
        <v>2432</v>
      </c>
      <c r="N20" s="102" t="s">
        <v>2433</v>
      </c>
      <c r="O20" s="102" t="s">
        <v>2434</v>
      </c>
      <c r="P20" s="102" t="s">
        <v>2435</v>
      </c>
      <c r="Q20" s="102" t="s">
        <v>2436</v>
      </c>
      <c r="R20" s="102" t="s">
        <v>2437</v>
      </c>
    </row>
    <row r="21" spans="1:18" ht="14.25" customHeight="1">
      <c r="A21" s="99" t="s">
        <v>241</v>
      </c>
      <c r="B21" s="104" t="s">
        <v>2358</v>
      </c>
      <c r="C21" s="102">
        <v>24720</v>
      </c>
      <c r="D21" s="102">
        <v>21670</v>
      </c>
      <c r="E21" s="102">
        <v>21510</v>
      </c>
      <c r="F21" s="137"/>
      <c r="J21" s="102" t="s">
        <v>2438</v>
      </c>
      <c r="K21" s="102" t="s">
        <v>2439</v>
      </c>
      <c r="L21" s="102" t="s">
        <v>2440</v>
      </c>
      <c r="M21" s="102" t="s">
        <v>2441</v>
      </c>
      <c r="N21" s="102" t="s">
        <v>2442</v>
      </c>
      <c r="O21" s="102" t="s">
        <v>2443</v>
      </c>
      <c r="P21" s="102" t="s">
        <v>2444</v>
      </c>
      <c r="Q21" s="102" t="s">
        <v>2445</v>
      </c>
      <c r="R21" s="102" t="s">
        <v>2446</v>
      </c>
    </row>
    <row r="22" spans="1:18" ht="14.25" customHeight="1">
      <c r="A22" s="99" t="s">
        <v>241</v>
      </c>
      <c r="B22" s="104" t="s">
        <v>2368</v>
      </c>
      <c r="C22" s="102">
        <v>26530</v>
      </c>
      <c r="D22" s="102">
        <v>22980</v>
      </c>
      <c r="E22" s="102">
        <v>22650</v>
      </c>
      <c r="F22" s="137"/>
      <c r="K22" s="102" t="s">
        <v>2447</v>
      </c>
      <c r="L22" s="102" t="s">
        <v>2448</v>
      </c>
      <c r="M22" s="102" t="s">
        <v>2449</v>
      </c>
      <c r="N22" s="102" t="s">
        <v>2450</v>
      </c>
      <c r="O22" s="102" t="s">
        <v>2451</v>
      </c>
      <c r="P22" s="102" t="s">
        <v>2452</v>
      </c>
      <c r="Q22" s="102" t="s">
        <v>2453</v>
      </c>
      <c r="R22" s="104" t="s">
        <v>2454</v>
      </c>
    </row>
    <row r="23" spans="1:18" ht="14.25" customHeight="1">
      <c r="A23" s="99" t="s">
        <v>241</v>
      </c>
      <c r="B23" s="104" t="s">
        <v>2378</v>
      </c>
      <c r="C23" s="102">
        <v>24700</v>
      </c>
      <c r="D23" s="102">
        <v>27290</v>
      </c>
      <c r="E23" s="102">
        <v>26710</v>
      </c>
      <c r="F23" s="137"/>
      <c r="K23" s="102" t="s">
        <v>2455</v>
      </c>
      <c r="L23" s="102" t="s">
        <v>2456</v>
      </c>
      <c r="M23" s="102" t="s">
        <v>2457</v>
      </c>
      <c r="N23" s="102" t="s">
        <v>2458</v>
      </c>
      <c r="O23" s="102" t="s">
        <v>2459</v>
      </c>
      <c r="P23" s="102" t="s">
        <v>2460</v>
      </c>
      <c r="Q23" s="102" t="s">
        <v>2461</v>
      </c>
    </row>
    <row r="24" spans="1:18" ht="14.25" customHeight="1">
      <c r="A24" s="99" t="s">
        <v>241</v>
      </c>
      <c r="B24" s="104" t="s">
        <v>2388</v>
      </c>
      <c r="C24" s="102">
        <v>23070</v>
      </c>
      <c r="D24" s="102">
        <v>24130</v>
      </c>
      <c r="E24" s="102">
        <v>23860</v>
      </c>
      <c r="F24" s="137"/>
      <c r="K24" s="102" t="s">
        <v>2462</v>
      </c>
      <c r="L24" s="102" t="s">
        <v>2463</v>
      </c>
      <c r="M24" s="102" t="s">
        <v>2464</v>
      </c>
      <c r="N24" s="102" t="s">
        <v>2465</v>
      </c>
      <c r="O24" s="102" t="s">
        <v>2466</v>
      </c>
      <c r="P24" s="102" t="s">
        <v>2467</v>
      </c>
      <c r="Q24" s="102" t="s">
        <v>2468</v>
      </c>
    </row>
    <row r="25" spans="1:18" ht="14.25" customHeight="1">
      <c r="A25" s="99" t="s">
        <v>241</v>
      </c>
      <c r="B25" s="104" t="s">
        <v>2398</v>
      </c>
      <c r="C25" s="102">
        <v>27550</v>
      </c>
      <c r="D25" s="102">
        <v>25850</v>
      </c>
      <c r="E25" s="102">
        <v>25340</v>
      </c>
      <c r="F25" s="137"/>
      <c r="K25" s="102" t="s">
        <v>2469</v>
      </c>
      <c r="L25" s="102" t="s">
        <v>2470</v>
      </c>
      <c r="M25" s="102" t="s">
        <v>2471</v>
      </c>
      <c r="N25" s="102" t="s">
        <v>2472</v>
      </c>
      <c r="O25" s="102" t="s">
        <v>2473</v>
      </c>
      <c r="P25" s="102" t="s">
        <v>2474</v>
      </c>
      <c r="Q25" s="102" t="s">
        <v>2475</v>
      </c>
    </row>
    <row r="26" spans="1:18" ht="14.25" customHeight="1">
      <c r="A26" s="99" t="s">
        <v>241</v>
      </c>
      <c r="B26" s="104" t="s">
        <v>2408</v>
      </c>
      <c r="C26" s="102"/>
      <c r="D26" s="102">
        <v>23900</v>
      </c>
      <c r="E26" s="102">
        <v>23590</v>
      </c>
      <c r="F26" s="137"/>
      <c r="K26" s="102" t="s">
        <v>2476</v>
      </c>
      <c r="L26" s="102" t="s">
        <v>2477</v>
      </c>
      <c r="M26" s="102" t="s">
        <v>2478</v>
      </c>
      <c r="N26" s="102" t="s">
        <v>2479</v>
      </c>
      <c r="O26" s="102" t="s">
        <v>2480</v>
      </c>
      <c r="P26" s="102" t="s">
        <v>2481</v>
      </c>
      <c r="Q26" s="102" t="s">
        <v>2482</v>
      </c>
    </row>
    <row r="27" spans="1:18" ht="14.25" customHeight="1">
      <c r="A27" s="99" t="s">
        <v>241</v>
      </c>
      <c r="B27" s="104" t="s">
        <v>2418</v>
      </c>
      <c r="C27" s="102"/>
      <c r="D27" s="102">
        <v>22850</v>
      </c>
      <c r="E27" s="102">
        <v>21920</v>
      </c>
      <c r="F27" s="137"/>
      <c r="K27" s="102" t="s">
        <v>2483</v>
      </c>
      <c r="L27" s="102" t="s">
        <v>2484</v>
      </c>
      <c r="M27" s="102" t="s">
        <v>2485</v>
      </c>
      <c r="N27" s="102" t="s">
        <v>2486</v>
      </c>
      <c r="O27" s="102" t="s">
        <v>2487</v>
      </c>
      <c r="P27" s="102" t="s">
        <v>2488</v>
      </c>
      <c r="Q27" s="102" t="s">
        <v>2489</v>
      </c>
    </row>
    <row r="28" spans="1:18" ht="14.25" customHeight="1">
      <c r="A28" s="105" t="s">
        <v>241</v>
      </c>
      <c r="B28" s="106" t="s">
        <v>2428</v>
      </c>
      <c r="C28" s="114"/>
      <c r="D28" s="114">
        <v>26610</v>
      </c>
      <c r="E28" s="114">
        <v>26370</v>
      </c>
      <c r="F28" s="135"/>
      <c r="K28" s="102" t="s">
        <v>2490</v>
      </c>
      <c r="L28" s="102" t="s">
        <v>2491</v>
      </c>
      <c r="M28" s="102" t="s">
        <v>2492</v>
      </c>
      <c r="N28" s="102" t="s">
        <v>2493</v>
      </c>
      <c r="O28" s="102" t="s">
        <v>2494</v>
      </c>
      <c r="P28" s="102" t="s">
        <v>2495</v>
      </c>
    </row>
    <row r="29" spans="1:18" ht="14.25" customHeight="1">
      <c r="A29" s="99" t="s">
        <v>251</v>
      </c>
      <c r="B29" s="100" t="s">
        <v>2235</v>
      </c>
      <c r="C29" s="100">
        <v>22090</v>
      </c>
      <c r="D29" s="100">
        <v>21860</v>
      </c>
      <c r="E29" s="100">
        <v>19380</v>
      </c>
      <c r="F29" s="133">
        <v>6610</v>
      </c>
      <c r="L29" s="102" t="s">
        <v>2496</v>
      </c>
      <c r="M29" s="102" t="s">
        <v>2497</v>
      </c>
      <c r="N29" s="102" t="s">
        <v>2498</v>
      </c>
      <c r="O29" s="102" t="s">
        <v>2499</v>
      </c>
      <c r="P29" s="102" t="s">
        <v>2500</v>
      </c>
    </row>
    <row r="30" spans="1:18" ht="14.25" customHeight="1">
      <c r="A30" s="99" t="s">
        <v>251</v>
      </c>
      <c r="B30" s="104" t="s">
        <v>2248</v>
      </c>
      <c r="C30" s="102">
        <v>21380</v>
      </c>
      <c r="D30" s="102">
        <v>19930</v>
      </c>
      <c r="E30" s="102">
        <v>19860</v>
      </c>
      <c r="F30" s="136">
        <v>6010</v>
      </c>
      <c r="L30" s="102" t="s">
        <v>2501</v>
      </c>
      <c r="M30" s="102" t="s">
        <v>2502</v>
      </c>
      <c r="N30" s="102" t="s">
        <v>2503</v>
      </c>
      <c r="O30" s="102" t="s">
        <v>2504</v>
      </c>
      <c r="P30" s="102" t="s">
        <v>2505</v>
      </c>
    </row>
    <row r="31" spans="1:18" ht="14.25" customHeight="1">
      <c r="A31" s="99" t="s">
        <v>251</v>
      </c>
      <c r="B31" s="104" t="s">
        <v>2262</v>
      </c>
      <c r="C31" s="102">
        <v>21670</v>
      </c>
      <c r="D31" s="102">
        <v>20660</v>
      </c>
      <c r="E31" s="102">
        <v>20290</v>
      </c>
      <c r="F31" s="136">
        <v>5840</v>
      </c>
      <c r="L31" s="102" t="s">
        <v>2506</v>
      </c>
      <c r="M31" s="102" t="s">
        <v>2507</v>
      </c>
      <c r="N31" s="102" t="s">
        <v>2508</v>
      </c>
      <c r="O31" s="102" t="s">
        <v>2509</v>
      </c>
      <c r="P31" s="102" t="s">
        <v>2510</v>
      </c>
    </row>
    <row r="32" spans="1:18" ht="14.25" customHeight="1">
      <c r="A32" s="99" t="s">
        <v>251</v>
      </c>
      <c r="B32" s="104" t="s">
        <v>2274</v>
      </c>
      <c r="C32" s="102">
        <v>22280</v>
      </c>
      <c r="D32" s="102">
        <v>21800</v>
      </c>
      <c r="E32" s="102">
        <v>17650</v>
      </c>
      <c r="F32" s="136">
        <v>4690</v>
      </c>
      <c r="L32" s="102" t="s">
        <v>2511</v>
      </c>
      <c r="M32" s="102" t="s">
        <v>2512</v>
      </c>
      <c r="N32" s="102" t="s">
        <v>2513</v>
      </c>
      <c r="O32" s="102" t="s">
        <v>2514</v>
      </c>
      <c r="P32" s="102" t="s">
        <v>2515</v>
      </c>
    </row>
    <row r="33" spans="1:16" ht="14.25" customHeight="1">
      <c r="A33" s="99" t="s">
        <v>251</v>
      </c>
      <c r="B33" s="104" t="s">
        <v>2286</v>
      </c>
      <c r="C33" s="102">
        <v>22130</v>
      </c>
      <c r="D33" s="102">
        <v>20460</v>
      </c>
      <c r="E33" s="102">
        <v>18500</v>
      </c>
      <c r="F33" s="136">
        <v>5340</v>
      </c>
      <c r="L33" s="102" t="s">
        <v>2516</v>
      </c>
      <c r="M33" s="102" t="s">
        <v>2517</v>
      </c>
      <c r="N33" s="102" t="s">
        <v>2518</v>
      </c>
      <c r="O33" s="102" t="s">
        <v>2519</v>
      </c>
      <c r="P33" s="102" t="s">
        <v>2520</v>
      </c>
    </row>
    <row r="34" spans="1:16" ht="14.25" customHeight="1">
      <c r="A34" s="99" t="s">
        <v>251</v>
      </c>
      <c r="B34" s="104" t="s">
        <v>2297</v>
      </c>
      <c r="C34" s="102">
        <v>22070</v>
      </c>
      <c r="D34" s="102">
        <v>20110</v>
      </c>
      <c r="E34" s="102">
        <v>18830</v>
      </c>
      <c r="F34" s="136">
        <v>5190</v>
      </c>
      <c r="L34" s="102" t="s">
        <v>2521</v>
      </c>
      <c r="M34" s="102" t="s">
        <v>2522</v>
      </c>
      <c r="N34" s="102" t="s">
        <v>2523</v>
      </c>
      <c r="O34" s="102" t="s">
        <v>2524</v>
      </c>
      <c r="P34" s="102" t="s">
        <v>2525</v>
      </c>
    </row>
    <row r="35" spans="1:16" ht="14.25" customHeight="1">
      <c r="A35" s="99" t="s">
        <v>251</v>
      </c>
      <c r="B35" s="104" t="s">
        <v>2308</v>
      </c>
      <c r="C35" s="102">
        <v>22240</v>
      </c>
      <c r="D35" s="102">
        <v>19550</v>
      </c>
      <c r="E35" s="102">
        <v>19220</v>
      </c>
      <c r="F35" s="136">
        <v>5800</v>
      </c>
      <c r="L35" s="102" t="s">
        <v>2526</v>
      </c>
      <c r="M35" s="102" t="s">
        <v>2527</v>
      </c>
      <c r="N35" s="102" t="s">
        <v>2528</v>
      </c>
      <c r="O35" s="102" t="s">
        <v>2529</v>
      </c>
      <c r="P35" s="102" t="s">
        <v>2530</v>
      </c>
    </row>
    <row r="36" spans="1:16" ht="14.25" customHeight="1">
      <c r="A36" s="99" t="s">
        <v>251</v>
      </c>
      <c r="B36" s="104" t="s">
        <v>2319</v>
      </c>
      <c r="C36" s="102">
        <v>19750</v>
      </c>
      <c r="D36" s="102">
        <v>19790</v>
      </c>
      <c r="E36" s="102">
        <v>18510</v>
      </c>
      <c r="F36" s="136">
        <v>6520</v>
      </c>
      <c r="M36" s="102" t="s">
        <v>2531</v>
      </c>
      <c r="N36" s="102" t="s">
        <v>2532</v>
      </c>
      <c r="O36" s="102" t="s">
        <v>2533</v>
      </c>
      <c r="P36" s="102" t="s">
        <v>2534</v>
      </c>
    </row>
    <row r="37" spans="1:16" ht="14.25" customHeight="1">
      <c r="A37" s="99" t="s">
        <v>251</v>
      </c>
      <c r="B37" s="104" t="s">
        <v>2329</v>
      </c>
      <c r="C37" s="102">
        <v>22380</v>
      </c>
      <c r="D37" s="102">
        <v>18530</v>
      </c>
      <c r="E37" s="102">
        <v>17930</v>
      </c>
      <c r="F37" s="136">
        <v>6270</v>
      </c>
      <c r="M37" s="102" t="s">
        <v>2535</v>
      </c>
      <c r="N37" s="102" t="s">
        <v>2536</v>
      </c>
      <c r="O37" s="102" t="s">
        <v>2537</v>
      </c>
      <c r="P37" s="102" t="s">
        <v>2538</v>
      </c>
    </row>
    <row r="38" spans="1:16" ht="14.25" customHeight="1">
      <c r="A38" s="99" t="s">
        <v>251</v>
      </c>
      <c r="B38" s="104" t="s">
        <v>2339</v>
      </c>
      <c r="C38" s="102">
        <v>20200</v>
      </c>
      <c r="D38" s="102">
        <v>20070</v>
      </c>
      <c r="E38" s="102">
        <v>19950</v>
      </c>
      <c r="F38" s="136"/>
      <c r="M38" s="102" t="s">
        <v>2539</v>
      </c>
      <c r="N38" s="102" t="s">
        <v>2540</v>
      </c>
      <c r="O38" s="102" t="s">
        <v>2541</v>
      </c>
      <c r="P38" s="102" t="s">
        <v>2542</v>
      </c>
    </row>
    <row r="39" spans="1:16" ht="14.25" customHeight="1">
      <c r="A39" s="99" t="s">
        <v>251</v>
      </c>
      <c r="B39" s="104" t="s">
        <v>2349</v>
      </c>
      <c r="C39" s="102">
        <v>19300</v>
      </c>
      <c r="D39" s="102">
        <v>20360</v>
      </c>
      <c r="E39" s="102">
        <v>20230</v>
      </c>
      <c r="F39" s="136"/>
      <c r="M39" s="102" t="s">
        <v>2543</v>
      </c>
      <c r="N39" s="102" t="s">
        <v>2544</v>
      </c>
      <c r="O39" s="102" t="s">
        <v>2545</v>
      </c>
      <c r="P39" s="102" t="s">
        <v>2546</v>
      </c>
    </row>
    <row r="40" spans="1:16" ht="14.25" customHeight="1">
      <c r="A40" s="99" t="s">
        <v>251</v>
      </c>
      <c r="B40" s="104" t="s">
        <v>2359</v>
      </c>
      <c r="C40" s="102">
        <v>20210</v>
      </c>
      <c r="D40" s="102">
        <v>19060</v>
      </c>
      <c r="E40" s="102">
        <v>18890</v>
      </c>
      <c r="F40" s="136"/>
      <c r="M40" s="102" t="s">
        <v>2547</v>
      </c>
      <c r="N40" s="102" t="s">
        <v>2548</v>
      </c>
      <c r="O40" s="102" t="s">
        <v>2549</v>
      </c>
      <c r="P40" s="102" t="s">
        <v>2550</v>
      </c>
    </row>
    <row r="41" spans="1:16" ht="14.25" customHeight="1">
      <c r="A41" s="99" t="s">
        <v>251</v>
      </c>
      <c r="B41" s="104" t="s">
        <v>2369</v>
      </c>
      <c r="C41" s="102">
        <v>20560</v>
      </c>
      <c r="D41" s="102">
        <v>21040</v>
      </c>
      <c r="E41" s="102">
        <v>20740</v>
      </c>
      <c r="F41" s="136"/>
      <c r="M41" s="104" t="s">
        <v>2551</v>
      </c>
      <c r="N41" s="104" t="s">
        <v>2552</v>
      </c>
      <c r="P41" s="104" t="s">
        <v>2553</v>
      </c>
    </row>
    <row r="42" spans="1:16" ht="14.25" customHeight="1">
      <c r="A42" s="99" t="s">
        <v>251</v>
      </c>
      <c r="B42" s="104" t="s">
        <v>2379</v>
      </c>
      <c r="C42" s="102">
        <v>19280</v>
      </c>
      <c r="D42" s="102">
        <v>22940</v>
      </c>
      <c r="E42" s="102">
        <v>22500</v>
      </c>
      <c r="F42" s="136"/>
      <c r="M42" s="102" t="s">
        <v>2554</v>
      </c>
      <c r="N42" s="102" t="s">
        <v>2555</v>
      </c>
      <c r="P42" s="102" t="s">
        <v>2556</v>
      </c>
    </row>
    <row r="43" spans="1:16" ht="14.25" customHeight="1">
      <c r="A43" s="99" t="s">
        <v>251</v>
      </c>
      <c r="B43" s="104" t="s">
        <v>2389</v>
      </c>
      <c r="C43" s="102">
        <v>21520</v>
      </c>
      <c r="D43" s="102">
        <v>19230</v>
      </c>
      <c r="E43" s="102">
        <v>18540</v>
      </c>
      <c r="F43" s="136"/>
      <c r="M43" s="102" t="s">
        <v>2557</v>
      </c>
      <c r="N43" s="102" t="s">
        <v>2558</v>
      </c>
      <c r="P43" s="102" t="s">
        <v>2559</v>
      </c>
    </row>
    <row r="44" spans="1:16" ht="14.25" customHeight="1">
      <c r="A44" s="99" t="s">
        <v>251</v>
      </c>
      <c r="B44" s="104" t="s">
        <v>2399</v>
      </c>
      <c r="C44" s="102">
        <v>23260</v>
      </c>
      <c r="D44" s="102">
        <v>21180</v>
      </c>
      <c r="E44" s="102">
        <v>20730</v>
      </c>
      <c r="F44" s="136"/>
      <c r="M44" s="102" t="s">
        <v>2560</v>
      </c>
      <c r="N44" s="102" t="s">
        <v>2561</v>
      </c>
      <c r="P44" s="102" t="s">
        <v>2562</v>
      </c>
    </row>
    <row r="45" spans="1:16" ht="14.25" customHeight="1">
      <c r="A45" s="99" t="s">
        <v>251</v>
      </c>
      <c r="B45" s="104" t="s">
        <v>2409</v>
      </c>
      <c r="C45" s="102">
        <v>19610</v>
      </c>
      <c r="D45" s="102">
        <v>18090</v>
      </c>
      <c r="E45" s="102">
        <v>17970</v>
      </c>
      <c r="F45" s="136"/>
      <c r="M45" s="102" t="s">
        <v>2563</v>
      </c>
      <c r="N45" s="102" t="s">
        <v>2564</v>
      </c>
      <c r="P45" s="102" t="s">
        <v>2565</v>
      </c>
    </row>
    <row r="46" spans="1:16" ht="14.25" customHeight="1">
      <c r="A46" s="99" t="s">
        <v>251</v>
      </c>
      <c r="B46" s="104" t="s">
        <v>2419</v>
      </c>
      <c r="C46" s="102">
        <v>21660</v>
      </c>
      <c r="D46" s="102">
        <v>19190</v>
      </c>
      <c r="E46" s="102">
        <v>19790</v>
      </c>
      <c r="F46" s="136"/>
      <c r="M46" s="102" t="s">
        <v>2566</v>
      </c>
      <c r="N46" s="102" t="s">
        <v>2567</v>
      </c>
      <c r="P46" s="102" t="s">
        <v>2568</v>
      </c>
    </row>
    <row r="47" spans="1:16" ht="14.25" customHeight="1">
      <c r="A47" s="99" t="s">
        <v>251</v>
      </c>
      <c r="B47" s="104" t="s">
        <v>2429</v>
      </c>
      <c r="C47" s="102">
        <v>18220</v>
      </c>
      <c r="D47" s="102"/>
      <c r="E47" s="102">
        <v>17220</v>
      </c>
      <c r="F47" s="136"/>
      <c r="M47" s="102" t="s">
        <v>2569</v>
      </c>
      <c r="N47" s="102" t="s">
        <v>2570</v>
      </c>
    </row>
    <row r="48" spans="1:16" ht="14.25" customHeight="1">
      <c r="A48" s="99" t="s">
        <v>251</v>
      </c>
      <c r="B48" s="106" t="s">
        <v>2438</v>
      </c>
      <c r="C48" s="114">
        <v>19430</v>
      </c>
      <c r="D48" s="114"/>
      <c r="E48" s="114">
        <v>17830</v>
      </c>
      <c r="F48" s="138"/>
      <c r="M48" s="102" t="s">
        <v>2571</v>
      </c>
      <c r="N48" s="102" t="s">
        <v>2572</v>
      </c>
    </row>
    <row r="49" spans="1:14" ht="14.25" customHeight="1">
      <c r="A49" s="99" t="s">
        <v>259</v>
      </c>
      <c r="B49" s="100" t="s">
        <v>2236</v>
      </c>
      <c r="C49" s="100">
        <v>17090</v>
      </c>
      <c r="D49" s="100">
        <v>16950</v>
      </c>
      <c r="E49" s="100">
        <v>16310</v>
      </c>
      <c r="F49" s="133">
        <v>4540</v>
      </c>
      <c r="M49" s="102" t="s">
        <v>2573</v>
      </c>
      <c r="N49" s="102" t="s">
        <v>2574</v>
      </c>
    </row>
    <row r="50" spans="1:14" ht="14.25" customHeight="1">
      <c r="A50" s="99" t="s">
        <v>259</v>
      </c>
      <c r="B50" s="102" t="s">
        <v>2249</v>
      </c>
      <c r="C50" s="102">
        <v>19040</v>
      </c>
      <c r="D50" s="102">
        <v>16960</v>
      </c>
      <c r="E50" s="102">
        <v>14800</v>
      </c>
      <c r="F50" s="136">
        <v>3940</v>
      </c>
    </row>
    <row r="51" spans="1:14" ht="14.25" customHeight="1">
      <c r="A51" s="99" t="s">
        <v>259</v>
      </c>
      <c r="B51" s="102" t="s">
        <v>2263</v>
      </c>
      <c r="C51" s="102">
        <v>17040</v>
      </c>
      <c r="D51" s="102">
        <v>16930</v>
      </c>
      <c r="E51" s="102">
        <v>15030</v>
      </c>
      <c r="F51" s="136">
        <v>4120</v>
      </c>
    </row>
    <row r="52" spans="1:14" ht="14.25" customHeight="1">
      <c r="A52" s="99" t="s">
        <v>259</v>
      </c>
      <c r="B52" s="102" t="s">
        <v>2275</v>
      </c>
      <c r="C52" s="102">
        <v>17110</v>
      </c>
      <c r="D52" s="102">
        <v>17750</v>
      </c>
      <c r="E52" s="102">
        <v>17310</v>
      </c>
      <c r="F52" s="136">
        <v>3220</v>
      </c>
    </row>
    <row r="53" spans="1:14" ht="14.25" customHeight="1">
      <c r="A53" s="99" t="s">
        <v>259</v>
      </c>
      <c r="B53" s="102" t="s">
        <v>2287</v>
      </c>
      <c r="C53" s="102">
        <v>17810</v>
      </c>
      <c r="D53" s="102">
        <v>17260</v>
      </c>
      <c r="E53" s="102">
        <v>17090</v>
      </c>
      <c r="F53" s="136">
        <v>3520</v>
      </c>
    </row>
    <row r="54" spans="1:14" ht="14.25" customHeight="1">
      <c r="A54" s="99" t="s">
        <v>259</v>
      </c>
      <c r="B54" s="102" t="s">
        <v>2298</v>
      </c>
      <c r="C54" s="102">
        <v>17410</v>
      </c>
      <c r="D54" s="102">
        <v>16780</v>
      </c>
      <c r="E54" s="102">
        <v>16370</v>
      </c>
      <c r="F54" s="136">
        <v>3410</v>
      </c>
    </row>
    <row r="55" spans="1:14" ht="14.25" customHeight="1">
      <c r="A55" s="99" t="s">
        <v>259</v>
      </c>
      <c r="B55" s="102" t="s">
        <v>2309</v>
      </c>
      <c r="C55" s="102">
        <v>16930</v>
      </c>
      <c r="D55" s="102">
        <v>14720</v>
      </c>
      <c r="E55" s="102">
        <v>15000</v>
      </c>
      <c r="F55" s="136">
        <v>3710</v>
      </c>
    </row>
    <row r="56" spans="1:14" ht="14.25" customHeight="1">
      <c r="A56" s="99" t="s">
        <v>259</v>
      </c>
      <c r="B56" s="102" t="s">
        <v>2320</v>
      </c>
      <c r="C56" s="102">
        <v>14930</v>
      </c>
      <c r="D56" s="102">
        <v>15850</v>
      </c>
      <c r="E56" s="102">
        <v>14320</v>
      </c>
      <c r="F56" s="136">
        <v>3960</v>
      </c>
    </row>
    <row r="57" spans="1:14" ht="14.25" customHeight="1">
      <c r="A57" s="99" t="s">
        <v>259</v>
      </c>
      <c r="B57" s="102" t="s">
        <v>2330</v>
      </c>
      <c r="C57" s="102">
        <v>16160</v>
      </c>
      <c r="D57" s="102">
        <v>16190</v>
      </c>
      <c r="E57" s="102">
        <v>15650</v>
      </c>
      <c r="F57" s="136">
        <v>4200</v>
      </c>
    </row>
    <row r="58" spans="1:14" ht="14.25" customHeight="1">
      <c r="A58" s="99" t="s">
        <v>259</v>
      </c>
      <c r="B58" s="102" t="s">
        <v>2340</v>
      </c>
      <c r="C58" s="102">
        <v>16360</v>
      </c>
      <c r="D58" s="102">
        <v>14050</v>
      </c>
      <c r="E58" s="102">
        <v>16070</v>
      </c>
      <c r="F58" s="136">
        <v>3990</v>
      </c>
    </row>
    <row r="59" spans="1:14" ht="14.25" customHeight="1">
      <c r="A59" s="99" t="s">
        <v>259</v>
      </c>
      <c r="B59" s="102" t="s">
        <v>2350</v>
      </c>
      <c r="C59" s="102">
        <v>14160</v>
      </c>
      <c r="D59" s="102">
        <v>16620</v>
      </c>
      <c r="E59" s="102">
        <v>13940</v>
      </c>
      <c r="F59" s="136">
        <v>4260</v>
      </c>
    </row>
    <row r="60" spans="1:14" ht="14.25" customHeight="1">
      <c r="A60" s="99" t="s">
        <v>259</v>
      </c>
      <c r="B60" s="102" t="s">
        <v>2360</v>
      </c>
      <c r="C60" s="102">
        <v>16750</v>
      </c>
      <c r="D60" s="102">
        <v>13910</v>
      </c>
      <c r="E60" s="102">
        <v>16550</v>
      </c>
      <c r="F60" s="136">
        <v>4550</v>
      </c>
    </row>
    <row r="61" spans="1:14" ht="14.25" customHeight="1">
      <c r="A61" s="99" t="s">
        <v>259</v>
      </c>
      <c r="B61" s="102" t="s">
        <v>2370</v>
      </c>
      <c r="C61" s="102">
        <v>14000</v>
      </c>
      <c r="D61" s="102">
        <v>14550</v>
      </c>
      <c r="E61" s="102">
        <v>13860</v>
      </c>
      <c r="F61" s="139"/>
    </row>
    <row r="62" spans="1:14" ht="14.25" customHeight="1">
      <c r="A62" s="99" t="s">
        <v>259</v>
      </c>
      <c r="B62" s="102" t="s">
        <v>2380</v>
      </c>
      <c r="C62" s="102">
        <v>14660</v>
      </c>
      <c r="D62" s="102">
        <v>17450</v>
      </c>
      <c r="E62" s="102">
        <v>14470</v>
      </c>
      <c r="F62" s="139"/>
    </row>
    <row r="63" spans="1:14" ht="14.25" customHeight="1">
      <c r="A63" s="99" t="s">
        <v>259</v>
      </c>
      <c r="B63" s="102" t="s">
        <v>2390</v>
      </c>
      <c r="C63" s="102">
        <v>17610</v>
      </c>
      <c r="D63" s="102">
        <v>16500</v>
      </c>
      <c r="E63" s="102">
        <v>17330</v>
      </c>
      <c r="F63" s="139"/>
    </row>
    <row r="64" spans="1:14" ht="14.25" customHeight="1">
      <c r="A64" s="99" t="s">
        <v>259</v>
      </c>
      <c r="B64" s="102" t="s">
        <v>2400</v>
      </c>
      <c r="C64" s="102">
        <v>16590</v>
      </c>
      <c r="D64" s="102">
        <v>15130</v>
      </c>
      <c r="E64" s="102">
        <v>16420</v>
      </c>
      <c r="F64" s="139"/>
    </row>
    <row r="65" spans="1:6" s="125" customFormat="1" ht="14.25" customHeight="1">
      <c r="A65" s="99" t="s">
        <v>259</v>
      </c>
      <c r="B65" s="102" t="s">
        <v>2410</v>
      </c>
      <c r="C65" s="102">
        <v>15220</v>
      </c>
      <c r="D65" s="102">
        <v>14660</v>
      </c>
      <c r="E65" s="102">
        <v>15060</v>
      </c>
      <c r="F65" s="136"/>
    </row>
    <row r="66" spans="1:6" s="125" customFormat="1" ht="14.25" customHeight="1">
      <c r="A66" s="99" t="s">
        <v>259</v>
      </c>
      <c r="B66" s="102" t="s">
        <v>2420</v>
      </c>
      <c r="C66" s="102">
        <v>14720</v>
      </c>
      <c r="D66" s="102">
        <v>15970</v>
      </c>
      <c r="E66" s="102">
        <v>14610</v>
      </c>
      <c r="F66" s="136"/>
    </row>
    <row r="67" spans="1:6" s="125" customFormat="1" ht="14.25" customHeight="1">
      <c r="A67" s="99" t="s">
        <v>259</v>
      </c>
      <c r="B67" s="102" t="s">
        <v>2430</v>
      </c>
      <c r="C67" s="102">
        <v>16080</v>
      </c>
      <c r="D67" s="102">
        <v>14840</v>
      </c>
      <c r="E67" s="102">
        <v>15630</v>
      </c>
      <c r="F67" s="136"/>
    </row>
    <row r="68" spans="1:6" s="125" customFormat="1" ht="14.25" customHeight="1">
      <c r="A68" s="99" t="s">
        <v>259</v>
      </c>
      <c r="B68" s="102" t="s">
        <v>2439</v>
      </c>
      <c r="C68" s="102">
        <v>14940</v>
      </c>
      <c r="D68" s="102">
        <v>18000</v>
      </c>
      <c r="E68" s="102">
        <v>14040</v>
      </c>
      <c r="F68" s="136"/>
    </row>
    <row r="69" spans="1:6" s="125" customFormat="1" ht="14.25" customHeight="1">
      <c r="A69" s="99" t="s">
        <v>259</v>
      </c>
      <c r="B69" s="102" t="s">
        <v>2447</v>
      </c>
      <c r="C69" s="102">
        <v>18810</v>
      </c>
      <c r="D69" s="102">
        <v>15100</v>
      </c>
      <c r="E69" s="102">
        <v>14710</v>
      </c>
      <c r="F69" s="136"/>
    </row>
    <row r="70" spans="1:6" s="125" customFormat="1" ht="14.25" customHeight="1">
      <c r="A70" s="99" t="s">
        <v>259</v>
      </c>
      <c r="B70" s="102" t="s">
        <v>2455</v>
      </c>
      <c r="C70" s="102">
        <v>18270</v>
      </c>
      <c r="D70" s="102"/>
      <c r="E70" s="102"/>
      <c r="F70" s="136"/>
    </row>
    <row r="71" spans="1:6" s="125" customFormat="1" ht="14.25" customHeight="1">
      <c r="A71" s="99" t="s">
        <v>259</v>
      </c>
      <c r="B71" s="102" t="s">
        <v>2462</v>
      </c>
      <c r="C71" s="102">
        <v>15230</v>
      </c>
      <c r="D71" s="102"/>
      <c r="E71" s="102"/>
      <c r="F71" s="136"/>
    </row>
    <row r="72" spans="1:6" s="125" customFormat="1" ht="14.25" customHeight="1">
      <c r="A72" s="99" t="s">
        <v>259</v>
      </c>
      <c r="B72" s="102" t="s">
        <v>2469</v>
      </c>
      <c r="C72" s="102"/>
      <c r="D72" s="102"/>
      <c r="E72" s="102"/>
      <c r="F72" s="136">
        <v>4120</v>
      </c>
    </row>
    <row r="73" spans="1:6" s="125" customFormat="1" ht="14.25" customHeight="1">
      <c r="A73" s="99" t="s">
        <v>259</v>
      </c>
      <c r="B73" s="102" t="s">
        <v>2476</v>
      </c>
      <c r="C73" s="102"/>
      <c r="D73" s="102"/>
      <c r="E73" s="102"/>
      <c r="F73" s="136">
        <v>3930</v>
      </c>
    </row>
    <row r="74" spans="1:6" s="125" customFormat="1" ht="14.25" customHeight="1">
      <c r="A74" s="99" t="s">
        <v>259</v>
      </c>
      <c r="B74" s="102" t="s">
        <v>2483</v>
      </c>
      <c r="C74" s="102"/>
      <c r="D74" s="102"/>
      <c r="E74" s="102"/>
      <c r="F74" s="136">
        <v>4060</v>
      </c>
    </row>
    <row r="75" spans="1:6" s="125" customFormat="1" ht="14.25" customHeight="1">
      <c r="A75" s="99" t="s">
        <v>259</v>
      </c>
      <c r="B75" s="114" t="s">
        <v>2490</v>
      </c>
      <c r="C75" s="114"/>
      <c r="D75" s="114"/>
      <c r="E75" s="114"/>
      <c r="F75" s="138">
        <v>3750</v>
      </c>
    </row>
    <row r="76" spans="1:6" s="125" customFormat="1" ht="14.25" customHeight="1">
      <c r="A76" s="99" t="s">
        <v>267</v>
      </c>
      <c r="B76" s="100" t="s">
        <v>2237</v>
      </c>
      <c r="C76" s="100">
        <v>14690</v>
      </c>
      <c r="D76" s="100">
        <v>14640</v>
      </c>
      <c r="E76" s="100">
        <v>14590</v>
      </c>
      <c r="F76" s="133">
        <v>3060</v>
      </c>
    </row>
    <row r="77" spans="1:6" s="125" customFormat="1" ht="14.25" customHeight="1">
      <c r="A77" s="99" t="s">
        <v>267</v>
      </c>
      <c r="B77" s="102" t="s">
        <v>2250</v>
      </c>
      <c r="C77" s="102">
        <v>12550</v>
      </c>
      <c r="D77" s="102">
        <v>12480</v>
      </c>
      <c r="E77" s="102">
        <v>12450</v>
      </c>
      <c r="F77" s="136">
        <v>2590</v>
      </c>
    </row>
    <row r="78" spans="1:6" s="125" customFormat="1" ht="14.25" customHeight="1">
      <c r="A78" s="99" t="s">
        <v>267</v>
      </c>
      <c r="B78" s="102" t="s">
        <v>2264</v>
      </c>
      <c r="C78" s="102">
        <v>14360</v>
      </c>
      <c r="D78" s="102">
        <v>14320</v>
      </c>
      <c r="E78" s="102">
        <v>12510</v>
      </c>
      <c r="F78" s="136">
        <v>2700</v>
      </c>
    </row>
    <row r="79" spans="1:6" s="125" customFormat="1" ht="14.25" customHeight="1">
      <c r="A79" s="99" t="s">
        <v>267</v>
      </c>
      <c r="B79" s="102" t="s">
        <v>2276</v>
      </c>
      <c r="C79" s="102">
        <v>12590</v>
      </c>
      <c r="D79" s="102">
        <v>12540</v>
      </c>
      <c r="E79" s="102">
        <v>12350</v>
      </c>
      <c r="F79" s="136">
        <v>2740</v>
      </c>
    </row>
    <row r="80" spans="1:6" s="125" customFormat="1" ht="14.25" customHeight="1">
      <c r="A80" s="99" t="s">
        <v>267</v>
      </c>
      <c r="B80" s="102" t="s">
        <v>2288</v>
      </c>
      <c r="C80" s="102">
        <v>12450</v>
      </c>
      <c r="D80" s="102">
        <v>12370</v>
      </c>
      <c r="E80" s="102">
        <v>10790</v>
      </c>
      <c r="F80" s="136">
        <v>2290</v>
      </c>
    </row>
    <row r="81" spans="1:6" s="125" customFormat="1" ht="14.25" customHeight="1">
      <c r="A81" s="99" t="s">
        <v>267</v>
      </c>
      <c r="B81" s="102" t="s">
        <v>2299</v>
      </c>
      <c r="C81" s="102">
        <v>14210</v>
      </c>
      <c r="D81" s="102">
        <v>14150</v>
      </c>
      <c r="E81" s="102">
        <v>12730</v>
      </c>
      <c r="F81" s="136">
        <v>2240</v>
      </c>
    </row>
    <row r="82" spans="1:6" s="125" customFormat="1" ht="14.25" customHeight="1">
      <c r="A82" s="99" t="s">
        <v>267</v>
      </c>
      <c r="B82" s="102" t="s">
        <v>2310</v>
      </c>
      <c r="C82" s="102">
        <v>10860</v>
      </c>
      <c r="D82" s="102">
        <v>10820</v>
      </c>
      <c r="E82" s="102">
        <v>14720</v>
      </c>
      <c r="F82" s="136">
        <v>2490</v>
      </c>
    </row>
    <row r="83" spans="1:6" s="125" customFormat="1" ht="14.25" customHeight="1">
      <c r="A83" s="99" t="s">
        <v>267</v>
      </c>
      <c r="B83" s="102" t="s">
        <v>2321</v>
      </c>
      <c r="C83" s="102">
        <v>12810</v>
      </c>
      <c r="D83" s="102">
        <v>12760</v>
      </c>
      <c r="E83" s="102">
        <v>14830</v>
      </c>
      <c r="F83" s="136">
        <v>2450</v>
      </c>
    </row>
    <row r="84" spans="1:6" s="125" customFormat="1" ht="14.25" customHeight="1">
      <c r="A84" s="99" t="s">
        <v>267</v>
      </c>
      <c r="B84" s="102" t="s">
        <v>2331</v>
      </c>
      <c r="C84" s="102">
        <v>14950</v>
      </c>
      <c r="D84" s="102">
        <v>14810</v>
      </c>
      <c r="E84" s="102">
        <v>12590</v>
      </c>
      <c r="F84" s="136">
        <v>2540</v>
      </c>
    </row>
    <row r="85" spans="1:6" s="125" customFormat="1" ht="14.25" customHeight="1">
      <c r="A85" s="99" t="s">
        <v>267</v>
      </c>
      <c r="B85" s="102" t="s">
        <v>2341</v>
      </c>
      <c r="C85" s="102">
        <v>14960</v>
      </c>
      <c r="D85" s="102">
        <v>14890</v>
      </c>
      <c r="E85" s="102">
        <v>12840</v>
      </c>
      <c r="F85" s="136">
        <v>2840</v>
      </c>
    </row>
    <row r="86" spans="1:6" s="125" customFormat="1" ht="14.25" customHeight="1">
      <c r="A86" s="99" t="s">
        <v>267</v>
      </c>
      <c r="B86" s="102" t="s">
        <v>2351</v>
      </c>
      <c r="C86" s="102">
        <v>12730</v>
      </c>
      <c r="D86" s="102">
        <v>12660</v>
      </c>
      <c r="E86" s="102">
        <v>13310</v>
      </c>
      <c r="F86" s="136">
        <v>3140</v>
      </c>
    </row>
    <row r="87" spans="1:6" s="125" customFormat="1" ht="14.25" customHeight="1">
      <c r="A87" s="99" t="s">
        <v>267</v>
      </c>
      <c r="B87" s="102" t="s">
        <v>2361</v>
      </c>
      <c r="C87" s="102">
        <v>12940</v>
      </c>
      <c r="D87" s="102">
        <v>12890</v>
      </c>
      <c r="E87" s="102">
        <v>11580</v>
      </c>
      <c r="F87" s="139"/>
    </row>
    <row r="88" spans="1:6" s="125" customFormat="1" ht="14.25" customHeight="1">
      <c r="A88" s="99" t="s">
        <v>267</v>
      </c>
      <c r="B88" s="102" t="s">
        <v>2371</v>
      </c>
      <c r="C88" s="102">
        <v>13430</v>
      </c>
      <c r="D88" s="102">
        <v>13360</v>
      </c>
      <c r="E88" s="102">
        <v>12790</v>
      </c>
      <c r="F88" s="139"/>
    </row>
    <row r="89" spans="1:6" s="125" customFormat="1" ht="14.25" customHeight="1">
      <c r="A89" s="99" t="s">
        <v>267</v>
      </c>
      <c r="B89" s="102" t="s">
        <v>2381</v>
      </c>
      <c r="C89" s="102">
        <v>11680</v>
      </c>
      <c r="D89" s="102">
        <v>11630</v>
      </c>
      <c r="E89" s="102">
        <v>11320</v>
      </c>
      <c r="F89" s="139"/>
    </row>
    <row r="90" spans="1:6" s="125" customFormat="1" ht="14.25" customHeight="1">
      <c r="A90" s="99" t="s">
        <v>267</v>
      </c>
      <c r="B90" s="102" t="s">
        <v>2391</v>
      </c>
      <c r="C90" s="102">
        <v>12890</v>
      </c>
      <c r="D90" s="102">
        <v>12820</v>
      </c>
      <c r="E90" s="102">
        <v>12710</v>
      </c>
      <c r="F90" s="139"/>
    </row>
    <row r="91" spans="1:6" s="125" customFormat="1" ht="14.25" customHeight="1">
      <c r="A91" s="99" t="s">
        <v>267</v>
      </c>
      <c r="B91" s="102" t="s">
        <v>2401</v>
      </c>
      <c r="C91" s="102">
        <v>11410</v>
      </c>
      <c r="D91" s="102">
        <v>11360</v>
      </c>
      <c r="E91" s="102">
        <v>12670</v>
      </c>
      <c r="F91" s="139"/>
    </row>
    <row r="92" spans="1:6" s="125" customFormat="1" ht="14.25" customHeight="1">
      <c r="A92" s="99" t="s">
        <v>267</v>
      </c>
      <c r="B92" s="102" t="s">
        <v>2411</v>
      </c>
      <c r="C92" s="102">
        <v>12770</v>
      </c>
      <c r="D92" s="102">
        <v>12740</v>
      </c>
      <c r="E92" s="102">
        <v>11970</v>
      </c>
      <c r="F92" s="139"/>
    </row>
    <row r="93" spans="1:6" s="125" customFormat="1" ht="14.25" customHeight="1">
      <c r="A93" s="99" t="s">
        <v>267</v>
      </c>
      <c r="B93" s="102" t="s">
        <v>2421</v>
      </c>
      <c r="C93" s="102">
        <v>12740</v>
      </c>
      <c r="D93" s="102">
        <v>12700</v>
      </c>
      <c r="E93" s="102">
        <v>12540</v>
      </c>
      <c r="F93" s="139"/>
    </row>
    <row r="94" spans="1:6" s="125" customFormat="1" ht="14.25" customHeight="1">
      <c r="A94" s="99" t="s">
        <v>267</v>
      </c>
      <c r="B94" s="102" t="s">
        <v>2431</v>
      </c>
      <c r="C94" s="102">
        <v>12020</v>
      </c>
      <c r="D94" s="102">
        <v>11990</v>
      </c>
      <c r="E94" s="102">
        <v>13110</v>
      </c>
      <c r="F94" s="139"/>
    </row>
    <row r="95" spans="1:6" s="125" customFormat="1" ht="14.25" customHeight="1">
      <c r="A95" s="99" t="s">
        <v>267</v>
      </c>
      <c r="B95" s="102" t="s">
        <v>2440</v>
      </c>
      <c r="C95" s="102">
        <v>12620</v>
      </c>
      <c r="D95" s="102">
        <v>12580</v>
      </c>
      <c r="E95" s="102">
        <v>13160</v>
      </c>
      <c r="F95" s="136"/>
    </row>
    <row r="96" spans="1:6" s="125" customFormat="1" ht="14.25" customHeight="1">
      <c r="A96" s="99" t="s">
        <v>267</v>
      </c>
      <c r="B96" s="102" t="s">
        <v>2448</v>
      </c>
      <c r="C96" s="102">
        <v>13200</v>
      </c>
      <c r="D96" s="102">
        <v>13150</v>
      </c>
      <c r="E96" s="102">
        <v>12900</v>
      </c>
      <c r="F96" s="136"/>
    </row>
    <row r="97" spans="1:6" s="125" customFormat="1" ht="14.25" customHeight="1">
      <c r="A97" s="99" t="s">
        <v>267</v>
      </c>
      <c r="B97" s="102" t="s">
        <v>2456</v>
      </c>
      <c r="C97" s="102">
        <v>13270</v>
      </c>
      <c r="D97" s="102">
        <v>13210</v>
      </c>
      <c r="E97" s="102">
        <v>11080</v>
      </c>
      <c r="F97" s="136"/>
    </row>
    <row r="98" spans="1:6" s="125" customFormat="1" ht="14.25" customHeight="1">
      <c r="A98" s="99" t="s">
        <v>267</v>
      </c>
      <c r="B98" s="102" t="s">
        <v>2463</v>
      </c>
      <c r="C98" s="102">
        <v>13010</v>
      </c>
      <c r="D98" s="102">
        <v>12930</v>
      </c>
      <c r="E98" s="102">
        <v>12840</v>
      </c>
      <c r="F98" s="136"/>
    </row>
    <row r="99" spans="1:6" s="125" customFormat="1" ht="14.25" customHeight="1">
      <c r="A99" s="99" t="s">
        <v>267</v>
      </c>
      <c r="B99" s="102" t="s">
        <v>2470</v>
      </c>
      <c r="C99" s="102">
        <v>11190</v>
      </c>
      <c r="D99" s="102">
        <v>11130</v>
      </c>
      <c r="E99" s="102"/>
      <c r="F99" s="136"/>
    </row>
    <row r="100" spans="1:6" s="125" customFormat="1" ht="14.25" customHeight="1">
      <c r="A100" s="99" t="s">
        <v>267</v>
      </c>
      <c r="B100" s="102" t="s">
        <v>2477</v>
      </c>
      <c r="C100" s="102">
        <v>14280</v>
      </c>
      <c r="D100" s="102">
        <v>14180</v>
      </c>
      <c r="E100" s="102"/>
      <c r="F100" s="136"/>
    </row>
    <row r="101" spans="1:6" s="125" customFormat="1" ht="14.25" customHeight="1">
      <c r="A101" s="99" t="s">
        <v>267</v>
      </c>
      <c r="B101" s="102" t="s">
        <v>2484</v>
      </c>
      <c r="C101" s="102">
        <v>12960</v>
      </c>
      <c r="D101" s="102">
        <v>12890</v>
      </c>
      <c r="E101" s="102"/>
      <c r="F101" s="136"/>
    </row>
    <row r="102" spans="1:6" s="125" customFormat="1" ht="14.25" customHeight="1">
      <c r="A102" s="99" t="s">
        <v>267</v>
      </c>
      <c r="B102" s="102" t="s">
        <v>2491</v>
      </c>
      <c r="C102" s="102"/>
      <c r="D102" s="102"/>
      <c r="E102" s="102"/>
      <c r="F102" s="136">
        <v>3100</v>
      </c>
    </row>
    <row r="103" spans="1:6" s="125" customFormat="1" ht="14.25" customHeight="1">
      <c r="A103" s="99" t="s">
        <v>267</v>
      </c>
      <c r="B103" s="102" t="s">
        <v>2496</v>
      </c>
      <c r="C103" s="102"/>
      <c r="D103" s="102"/>
      <c r="E103" s="102"/>
      <c r="F103" s="136">
        <v>2320</v>
      </c>
    </row>
    <row r="104" spans="1:6" s="125" customFormat="1" ht="14.25" customHeight="1">
      <c r="A104" s="99" t="s">
        <v>267</v>
      </c>
      <c r="B104" s="102" t="s">
        <v>2501</v>
      </c>
      <c r="C104" s="102"/>
      <c r="D104" s="102"/>
      <c r="E104" s="102"/>
      <c r="F104" s="136">
        <v>2320</v>
      </c>
    </row>
    <row r="105" spans="1:6" s="125" customFormat="1" ht="14.25" customHeight="1">
      <c r="A105" s="99" t="s">
        <v>267</v>
      </c>
      <c r="B105" s="102" t="s">
        <v>2506</v>
      </c>
      <c r="C105" s="102"/>
      <c r="D105" s="102"/>
      <c r="E105" s="102"/>
      <c r="F105" s="136">
        <v>2320</v>
      </c>
    </row>
    <row r="106" spans="1:6" s="125" customFormat="1" ht="14.25" customHeight="1">
      <c r="A106" s="99" t="s">
        <v>267</v>
      </c>
      <c r="B106" s="102" t="s">
        <v>2511</v>
      </c>
      <c r="C106" s="102"/>
      <c r="D106" s="102"/>
      <c r="E106" s="102"/>
      <c r="F106" s="136">
        <v>2320</v>
      </c>
    </row>
    <row r="107" spans="1:6" s="125" customFormat="1" ht="14.25" customHeight="1">
      <c r="A107" s="99" t="s">
        <v>267</v>
      </c>
      <c r="B107" s="102" t="s">
        <v>2516</v>
      </c>
      <c r="C107" s="102"/>
      <c r="D107" s="102"/>
      <c r="E107" s="102"/>
      <c r="F107" s="136">
        <v>2280</v>
      </c>
    </row>
    <row r="108" spans="1:6" s="125" customFormat="1" ht="14.25" customHeight="1">
      <c r="A108" s="99" t="s">
        <v>267</v>
      </c>
      <c r="B108" s="102" t="s">
        <v>2521</v>
      </c>
      <c r="C108" s="102"/>
      <c r="D108" s="102"/>
      <c r="E108" s="102"/>
      <c r="F108" s="136">
        <v>2280</v>
      </c>
    </row>
    <row r="109" spans="1:6" s="125" customFormat="1" ht="14.25" customHeight="1">
      <c r="A109" s="99" t="s">
        <v>267</v>
      </c>
      <c r="B109" s="114" t="s">
        <v>2526</v>
      </c>
      <c r="C109" s="114"/>
      <c r="D109" s="114"/>
      <c r="E109" s="114"/>
      <c r="F109" s="138">
        <v>2280</v>
      </c>
    </row>
    <row r="110" spans="1:6" s="125" customFormat="1" ht="14.25" customHeight="1">
      <c r="A110" s="99" t="s">
        <v>273</v>
      </c>
      <c r="B110" s="100" t="s">
        <v>2238</v>
      </c>
      <c r="C110" s="100">
        <v>10520</v>
      </c>
      <c r="D110" s="100">
        <v>10490</v>
      </c>
      <c r="E110" s="100">
        <v>10760</v>
      </c>
      <c r="F110" s="133">
        <v>2160</v>
      </c>
    </row>
    <row r="111" spans="1:6" s="125" customFormat="1" ht="14.25" customHeight="1">
      <c r="A111" s="99" t="s">
        <v>273</v>
      </c>
      <c r="B111" s="102" t="s">
        <v>2251</v>
      </c>
      <c r="C111" s="102">
        <v>10090</v>
      </c>
      <c r="D111" s="102">
        <v>10060</v>
      </c>
      <c r="E111" s="102">
        <v>10300</v>
      </c>
      <c r="F111" s="136">
        <v>2010</v>
      </c>
    </row>
    <row r="112" spans="1:6" s="125" customFormat="1" ht="14.25" customHeight="1">
      <c r="A112" s="99" t="s">
        <v>273</v>
      </c>
      <c r="B112" s="102" t="s">
        <v>2265</v>
      </c>
      <c r="C112" s="102">
        <v>9910</v>
      </c>
      <c r="D112" s="102">
        <v>9850</v>
      </c>
      <c r="E112" s="102">
        <v>9960</v>
      </c>
      <c r="F112" s="136">
        <v>2090</v>
      </c>
    </row>
    <row r="113" spans="1:6" s="125" customFormat="1" ht="14.25" customHeight="1">
      <c r="A113" s="99" t="s">
        <v>273</v>
      </c>
      <c r="B113" s="102" t="s">
        <v>2277</v>
      </c>
      <c r="C113" s="102">
        <v>11430</v>
      </c>
      <c r="D113" s="102">
        <v>11400</v>
      </c>
      <c r="E113" s="102">
        <v>11710</v>
      </c>
      <c r="F113" s="136">
        <v>2050</v>
      </c>
    </row>
    <row r="114" spans="1:6" s="125" customFormat="1" ht="14.25" customHeight="1">
      <c r="A114" s="99" t="s">
        <v>273</v>
      </c>
      <c r="B114" s="102" t="s">
        <v>2289</v>
      </c>
      <c r="C114" s="102">
        <v>11390</v>
      </c>
      <c r="D114" s="102">
        <v>11350</v>
      </c>
      <c r="E114" s="102">
        <v>11640</v>
      </c>
      <c r="F114" s="136">
        <v>1620</v>
      </c>
    </row>
    <row r="115" spans="1:6" s="125" customFormat="1" ht="14.25" customHeight="1">
      <c r="A115" s="99" t="s">
        <v>273</v>
      </c>
      <c r="B115" s="102" t="s">
        <v>2300</v>
      </c>
      <c r="C115" s="102">
        <v>9930</v>
      </c>
      <c r="D115" s="102">
        <v>9900</v>
      </c>
      <c r="E115" s="102">
        <v>10160</v>
      </c>
      <c r="F115" s="136">
        <v>1580</v>
      </c>
    </row>
    <row r="116" spans="1:6" s="125" customFormat="1" ht="14.25" customHeight="1">
      <c r="A116" s="99" t="s">
        <v>273</v>
      </c>
      <c r="B116" s="102" t="s">
        <v>2311</v>
      </c>
      <c r="C116" s="102">
        <v>9150</v>
      </c>
      <c r="D116" s="102">
        <v>9120</v>
      </c>
      <c r="E116" s="102">
        <v>9380</v>
      </c>
      <c r="F116" s="136">
        <v>1750</v>
      </c>
    </row>
    <row r="117" spans="1:6" s="125" customFormat="1" ht="14.25" customHeight="1">
      <c r="A117" s="99" t="s">
        <v>273</v>
      </c>
      <c r="B117" s="102" t="s">
        <v>2322</v>
      </c>
      <c r="C117" s="102">
        <v>10680</v>
      </c>
      <c r="D117" s="102">
        <v>10650</v>
      </c>
      <c r="E117" s="102">
        <v>10970</v>
      </c>
      <c r="F117" s="136">
        <v>1730</v>
      </c>
    </row>
    <row r="118" spans="1:6" s="125" customFormat="1" ht="14.25" customHeight="1">
      <c r="A118" s="99" t="s">
        <v>273</v>
      </c>
      <c r="B118" s="102" t="s">
        <v>2332</v>
      </c>
      <c r="C118" s="102">
        <v>10080</v>
      </c>
      <c r="D118" s="102">
        <v>10050</v>
      </c>
      <c r="E118" s="102">
        <v>10350</v>
      </c>
      <c r="F118" s="136">
        <v>1920</v>
      </c>
    </row>
    <row r="119" spans="1:6" s="125" customFormat="1" ht="14.25" customHeight="1">
      <c r="A119" s="99" t="s">
        <v>273</v>
      </c>
      <c r="B119" s="102" t="s">
        <v>2342</v>
      </c>
      <c r="C119" s="102">
        <v>9450</v>
      </c>
      <c r="D119" s="102">
        <v>9410</v>
      </c>
      <c r="E119" s="102">
        <v>9680</v>
      </c>
      <c r="F119" s="136">
        <v>1880</v>
      </c>
    </row>
    <row r="120" spans="1:6" s="125" customFormat="1" ht="14.25" customHeight="1">
      <c r="A120" s="99" t="s">
        <v>273</v>
      </c>
      <c r="B120" s="102" t="s">
        <v>2352</v>
      </c>
      <c r="C120" s="102">
        <v>8730</v>
      </c>
      <c r="D120" s="102">
        <v>8700</v>
      </c>
      <c r="E120" s="102">
        <v>8950</v>
      </c>
      <c r="F120" s="136">
        <v>1830</v>
      </c>
    </row>
    <row r="121" spans="1:6" s="125" customFormat="1" ht="14.25" customHeight="1">
      <c r="A121" s="99" t="s">
        <v>273</v>
      </c>
      <c r="B121" s="102" t="s">
        <v>2362</v>
      </c>
      <c r="C121" s="102">
        <v>10070</v>
      </c>
      <c r="D121" s="102">
        <v>10040</v>
      </c>
      <c r="E121" s="102">
        <v>10270</v>
      </c>
      <c r="F121" s="136">
        <v>1960</v>
      </c>
    </row>
    <row r="122" spans="1:6" s="125" customFormat="1" ht="14.25" customHeight="1">
      <c r="A122" s="99" t="s">
        <v>273</v>
      </c>
      <c r="B122" s="102" t="s">
        <v>2372</v>
      </c>
      <c r="C122" s="102">
        <v>10500</v>
      </c>
      <c r="D122" s="102">
        <v>10470</v>
      </c>
      <c r="E122" s="102">
        <v>10780</v>
      </c>
      <c r="F122" s="136">
        <v>2180</v>
      </c>
    </row>
    <row r="123" spans="1:6" s="125" customFormat="1" ht="14.25" customHeight="1">
      <c r="A123" s="99" t="s">
        <v>273</v>
      </c>
      <c r="B123" s="102" t="s">
        <v>2382</v>
      </c>
      <c r="C123" s="102">
        <v>10390</v>
      </c>
      <c r="D123" s="102">
        <v>10360</v>
      </c>
      <c r="E123" s="102">
        <v>10660</v>
      </c>
      <c r="F123" s="136">
        <v>2040</v>
      </c>
    </row>
    <row r="124" spans="1:6" s="125" customFormat="1" ht="14.25" customHeight="1">
      <c r="A124" s="99" t="s">
        <v>273</v>
      </c>
      <c r="B124" s="102" t="s">
        <v>2392</v>
      </c>
      <c r="C124" s="102">
        <v>10390</v>
      </c>
      <c r="D124" s="102">
        <v>10360</v>
      </c>
      <c r="E124" s="102">
        <v>10680</v>
      </c>
      <c r="F124" s="139"/>
    </row>
    <row r="125" spans="1:6" s="125" customFormat="1" ht="14.25" customHeight="1">
      <c r="A125" s="99" t="s">
        <v>273</v>
      </c>
      <c r="B125" s="102" t="s">
        <v>2402</v>
      </c>
      <c r="C125" s="102">
        <v>10440</v>
      </c>
      <c r="D125" s="102">
        <v>10410</v>
      </c>
      <c r="E125" s="102">
        <v>10710</v>
      </c>
      <c r="F125" s="139"/>
    </row>
    <row r="126" spans="1:6" s="125" customFormat="1" ht="14.25" customHeight="1">
      <c r="A126" s="99" t="s">
        <v>273</v>
      </c>
      <c r="B126" s="102" t="s">
        <v>2412</v>
      </c>
      <c r="C126" s="102">
        <v>10780</v>
      </c>
      <c r="D126" s="102">
        <v>10750</v>
      </c>
      <c r="E126" s="102">
        <v>11080</v>
      </c>
      <c r="F126" s="139"/>
    </row>
    <row r="127" spans="1:6" s="125" customFormat="1" ht="14.25" customHeight="1">
      <c r="A127" s="99" t="s">
        <v>273</v>
      </c>
      <c r="B127" s="102" t="s">
        <v>2422</v>
      </c>
      <c r="C127" s="102">
        <v>10100</v>
      </c>
      <c r="D127" s="102">
        <v>10070</v>
      </c>
      <c r="E127" s="102">
        <v>10350</v>
      </c>
      <c r="F127" s="139"/>
    </row>
    <row r="128" spans="1:6" s="125" customFormat="1" ht="14.25" customHeight="1">
      <c r="A128" s="99" t="s">
        <v>273</v>
      </c>
      <c r="B128" s="102" t="s">
        <v>2432</v>
      </c>
      <c r="C128" s="102">
        <v>9200</v>
      </c>
      <c r="D128" s="102">
        <v>9160</v>
      </c>
      <c r="E128" s="102">
        <v>9660</v>
      </c>
      <c r="F128" s="139"/>
    </row>
    <row r="129" spans="1:6" s="125" customFormat="1" ht="14.25" customHeight="1">
      <c r="A129" s="99" t="s">
        <v>273</v>
      </c>
      <c r="B129" s="102" t="s">
        <v>2441</v>
      </c>
      <c r="C129" s="102">
        <v>10340</v>
      </c>
      <c r="D129" s="102">
        <v>10310</v>
      </c>
      <c r="E129" s="102">
        <v>10580</v>
      </c>
      <c r="F129" s="139"/>
    </row>
    <row r="130" spans="1:6" s="125" customFormat="1" ht="14.25" customHeight="1">
      <c r="A130" s="99" t="s">
        <v>273</v>
      </c>
      <c r="B130" s="102" t="s">
        <v>2449</v>
      </c>
      <c r="C130" s="102">
        <v>9680</v>
      </c>
      <c r="D130" s="102">
        <v>9660</v>
      </c>
      <c r="E130" s="102">
        <v>9950</v>
      </c>
      <c r="F130" s="139"/>
    </row>
    <row r="131" spans="1:6" s="125" customFormat="1" ht="14.25" customHeight="1">
      <c r="A131" s="99" t="s">
        <v>273</v>
      </c>
      <c r="B131" s="102" t="s">
        <v>2457</v>
      </c>
      <c r="C131" s="102">
        <v>9540</v>
      </c>
      <c r="D131" s="102">
        <v>9510</v>
      </c>
      <c r="E131" s="102">
        <v>9790</v>
      </c>
      <c r="F131" s="139"/>
    </row>
    <row r="132" spans="1:6" s="125" customFormat="1" ht="14.25" customHeight="1">
      <c r="A132" s="99" t="s">
        <v>273</v>
      </c>
      <c r="B132" s="102" t="s">
        <v>2464</v>
      </c>
      <c r="C132" s="102">
        <v>9320</v>
      </c>
      <c r="D132" s="102">
        <v>9290</v>
      </c>
      <c r="E132" s="102">
        <v>9570</v>
      </c>
      <c r="F132" s="139"/>
    </row>
    <row r="133" spans="1:6" s="125" customFormat="1" ht="14.25" customHeight="1">
      <c r="A133" s="99" t="s">
        <v>273</v>
      </c>
      <c r="B133" s="102" t="s">
        <v>2471</v>
      </c>
      <c r="C133" s="102">
        <v>10310</v>
      </c>
      <c r="D133" s="102">
        <v>10280</v>
      </c>
      <c r="E133" s="102">
        <v>10530</v>
      </c>
      <c r="F133" s="139"/>
    </row>
    <row r="134" spans="1:6" s="125" customFormat="1" ht="14.25" customHeight="1">
      <c r="A134" s="99" t="s">
        <v>273</v>
      </c>
      <c r="B134" s="102" t="s">
        <v>2478</v>
      </c>
      <c r="C134" s="102">
        <v>10370</v>
      </c>
      <c r="D134" s="102">
        <v>10310</v>
      </c>
      <c r="E134" s="102">
        <v>10240</v>
      </c>
      <c r="F134" s="136">
        <v>2060</v>
      </c>
    </row>
    <row r="135" spans="1:6" s="125" customFormat="1" ht="14.25" customHeight="1">
      <c r="A135" s="99" t="s">
        <v>273</v>
      </c>
      <c r="B135" s="102" t="s">
        <v>2485</v>
      </c>
      <c r="C135" s="102">
        <v>9300</v>
      </c>
      <c r="D135" s="102">
        <v>9270</v>
      </c>
      <c r="E135" s="102">
        <v>9350</v>
      </c>
      <c r="F135" s="139"/>
    </row>
    <row r="136" spans="1:6" s="125" customFormat="1" ht="14.25" customHeight="1">
      <c r="A136" s="99" t="s">
        <v>273</v>
      </c>
      <c r="B136" s="102" t="s">
        <v>2492</v>
      </c>
      <c r="C136" s="102">
        <v>10160</v>
      </c>
      <c r="D136" s="102">
        <v>10110</v>
      </c>
      <c r="E136" s="102">
        <v>10080</v>
      </c>
      <c r="F136" s="139"/>
    </row>
    <row r="137" spans="1:6" s="125" customFormat="1" ht="14.25" customHeight="1">
      <c r="A137" s="99" t="s">
        <v>273</v>
      </c>
      <c r="B137" s="102" t="s">
        <v>2497</v>
      </c>
      <c r="C137" s="102">
        <v>9200</v>
      </c>
      <c r="D137" s="102">
        <v>9170</v>
      </c>
      <c r="E137" s="102">
        <v>9450</v>
      </c>
      <c r="F137" s="139"/>
    </row>
    <row r="138" spans="1:6" s="125" customFormat="1" ht="14.25" customHeight="1">
      <c r="A138" s="99" t="s">
        <v>273</v>
      </c>
      <c r="B138" s="102" t="s">
        <v>2502</v>
      </c>
      <c r="C138" s="102">
        <v>9690</v>
      </c>
      <c r="D138" s="102">
        <v>9660</v>
      </c>
      <c r="E138" s="102">
        <v>9840</v>
      </c>
      <c r="F138" s="139"/>
    </row>
    <row r="139" spans="1:6" s="125" customFormat="1" ht="14.25" customHeight="1">
      <c r="A139" s="99" t="s">
        <v>273</v>
      </c>
      <c r="B139" s="102" t="s">
        <v>2507</v>
      </c>
      <c r="C139" s="102">
        <v>10290</v>
      </c>
      <c r="D139" s="102">
        <v>10260</v>
      </c>
      <c r="E139" s="102">
        <v>10550</v>
      </c>
      <c r="F139" s="136">
        <v>1700</v>
      </c>
    </row>
    <row r="140" spans="1:6" s="125" customFormat="1" ht="14.25" customHeight="1">
      <c r="A140" s="99" t="s">
        <v>273</v>
      </c>
      <c r="B140" s="102" t="s">
        <v>2512</v>
      </c>
      <c r="C140" s="102">
        <v>9740</v>
      </c>
      <c r="D140" s="102">
        <v>9710</v>
      </c>
      <c r="E140" s="102">
        <v>10000</v>
      </c>
      <c r="F140" s="136">
        <v>2000</v>
      </c>
    </row>
    <row r="141" spans="1:6" s="125" customFormat="1" ht="14.25" customHeight="1">
      <c r="A141" s="99" t="s">
        <v>273</v>
      </c>
      <c r="B141" s="102" t="s">
        <v>2517</v>
      </c>
      <c r="C141" s="102">
        <v>9810</v>
      </c>
      <c r="D141" s="102">
        <v>9770</v>
      </c>
      <c r="E141" s="102">
        <v>10060</v>
      </c>
      <c r="F141" s="139"/>
    </row>
    <row r="142" spans="1:6" s="125" customFormat="1" ht="14.25" customHeight="1">
      <c r="A142" s="99" t="s">
        <v>273</v>
      </c>
      <c r="B142" s="102" t="s">
        <v>2522</v>
      </c>
      <c r="C142" s="102">
        <v>9300</v>
      </c>
      <c r="D142" s="102">
        <v>9270</v>
      </c>
      <c r="E142" s="102">
        <v>9530</v>
      </c>
      <c r="F142" s="139"/>
    </row>
    <row r="143" spans="1:6" s="125" customFormat="1" ht="14.25" customHeight="1">
      <c r="A143" s="99" t="s">
        <v>273</v>
      </c>
      <c r="B143" s="102" t="s">
        <v>2527</v>
      </c>
      <c r="C143" s="102">
        <v>10080</v>
      </c>
      <c r="D143" s="102">
        <v>10050</v>
      </c>
      <c r="E143" s="102">
        <v>10340</v>
      </c>
      <c r="F143" s="139"/>
    </row>
    <row r="144" spans="1:6" s="125" customFormat="1" ht="14.25" customHeight="1">
      <c r="A144" s="99" t="s">
        <v>273</v>
      </c>
      <c r="B144" s="102" t="s">
        <v>2531</v>
      </c>
      <c r="C144" s="102">
        <v>9820</v>
      </c>
      <c r="D144" s="102">
        <v>9750</v>
      </c>
      <c r="E144" s="102">
        <v>9900</v>
      </c>
      <c r="F144" s="139"/>
    </row>
    <row r="145" spans="1:6" s="125" customFormat="1" ht="14.25" customHeight="1">
      <c r="A145" s="99" t="s">
        <v>273</v>
      </c>
      <c r="B145" s="102" t="s">
        <v>2535</v>
      </c>
      <c r="C145" s="102"/>
      <c r="D145" s="102"/>
      <c r="E145" s="102"/>
      <c r="F145" s="136">
        <v>1740</v>
      </c>
    </row>
    <row r="146" spans="1:6" s="125" customFormat="1" ht="14.25" customHeight="1">
      <c r="A146" s="99" t="s">
        <v>273</v>
      </c>
      <c r="B146" s="102" t="s">
        <v>2539</v>
      </c>
      <c r="C146" s="102"/>
      <c r="D146" s="102"/>
      <c r="E146" s="102"/>
      <c r="F146" s="136">
        <v>1740</v>
      </c>
    </row>
    <row r="147" spans="1:6" s="125" customFormat="1" ht="14.25" customHeight="1">
      <c r="A147" s="99" t="s">
        <v>273</v>
      </c>
      <c r="B147" s="102" t="s">
        <v>2543</v>
      </c>
      <c r="C147" s="102"/>
      <c r="D147" s="102"/>
      <c r="E147" s="102"/>
      <c r="F147" s="136">
        <v>1740</v>
      </c>
    </row>
    <row r="148" spans="1:6" s="125" customFormat="1" ht="14.25" customHeight="1">
      <c r="A148" s="99" t="s">
        <v>273</v>
      </c>
      <c r="B148" s="102" t="s">
        <v>2547</v>
      </c>
      <c r="C148" s="102"/>
      <c r="D148" s="102"/>
      <c r="E148" s="102"/>
      <c r="F148" s="136">
        <v>1740</v>
      </c>
    </row>
    <row r="149" spans="1:6" s="125" customFormat="1" ht="14.25" customHeight="1">
      <c r="A149" s="99" t="s">
        <v>273</v>
      </c>
      <c r="B149" s="102" t="s">
        <v>2551</v>
      </c>
      <c r="C149" s="102"/>
      <c r="D149" s="102"/>
      <c r="E149" s="102"/>
      <c r="F149" s="136">
        <v>1740</v>
      </c>
    </row>
    <row r="150" spans="1:6" s="125" customFormat="1" ht="14.25" customHeight="1">
      <c r="A150" s="99" t="s">
        <v>273</v>
      </c>
      <c r="B150" s="102" t="s">
        <v>2554</v>
      </c>
      <c r="C150" s="102"/>
      <c r="D150" s="102"/>
      <c r="E150" s="102"/>
      <c r="F150" s="136">
        <v>1610</v>
      </c>
    </row>
    <row r="151" spans="1:6" s="125" customFormat="1" ht="14.25" customHeight="1">
      <c r="A151" s="99" t="s">
        <v>273</v>
      </c>
      <c r="B151" s="102" t="s">
        <v>2557</v>
      </c>
      <c r="C151" s="102"/>
      <c r="D151" s="102"/>
      <c r="E151" s="102"/>
      <c r="F151" s="136">
        <v>1610</v>
      </c>
    </row>
    <row r="152" spans="1:6" s="125" customFormat="1" ht="14.25" customHeight="1">
      <c r="A152" s="99" t="s">
        <v>273</v>
      </c>
      <c r="B152" s="102" t="s">
        <v>2560</v>
      </c>
      <c r="C152" s="102"/>
      <c r="D152" s="102"/>
      <c r="E152" s="102"/>
      <c r="F152" s="136">
        <v>1610</v>
      </c>
    </row>
    <row r="153" spans="1:6" s="125" customFormat="1" ht="14.25" customHeight="1">
      <c r="A153" s="99" t="s">
        <v>273</v>
      </c>
      <c r="B153" s="102" t="s">
        <v>2563</v>
      </c>
      <c r="C153" s="102"/>
      <c r="D153" s="102"/>
      <c r="E153" s="102"/>
      <c r="F153" s="136">
        <v>1610</v>
      </c>
    </row>
    <row r="154" spans="1:6" s="125" customFormat="1" ht="14.25" customHeight="1">
      <c r="A154" s="99" t="s">
        <v>273</v>
      </c>
      <c r="B154" s="102" t="s">
        <v>2566</v>
      </c>
      <c r="C154" s="102"/>
      <c r="D154" s="102"/>
      <c r="E154" s="102"/>
      <c r="F154" s="136">
        <v>1610</v>
      </c>
    </row>
    <row r="155" spans="1:6" s="125" customFormat="1" ht="14.25" customHeight="1">
      <c r="A155" s="99" t="s">
        <v>273</v>
      </c>
      <c r="B155" s="102" t="s">
        <v>2569</v>
      </c>
      <c r="C155" s="102"/>
      <c r="D155" s="102"/>
      <c r="E155" s="102"/>
      <c r="F155" s="136">
        <v>1800</v>
      </c>
    </row>
    <row r="156" spans="1:6" s="125" customFormat="1" ht="14.25" customHeight="1">
      <c r="A156" s="99" t="s">
        <v>273</v>
      </c>
      <c r="B156" s="102" t="s">
        <v>2571</v>
      </c>
      <c r="C156" s="102"/>
      <c r="D156" s="102"/>
      <c r="E156" s="102"/>
      <c r="F156" s="136">
        <v>1910</v>
      </c>
    </row>
    <row r="157" spans="1:6" s="125" customFormat="1" ht="14.25" customHeight="1">
      <c r="A157" s="99" t="s">
        <v>273</v>
      </c>
      <c r="B157" s="114" t="s">
        <v>2573</v>
      </c>
      <c r="C157" s="114"/>
      <c r="D157" s="114"/>
      <c r="E157" s="114"/>
      <c r="F157" s="138">
        <v>1500</v>
      </c>
    </row>
    <row r="158" spans="1:6" s="125" customFormat="1" ht="14.25" customHeight="1">
      <c r="A158" s="99" t="s">
        <v>278</v>
      </c>
      <c r="B158" s="100" t="s">
        <v>2239</v>
      </c>
      <c r="C158" s="100">
        <v>8170</v>
      </c>
      <c r="D158" s="100">
        <v>8140</v>
      </c>
      <c r="E158" s="100">
        <v>8590</v>
      </c>
      <c r="F158" s="133">
        <v>1450</v>
      </c>
    </row>
    <row r="159" spans="1:6" s="125" customFormat="1" ht="14.25" customHeight="1">
      <c r="A159" s="99" t="s">
        <v>278</v>
      </c>
      <c r="B159" s="102" t="s">
        <v>2252</v>
      </c>
      <c r="C159" s="102">
        <v>7410</v>
      </c>
      <c r="D159" s="102">
        <v>7370</v>
      </c>
      <c r="E159" s="102">
        <v>8030</v>
      </c>
      <c r="F159" s="136">
        <v>1510</v>
      </c>
    </row>
    <row r="160" spans="1:6" s="125" customFormat="1" ht="14.25" customHeight="1">
      <c r="A160" s="99" t="s">
        <v>278</v>
      </c>
      <c r="B160" s="102" t="s">
        <v>2266</v>
      </c>
      <c r="C160" s="102">
        <v>7240</v>
      </c>
      <c r="D160" s="102">
        <v>7210</v>
      </c>
      <c r="E160" s="102">
        <v>7860</v>
      </c>
      <c r="F160" s="136">
        <v>1370</v>
      </c>
    </row>
    <row r="161" spans="1:6" s="125" customFormat="1" ht="14.25" customHeight="1">
      <c r="A161" s="99" t="s">
        <v>278</v>
      </c>
      <c r="B161" s="102" t="s">
        <v>2278</v>
      </c>
      <c r="C161" s="102">
        <v>7720</v>
      </c>
      <c r="D161" s="102">
        <v>7690</v>
      </c>
      <c r="E161" s="102">
        <v>8200</v>
      </c>
      <c r="F161" s="136">
        <v>1190</v>
      </c>
    </row>
    <row r="162" spans="1:6" s="125" customFormat="1" ht="14.25" customHeight="1">
      <c r="A162" s="99" t="s">
        <v>278</v>
      </c>
      <c r="B162" s="102" t="s">
        <v>2290</v>
      </c>
      <c r="C162" s="102">
        <v>6900</v>
      </c>
      <c r="D162" s="102">
        <v>6870</v>
      </c>
      <c r="E162" s="102">
        <v>7500</v>
      </c>
      <c r="F162" s="136">
        <v>1390</v>
      </c>
    </row>
    <row r="163" spans="1:6" s="125" customFormat="1" ht="14.25" customHeight="1">
      <c r="A163" s="99" t="s">
        <v>278</v>
      </c>
      <c r="B163" s="102" t="s">
        <v>2301</v>
      </c>
      <c r="C163" s="102">
        <v>7120</v>
      </c>
      <c r="D163" s="102">
        <v>7090</v>
      </c>
      <c r="E163" s="102">
        <v>7690</v>
      </c>
      <c r="F163" s="136">
        <v>1230</v>
      </c>
    </row>
    <row r="164" spans="1:6" s="125" customFormat="1" ht="14.25" customHeight="1">
      <c r="A164" s="99" t="s">
        <v>278</v>
      </c>
      <c r="B164" s="102" t="s">
        <v>2312</v>
      </c>
      <c r="C164" s="102">
        <v>6560</v>
      </c>
      <c r="D164" s="102">
        <v>6530</v>
      </c>
      <c r="E164" s="102">
        <v>7110</v>
      </c>
      <c r="F164" s="136">
        <v>1340</v>
      </c>
    </row>
    <row r="165" spans="1:6" s="125" customFormat="1" ht="14.25" customHeight="1">
      <c r="A165" s="99" t="s">
        <v>278</v>
      </c>
      <c r="B165" s="102" t="s">
        <v>2323</v>
      </c>
      <c r="C165" s="102">
        <v>7450</v>
      </c>
      <c r="D165" s="102">
        <v>7430</v>
      </c>
      <c r="E165" s="102">
        <v>8110</v>
      </c>
      <c r="F165" s="136">
        <v>1290</v>
      </c>
    </row>
    <row r="166" spans="1:6" s="125" customFormat="1" ht="14.25" customHeight="1">
      <c r="A166" s="99" t="s">
        <v>278</v>
      </c>
      <c r="B166" s="102" t="s">
        <v>2333</v>
      </c>
      <c r="C166" s="102">
        <v>7490</v>
      </c>
      <c r="D166" s="102">
        <v>7460</v>
      </c>
      <c r="E166" s="102">
        <v>8150</v>
      </c>
      <c r="F166" s="136">
        <v>1350</v>
      </c>
    </row>
    <row r="167" spans="1:6" s="125" customFormat="1" ht="14.25" customHeight="1">
      <c r="A167" s="99" t="s">
        <v>278</v>
      </c>
      <c r="B167" s="102" t="s">
        <v>2343</v>
      </c>
      <c r="C167" s="102">
        <v>7540</v>
      </c>
      <c r="D167" s="102">
        <v>7510</v>
      </c>
      <c r="E167" s="102">
        <v>8030</v>
      </c>
      <c r="F167" s="139"/>
    </row>
    <row r="168" spans="1:6" s="125" customFormat="1" ht="14.25" customHeight="1">
      <c r="A168" s="99" t="s">
        <v>278</v>
      </c>
      <c r="B168" s="102" t="s">
        <v>2353</v>
      </c>
      <c r="C168" s="102">
        <v>7210</v>
      </c>
      <c r="D168" s="102">
        <v>7180</v>
      </c>
      <c r="E168" s="102">
        <v>7830</v>
      </c>
      <c r="F168" s="139"/>
    </row>
    <row r="169" spans="1:6" s="125" customFormat="1" ht="14.25" customHeight="1">
      <c r="A169" s="99" t="s">
        <v>278</v>
      </c>
      <c r="B169" s="102" t="s">
        <v>2363</v>
      </c>
      <c r="C169" s="102">
        <v>7040</v>
      </c>
      <c r="D169" s="102">
        <v>7020</v>
      </c>
      <c r="E169" s="102">
        <v>7670</v>
      </c>
      <c r="F169" s="139"/>
    </row>
    <row r="170" spans="1:6" s="125" customFormat="1" ht="14.25" customHeight="1">
      <c r="A170" s="99" t="s">
        <v>278</v>
      </c>
      <c r="B170" s="102" t="s">
        <v>2373</v>
      </c>
      <c r="C170" s="102">
        <v>8040</v>
      </c>
      <c r="D170" s="102">
        <v>7190</v>
      </c>
      <c r="E170" s="102">
        <v>7850</v>
      </c>
      <c r="F170" s="139"/>
    </row>
    <row r="171" spans="1:6" s="125" customFormat="1" ht="14.25" customHeight="1">
      <c r="A171" s="99" t="s">
        <v>278</v>
      </c>
      <c r="B171" s="102" t="s">
        <v>2383</v>
      </c>
      <c r="C171" s="102">
        <v>7860</v>
      </c>
      <c r="D171" s="102">
        <v>7720</v>
      </c>
      <c r="E171" s="102">
        <v>8150</v>
      </c>
      <c r="F171" s="136">
        <v>1110</v>
      </c>
    </row>
    <row r="172" spans="1:6" s="125" customFormat="1" ht="14.25" customHeight="1">
      <c r="A172" s="99" t="s">
        <v>278</v>
      </c>
      <c r="B172" s="102" t="s">
        <v>2393</v>
      </c>
      <c r="C172" s="102">
        <v>7210</v>
      </c>
      <c r="D172" s="102">
        <v>7170</v>
      </c>
      <c r="E172" s="102">
        <v>7320</v>
      </c>
      <c r="F172" s="139"/>
    </row>
    <row r="173" spans="1:6" s="125" customFormat="1" ht="14.25" customHeight="1">
      <c r="A173" s="99" t="s">
        <v>278</v>
      </c>
      <c r="B173" s="102" t="s">
        <v>2403</v>
      </c>
      <c r="C173" s="102">
        <v>6860</v>
      </c>
      <c r="D173" s="102">
        <v>6810</v>
      </c>
      <c r="E173" s="102">
        <v>7440</v>
      </c>
      <c r="F173" s="139"/>
    </row>
    <row r="174" spans="1:6" s="125" customFormat="1" ht="14.25" customHeight="1">
      <c r="A174" s="99" t="s">
        <v>278</v>
      </c>
      <c r="B174" s="102" t="s">
        <v>2413</v>
      </c>
      <c r="C174" s="102">
        <v>7120</v>
      </c>
      <c r="D174" s="102">
        <v>7090</v>
      </c>
      <c r="E174" s="102">
        <v>7500</v>
      </c>
      <c r="F174" s="136">
        <v>1490</v>
      </c>
    </row>
    <row r="175" spans="1:6" s="125" customFormat="1" ht="14.25" customHeight="1">
      <c r="A175" s="99" t="s">
        <v>278</v>
      </c>
      <c r="B175" s="102" t="s">
        <v>2423</v>
      </c>
      <c r="C175" s="102">
        <v>7850</v>
      </c>
      <c r="D175" s="102">
        <v>7820</v>
      </c>
      <c r="E175" s="102">
        <v>8120</v>
      </c>
      <c r="F175" s="136">
        <v>1530</v>
      </c>
    </row>
    <row r="176" spans="1:6" s="125" customFormat="1" ht="14.25" customHeight="1">
      <c r="A176" s="99" t="s">
        <v>278</v>
      </c>
      <c r="B176" s="102" t="s">
        <v>2433</v>
      </c>
      <c r="C176" s="102">
        <v>7620</v>
      </c>
      <c r="D176" s="102">
        <v>7570</v>
      </c>
      <c r="E176" s="102">
        <v>7990</v>
      </c>
      <c r="F176" s="136">
        <v>1480</v>
      </c>
    </row>
    <row r="177" spans="1:6" s="125" customFormat="1" ht="14.25" customHeight="1">
      <c r="A177" s="99" t="s">
        <v>278</v>
      </c>
      <c r="B177" s="102" t="s">
        <v>2442</v>
      </c>
      <c r="C177" s="102">
        <v>8590</v>
      </c>
      <c r="D177" s="102">
        <v>8570</v>
      </c>
      <c r="E177" s="102">
        <v>8740</v>
      </c>
      <c r="F177" s="136">
        <v>1540</v>
      </c>
    </row>
    <row r="178" spans="1:6" s="125" customFormat="1" ht="14.25" customHeight="1">
      <c r="A178" s="99" t="s">
        <v>278</v>
      </c>
      <c r="B178" s="102" t="s">
        <v>2450</v>
      </c>
      <c r="C178" s="102">
        <v>7510</v>
      </c>
      <c r="D178" s="102">
        <v>7470</v>
      </c>
      <c r="E178" s="102">
        <v>8090</v>
      </c>
      <c r="F178" s="136">
        <v>1320</v>
      </c>
    </row>
    <row r="179" spans="1:6" s="125" customFormat="1" ht="14.25" customHeight="1">
      <c r="A179" s="99" t="s">
        <v>278</v>
      </c>
      <c r="B179" s="102" t="s">
        <v>2458</v>
      </c>
      <c r="C179" s="102">
        <v>6380</v>
      </c>
      <c r="D179" s="102">
        <v>6340</v>
      </c>
      <c r="E179" s="102">
        <v>6810</v>
      </c>
      <c r="F179" s="139"/>
    </row>
    <row r="180" spans="1:6" s="125" customFormat="1" ht="14.25" customHeight="1">
      <c r="A180" s="99" t="s">
        <v>278</v>
      </c>
      <c r="B180" s="102" t="s">
        <v>2465</v>
      </c>
      <c r="C180" s="102">
        <v>7830</v>
      </c>
      <c r="D180" s="102">
        <v>7800</v>
      </c>
      <c r="E180" s="102">
        <v>7780</v>
      </c>
      <c r="F180" s="136">
        <v>1440</v>
      </c>
    </row>
    <row r="181" spans="1:6" s="125" customFormat="1" ht="14.25" customHeight="1">
      <c r="A181" s="99" t="s">
        <v>278</v>
      </c>
      <c r="B181" s="102" t="s">
        <v>2472</v>
      </c>
      <c r="C181" s="102">
        <v>7110</v>
      </c>
      <c r="D181" s="102">
        <v>7080</v>
      </c>
      <c r="E181" s="102">
        <v>7730</v>
      </c>
      <c r="F181" s="136">
        <v>1350</v>
      </c>
    </row>
    <row r="182" spans="1:6" s="125" customFormat="1" ht="14.25" customHeight="1">
      <c r="A182" s="99" t="s">
        <v>278</v>
      </c>
      <c r="B182" s="102" t="s">
        <v>2479</v>
      </c>
      <c r="C182" s="102">
        <v>7310</v>
      </c>
      <c r="D182" s="102">
        <v>7280</v>
      </c>
      <c r="E182" s="102">
        <v>7950</v>
      </c>
      <c r="F182" s="136">
        <v>1220</v>
      </c>
    </row>
    <row r="183" spans="1:6" s="125" customFormat="1" ht="14.25" customHeight="1">
      <c r="A183" s="99" t="s">
        <v>278</v>
      </c>
      <c r="B183" s="102" t="s">
        <v>2486</v>
      </c>
      <c r="C183" s="102">
        <v>7470</v>
      </c>
      <c r="D183" s="102">
        <v>7440</v>
      </c>
      <c r="E183" s="102">
        <v>7880</v>
      </c>
      <c r="F183" s="139"/>
    </row>
    <row r="184" spans="1:6" s="125" customFormat="1" ht="14.25" customHeight="1">
      <c r="A184" s="99" t="s">
        <v>278</v>
      </c>
      <c r="B184" s="102" t="s">
        <v>2493</v>
      </c>
      <c r="C184" s="102">
        <v>6960</v>
      </c>
      <c r="D184" s="102">
        <v>6930</v>
      </c>
      <c r="E184" s="102">
        <v>7570</v>
      </c>
      <c r="F184" s="139"/>
    </row>
    <row r="185" spans="1:6" s="125" customFormat="1" ht="14.25" customHeight="1">
      <c r="A185" s="99" t="s">
        <v>278</v>
      </c>
      <c r="B185" s="102" t="s">
        <v>2498</v>
      </c>
      <c r="C185" s="102">
        <v>7260</v>
      </c>
      <c r="D185" s="102">
        <v>7230</v>
      </c>
      <c r="E185" s="102">
        <v>7710</v>
      </c>
      <c r="F185" s="136">
        <v>1360</v>
      </c>
    </row>
    <row r="186" spans="1:6" s="125" customFormat="1" ht="14.25" customHeight="1">
      <c r="A186" s="99" t="s">
        <v>278</v>
      </c>
      <c r="B186" s="102" t="s">
        <v>2503</v>
      </c>
      <c r="C186" s="102"/>
      <c r="D186" s="102"/>
      <c r="E186" s="102"/>
      <c r="F186" s="136">
        <v>1560</v>
      </c>
    </row>
    <row r="187" spans="1:6" s="125" customFormat="1" ht="14.25" customHeight="1">
      <c r="A187" s="99" t="s">
        <v>278</v>
      </c>
      <c r="B187" s="102" t="s">
        <v>2508</v>
      </c>
      <c r="C187" s="102"/>
      <c r="D187" s="102"/>
      <c r="E187" s="102"/>
      <c r="F187" s="136">
        <v>1560</v>
      </c>
    </row>
    <row r="188" spans="1:6" s="125" customFormat="1" ht="14.25" customHeight="1">
      <c r="A188" s="99" t="s">
        <v>278</v>
      </c>
      <c r="B188" s="102" t="s">
        <v>2513</v>
      </c>
      <c r="C188" s="102"/>
      <c r="D188" s="102"/>
      <c r="E188" s="102"/>
      <c r="F188" s="136">
        <v>1560</v>
      </c>
    </row>
    <row r="189" spans="1:6" s="125" customFormat="1" ht="14.25" customHeight="1">
      <c r="A189" s="99" t="s">
        <v>278</v>
      </c>
      <c r="B189" s="102" t="s">
        <v>2518</v>
      </c>
      <c r="C189" s="102"/>
      <c r="D189" s="102"/>
      <c r="E189" s="102"/>
      <c r="F189" s="136">
        <v>1320</v>
      </c>
    </row>
    <row r="190" spans="1:6" s="125" customFormat="1" ht="14.25" customHeight="1">
      <c r="A190" s="99" t="s">
        <v>278</v>
      </c>
      <c r="B190" s="102" t="s">
        <v>2523</v>
      </c>
      <c r="C190" s="102"/>
      <c r="D190" s="102"/>
      <c r="E190" s="102"/>
      <c r="F190" s="136">
        <v>1320</v>
      </c>
    </row>
    <row r="191" spans="1:6" s="125" customFormat="1" ht="14.25" customHeight="1">
      <c r="A191" s="99" t="s">
        <v>278</v>
      </c>
      <c r="B191" s="102" t="s">
        <v>2528</v>
      </c>
      <c r="C191" s="102"/>
      <c r="D191" s="102"/>
      <c r="E191" s="102"/>
      <c r="F191" s="136">
        <v>1320</v>
      </c>
    </row>
    <row r="192" spans="1:6" s="125" customFormat="1" ht="14.25" customHeight="1">
      <c r="A192" s="99" t="s">
        <v>278</v>
      </c>
      <c r="B192" s="102" t="s">
        <v>2532</v>
      </c>
      <c r="C192" s="102"/>
      <c r="D192" s="102"/>
      <c r="E192" s="102"/>
      <c r="F192" s="136">
        <v>1100</v>
      </c>
    </row>
    <row r="193" spans="1:6" s="125" customFormat="1" ht="14.25" customHeight="1">
      <c r="A193" s="99" t="s">
        <v>278</v>
      </c>
      <c r="B193" s="102" t="s">
        <v>2536</v>
      </c>
      <c r="C193" s="102"/>
      <c r="D193" s="102"/>
      <c r="E193" s="102"/>
      <c r="F193" s="136">
        <v>1100</v>
      </c>
    </row>
    <row r="194" spans="1:6" s="125" customFormat="1" ht="14.25" customHeight="1">
      <c r="A194" s="99" t="s">
        <v>278</v>
      </c>
      <c r="B194" s="102" t="s">
        <v>2540</v>
      </c>
      <c r="C194" s="102"/>
      <c r="D194" s="102"/>
      <c r="E194" s="102"/>
      <c r="F194" s="136">
        <v>1080</v>
      </c>
    </row>
    <row r="195" spans="1:6" s="125" customFormat="1" ht="14.25" customHeight="1">
      <c r="A195" s="99" t="s">
        <v>278</v>
      </c>
      <c r="B195" s="102" t="s">
        <v>2544</v>
      </c>
      <c r="C195" s="102"/>
      <c r="D195" s="102"/>
      <c r="E195" s="102"/>
      <c r="F195" s="136">
        <v>1270</v>
      </c>
    </row>
    <row r="196" spans="1:6" s="125" customFormat="1" ht="14.25" customHeight="1">
      <c r="A196" s="99" t="s">
        <v>278</v>
      </c>
      <c r="B196" s="102" t="s">
        <v>2548</v>
      </c>
      <c r="C196" s="102"/>
      <c r="D196" s="102"/>
      <c r="E196" s="102"/>
      <c r="F196" s="136">
        <v>1150</v>
      </c>
    </row>
    <row r="197" spans="1:6" s="125" customFormat="1" ht="14.25" customHeight="1">
      <c r="A197" s="99" t="s">
        <v>278</v>
      </c>
      <c r="B197" s="102" t="s">
        <v>2552</v>
      </c>
      <c r="C197" s="102"/>
      <c r="D197" s="102"/>
      <c r="E197" s="102"/>
      <c r="F197" s="136">
        <v>1330</v>
      </c>
    </row>
    <row r="198" spans="1:6" s="125" customFormat="1" ht="14.25" customHeight="1">
      <c r="A198" s="99" t="s">
        <v>278</v>
      </c>
      <c r="B198" s="102" t="s">
        <v>2555</v>
      </c>
      <c r="C198" s="102"/>
      <c r="D198" s="102"/>
      <c r="E198" s="102"/>
      <c r="F198" s="136">
        <v>1170</v>
      </c>
    </row>
    <row r="199" spans="1:6" s="125" customFormat="1" ht="14.25" customHeight="1">
      <c r="A199" s="99" t="s">
        <v>278</v>
      </c>
      <c r="B199" s="102" t="s">
        <v>2558</v>
      </c>
      <c r="C199" s="102"/>
      <c r="D199" s="102"/>
      <c r="E199" s="102"/>
      <c r="F199" s="136">
        <v>1120</v>
      </c>
    </row>
    <row r="200" spans="1:6" s="125" customFormat="1" ht="14.25" customHeight="1">
      <c r="A200" s="99" t="s">
        <v>278</v>
      </c>
      <c r="B200" s="102" t="s">
        <v>2561</v>
      </c>
      <c r="C200" s="102"/>
      <c r="D200" s="102"/>
      <c r="E200" s="102"/>
      <c r="F200" s="136">
        <v>1120</v>
      </c>
    </row>
    <row r="201" spans="1:6" s="125" customFormat="1" ht="14.25" customHeight="1">
      <c r="A201" s="99" t="s">
        <v>278</v>
      </c>
      <c r="B201" s="102" t="s">
        <v>2564</v>
      </c>
      <c r="C201" s="102"/>
      <c r="D201" s="102"/>
      <c r="E201" s="102"/>
      <c r="F201" s="136">
        <v>1540</v>
      </c>
    </row>
    <row r="202" spans="1:6" s="125" customFormat="1" ht="14.25" customHeight="1">
      <c r="A202" s="99" t="s">
        <v>278</v>
      </c>
      <c r="B202" s="102" t="s">
        <v>2567</v>
      </c>
      <c r="C202" s="102"/>
      <c r="D202" s="102"/>
      <c r="E202" s="102"/>
      <c r="F202" s="136">
        <v>1310</v>
      </c>
    </row>
    <row r="203" spans="1:6" s="125" customFormat="1" ht="14.25" customHeight="1">
      <c r="A203" s="99" t="s">
        <v>278</v>
      </c>
      <c r="B203" s="102" t="s">
        <v>2570</v>
      </c>
      <c r="C203" s="102"/>
      <c r="D203" s="102"/>
      <c r="E203" s="102"/>
      <c r="F203" s="136">
        <v>1310</v>
      </c>
    </row>
    <row r="204" spans="1:6" s="125" customFormat="1" ht="14.25" customHeight="1">
      <c r="A204" s="99" t="s">
        <v>278</v>
      </c>
      <c r="B204" s="102" t="s">
        <v>2572</v>
      </c>
      <c r="C204" s="102"/>
      <c r="D204" s="102"/>
      <c r="E204" s="102"/>
      <c r="F204" s="136">
        <v>1080</v>
      </c>
    </row>
    <row r="205" spans="1:6" s="125" customFormat="1" ht="14.25" customHeight="1">
      <c r="A205" s="99" t="s">
        <v>278</v>
      </c>
      <c r="B205" s="102" t="s">
        <v>2574</v>
      </c>
      <c r="C205" s="102"/>
      <c r="D205" s="102"/>
      <c r="E205" s="102"/>
      <c r="F205" s="136">
        <v>1080</v>
      </c>
    </row>
    <row r="206" spans="1:6" s="125" customFormat="1" ht="14.25" customHeight="1">
      <c r="A206" s="99" t="s">
        <v>283</v>
      </c>
      <c r="B206" s="100" t="s">
        <v>2240</v>
      </c>
      <c r="C206" s="100">
        <v>5450</v>
      </c>
      <c r="D206" s="100">
        <v>5430</v>
      </c>
      <c r="E206" s="100">
        <v>5700</v>
      </c>
      <c r="F206" s="133">
        <v>1020</v>
      </c>
    </row>
    <row r="207" spans="1:6" s="125" customFormat="1" ht="14.25" customHeight="1">
      <c r="A207" s="99" t="s">
        <v>283</v>
      </c>
      <c r="B207" s="102" t="s">
        <v>2253</v>
      </c>
      <c r="C207" s="102">
        <v>5860</v>
      </c>
      <c r="D207" s="102">
        <v>5820</v>
      </c>
      <c r="E207" s="102">
        <v>6050</v>
      </c>
      <c r="F207" s="136">
        <v>1080</v>
      </c>
    </row>
    <row r="208" spans="1:6" s="125" customFormat="1" ht="14.25" customHeight="1">
      <c r="A208" s="99" t="s">
        <v>283</v>
      </c>
      <c r="B208" s="102" t="s">
        <v>2267</v>
      </c>
      <c r="C208" s="102">
        <v>4630</v>
      </c>
      <c r="D208" s="102">
        <v>4600</v>
      </c>
      <c r="E208" s="102">
        <v>4840</v>
      </c>
      <c r="F208" s="136">
        <v>900</v>
      </c>
    </row>
    <row r="209" spans="1:6" s="125" customFormat="1" ht="14.25" customHeight="1">
      <c r="A209" s="99" t="s">
        <v>283</v>
      </c>
      <c r="B209" s="102" t="s">
        <v>2279</v>
      </c>
      <c r="C209" s="102">
        <v>5320</v>
      </c>
      <c r="D209" s="102">
        <v>5270</v>
      </c>
      <c r="E209" s="102">
        <v>5540</v>
      </c>
      <c r="F209" s="136">
        <v>980</v>
      </c>
    </row>
    <row r="210" spans="1:6" s="125" customFormat="1" ht="14.25" customHeight="1">
      <c r="A210" s="99" t="s">
        <v>283</v>
      </c>
      <c r="B210" s="102" t="s">
        <v>2291</v>
      </c>
      <c r="C210" s="102">
        <v>5760</v>
      </c>
      <c r="D210" s="102">
        <v>5710</v>
      </c>
      <c r="E210" s="102">
        <v>6010</v>
      </c>
      <c r="F210" s="136">
        <v>870</v>
      </c>
    </row>
    <row r="211" spans="1:6" s="125" customFormat="1" ht="14.25" customHeight="1">
      <c r="A211" s="99" t="s">
        <v>283</v>
      </c>
      <c r="B211" s="102" t="s">
        <v>2302</v>
      </c>
      <c r="C211" s="102">
        <v>4160</v>
      </c>
      <c r="D211" s="102">
        <v>4100</v>
      </c>
      <c r="E211" s="102">
        <v>4270</v>
      </c>
      <c r="F211" s="136">
        <v>790</v>
      </c>
    </row>
    <row r="212" spans="1:6" s="125" customFormat="1" ht="14.25" customHeight="1">
      <c r="A212" s="99" t="s">
        <v>283</v>
      </c>
      <c r="B212" s="102" t="s">
        <v>2313</v>
      </c>
      <c r="C212" s="102">
        <v>4880</v>
      </c>
      <c r="D212" s="102">
        <v>4850</v>
      </c>
      <c r="E212" s="102">
        <v>5110</v>
      </c>
      <c r="F212" s="136">
        <v>940</v>
      </c>
    </row>
    <row r="213" spans="1:6" s="125" customFormat="1" ht="14.25" customHeight="1">
      <c r="A213" s="99" t="s">
        <v>283</v>
      </c>
      <c r="B213" s="102" t="s">
        <v>2324</v>
      </c>
      <c r="C213" s="102">
        <v>4640</v>
      </c>
      <c r="D213" s="102">
        <v>4590</v>
      </c>
      <c r="E213" s="102">
        <v>4700</v>
      </c>
      <c r="F213" s="136">
        <v>1030</v>
      </c>
    </row>
    <row r="214" spans="1:6" s="125" customFormat="1" ht="14.25" customHeight="1">
      <c r="A214" s="99" t="s">
        <v>283</v>
      </c>
      <c r="B214" s="102" t="s">
        <v>2334</v>
      </c>
      <c r="C214" s="102">
        <v>4540</v>
      </c>
      <c r="D214" s="102">
        <v>4490</v>
      </c>
      <c r="E214" s="102">
        <v>4610</v>
      </c>
      <c r="F214" s="139"/>
    </row>
    <row r="215" spans="1:6" s="125" customFormat="1" ht="14.25" customHeight="1">
      <c r="A215" s="99" t="s">
        <v>283</v>
      </c>
      <c r="B215" s="102" t="s">
        <v>2344</v>
      </c>
      <c r="C215" s="102">
        <v>5280</v>
      </c>
      <c r="D215" s="102">
        <v>5250</v>
      </c>
      <c r="E215" s="102">
        <v>5520</v>
      </c>
      <c r="F215" s="136">
        <v>1000</v>
      </c>
    </row>
    <row r="216" spans="1:6" s="125" customFormat="1" ht="14.25" customHeight="1">
      <c r="A216" s="99" t="s">
        <v>283</v>
      </c>
      <c r="B216" s="102" t="s">
        <v>2354</v>
      </c>
      <c r="C216" s="102">
        <v>5100</v>
      </c>
      <c r="D216" s="102">
        <v>5050</v>
      </c>
      <c r="E216" s="102">
        <v>5300</v>
      </c>
      <c r="F216" s="136">
        <v>950</v>
      </c>
    </row>
    <row r="217" spans="1:6" s="125" customFormat="1" ht="14.25" customHeight="1">
      <c r="A217" s="99" t="s">
        <v>283</v>
      </c>
      <c r="B217" s="102" t="s">
        <v>2364</v>
      </c>
      <c r="C217" s="102">
        <v>5370</v>
      </c>
      <c r="D217" s="102">
        <v>5320</v>
      </c>
      <c r="E217" s="102">
        <v>5410</v>
      </c>
      <c r="F217" s="136">
        <v>950</v>
      </c>
    </row>
    <row r="218" spans="1:6" s="125" customFormat="1" ht="14.25" customHeight="1">
      <c r="A218" s="99" t="s">
        <v>283</v>
      </c>
      <c r="B218" s="102" t="s">
        <v>2374</v>
      </c>
      <c r="C218" s="102">
        <v>5540</v>
      </c>
      <c r="D218" s="102">
        <v>5480</v>
      </c>
      <c r="E218" s="102">
        <v>5740</v>
      </c>
      <c r="F218" s="136">
        <v>1020</v>
      </c>
    </row>
    <row r="219" spans="1:6" s="125" customFormat="1" ht="14.25" customHeight="1">
      <c r="A219" s="99" t="s">
        <v>283</v>
      </c>
      <c r="B219" s="102" t="s">
        <v>2384</v>
      </c>
      <c r="C219" s="102">
        <v>5140</v>
      </c>
      <c r="D219" s="102">
        <v>5100</v>
      </c>
      <c r="E219" s="102">
        <v>5350</v>
      </c>
      <c r="F219" s="136">
        <v>1120</v>
      </c>
    </row>
    <row r="220" spans="1:6" s="125" customFormat="1" ht="14.25" customHeight="1">
      <c r="A220" s="99" t="s">
        <v>283</v>
      </c>
      <c r="B220" s="102" t="s">
        <v>2394</v>
      </c>
      <c r="C220" s="102">
        <v>5040</v>
      </c>
      <c r="D220" s="102">
        <v>5000</v>
      </c>
      <c r="E220" s="102">
        <v>5240</v>
      </c>
      <c r="F220" s="136">
        <v>980</v>
      </c>
    </row>
    <row r="221" spans="1:6" s="125" customFormat="1" ht="14.25" customHeight="1">
      <c r="A221" s="99" t="s">
        <v>283</v>
      </c>
      <c r="B221" s="102" t="s">
        <v>2404</v>
      </c>
      <c r="C221" s="142"/>
      <c r="D221" s="142"/>
      <c r="E221" s="142"/>
      <c r="F221" s="136">
        <v>1070</v>
      </c>
    </row>
    <row r="222" spans="1:6" s="125" customFormat="1" ht="14.25" customHeight="1">
      <c r="A222" s="99" t="s">
        <v>283</v>
      </c>
      <c r="B222" s="102" t="s">
        <v>2414</v>
      </c>
      <c r="C222" s="142"/>
      <c r="D222" s="142"/>
      <c r="E222" s="142"/>
      <c r="F222" s="136">
        <v>870</v>
      </c>
    </row>
    <row r="223" spans="1:6" s="125" customFormat="1" ht="14.25" customHeight="1">
      <c r="A223" s="99" t="s">
        <v>283</v>
      </c>
      <c r="B223" s="102" t="s">
        <v>2424</v>
      </c>
      <c r="C223" s="142"/>
      <c r="D223" s="142"/>
      <c r="E223" s="142"/>
      <c r="F223" s="136">
        <v>940</v>
      </c>
    </row>
    <row r="224" spans="1:6" s="125" customFormat="1" ht="14.25" customHeight="1">
      <c r="A224" s="99" t="s">
        <v>283</v>
      </c>
      <c r="B224" s="102" t="s">
        <v>2434</v>
      </c>
      <c r="C224" s="142"/>
      <c r="D224" s="142"/>
      <c r="E224" s="142"/>
      <c r="F224" s="136">
        <v>990</v>
      </c>
    </row>
    <row r="225" spans="1:6" s="125" customFormat="1" ht="14.25" customHeight="1">
      <c r="A225" s="99" t="s">
        <v>283</v>
      </c>
      <c r="B225" s="102" t="s">
        <v>2443</v>
      </c>
      <c r="C225" s="102">
        <v>5730</v>
      </c>
      <c r="D225" s="102">
        <v>5680</v>
      </c>
      <c r="E225" s="102">
        <v>6020</v>
      </c>
      <c r="F225" s="136">
        <v>1000</v>
      </c>
    </row>
    <row r="226" spans="1:6" s="125" customFormat="1" ht="14.25" customHeight="1">
      <c r="A226" s="99" t="s">
        <v>283</v>
      </c>
      <c r="B226" s="102" t="s">
        <v>2451</v>
      </c>
      <c r="C226" s="102">
        <v>4970</v>
      </c>
      <c r="D226" s="102">
        <v>4940</v>
      </c>
      <c r="E226" s="102">
        <v>5180</v>
      </c>
      <c r="F226" s="136">
        <v>960</v>
      </c>
    </row>
    <row r="227" spans="1:6" s="125" customFormat="1" ht="14.25" customHeight="1">
      <c r="A227" s="99" t="s">
        <v>283</v>
      </c>
      <c r="B227" s="102" t="s">
        <v>2459</v>
      </c>
      <c r="C227" s="102">
        <v>5550</v>
      </c>
      <c r="D227" s="102">
        <v>5500</v>
      </c>
      <c r="E227" s="102">
        <v>5780</v>
      </c>
      <c r="F227" s="136">
        <v>940</v>
      </c>
    </row>
    <row r="228" spans="1:6" s="125" customFormat="1" ht="14.25" customHeight="1">
      <c r="A228" s="99" t="s">
        <v>283</v>
      </c>
      <c r="B228" s="102" t="s">
        <v>2466</v>
      </c>
      <c r="C228" s="102">
        <v>5460</v>
      </c>
      <c r="D228" s="102">
        <v>5420</v>
      </c>
      <c r="E228" s="102">
        <v>5690</v>
      </c>
      <c r="F228" s="136">
        <v>910</v>
      </c>
    </row>
    <row r="229" spans="1:6" s="125" customFormat="1" ht="14.25" customHeight="1">
      <c r="A229" s="99" t="s">
        <v>283</v>
      </c>
      <c r="B229" s="102" t="s">
        <v>2473</v>
      </c>
      <c r="C229" s="102">
        <v>5310</v>
      </c>
      <c r="D229" s="102">
        <v>5270</v>
      </c>
      <c r="E229" s="102">
        <v>5510</v>
      </c>
      <c r="F229" s="139"/>
    </row>
    <row r="230" spans="1:6" s="125" customFormat="1" ht="14.25" customHeight="1">
      <c r="A230" s="99" t="s">
        <v>283</v>
      </c>
      <c r="B230" s="102" t="s">
        <v>2480</v>
      </c>
      <c r="C230" s="102">
        <v>4540</v>
      </c>
      <c r="D230" s="102">
        <v>4500</v>
      </c>
      <c r="E230" s="102">
        <v>4730</v>
      </c>
      <c r="F230" s="139"/>
    </row>
    <row r="231" spans="1:6" s="125" customFormat="1" ht="14.25" customHeight="1">
      <c r="A231" s="99" t="s">
        <v>283</v>
      </c>
      <c r="B231" s="102" t="s">
        <v>2487</v>
      </c>
      <c r="C231" s="102">
        <v>4480</v>
      </c>
      <c r="D231" s="102">
        <v>4410</v>
      </c>
      <c r="E231" s="102">
        <v>4640</v>
      </c>
      <c r="F231" s="139"/>
    </row>
    <row r="232" spans="1:6" s="125" customFormat="1" ht="14.25" customHeight="1">
      <c r="A232" s="99" t="s">
        <v>283</v>
      </c>
      <c r="B232" s="102" t="s">
        <v>2494</v>
      </c>
      <c r="C232" s="102">
        <v>5670</v>
      </c>
      <c r="D232" s="102">
        <v>5600</v>
      </c>
      <c r="E232" s="102">
        <v>5890</v>
      </c>
      <c r="F232" s="136">
        <v>1150</v>
      </c>
    </row>
    <row r="233" spans="1:6" s="125" customFormat="1" ht="14.25" customHeight="1">
      <c r="A233" s="99" t="s">
        <v>283</v>
      </c>
      <c r="B233" s="102" t="s">
        <v>2499</v>
      </c>
      <c r="C233" s="102">
        <v>4590</v>
      </c>
      <c r="D233" s="102">
        <v>4500</v>
      </c>
      <c r="E233" s="102">
        <v>4600</v>
      </c>
      <c r="F233" s="139"/>
    </row>
    <row r="234" spans="1:6" s="125" customFormat="1" ht="14.25" customHeight="1">
      <c r="A234" s="99" t="s">
        <v>283</v>
      </c>
      <c r="B234" s="102" t="s">
        <v>2504</v>
      </c>
      <c r="C234" s="102">
        <v>3990</v>
      </c>
      <c r="D234" s="102">
        <v>3950</v>
      </c>
      <c r="E234" s="102">
        <v>4180</v>
      </c>
      <c r="F234" s="139"/>
    </row>
    <row r="235" spans="1:6" s="125" customFormat="1" ht="14.25" customHeight="1">
      <c r="A235" s="99" t="s">
        <v>283</v>
      </c>
      <c r="B235" s="102" t="s">
        <v>2509</v>
      </c>
      <c r="C235" s="102">
        <v>5590</v>
      </c>
      <c r="D235" s="102">
        <v>5540</v>
      </c>
      <c r="E235" s="102">
        <v>5810</v>
      </c>
      <c r="F235" s="136">
        <v>970</v>
      </c>
    </row>
    <row r="236" spans="1:6" s="125" customFormat="1" ht="14.25" customHeight="1">
      <c r="A236" s="99" t="s">
        <v>283</v>
      </c>
      <c r="B236" s="102" t="s">
        <v>2514</v>
      </c>
      <c r="C236" s="102"/>
      <c r="D236" s="102"/>
      <c r="E236" s="102"/>
      <c r="F236" s="136">
        <v>1020</v>
      </c>
    </row>
    <row r="237" spans="1:6" s="125" customFormat="1" ht="14.25" customHeight="1">
      <c r="A237" s="99" t="s">
        <v>283</v>
      </c>
      <c r="B237" s="102" t="s">
        <v>2519</v>
      </c>
      <c r="C237" s="102"/>
      <c r="D237" s="102"/>
      <c r="E237" s="102"/>
      <c r="F237" s="136">
        <v>960</v>
      </c>
    </row>
    <row r="238" spans="1:6" s="125" customFormat="1" ht="14.25" customHeight="1">
      <c r="A238" s="99" t="s">
        <v>283</v>
      </c>
      <c r="B238" s="102" t="s">
        <v>2524</v>
      </c>
      <c r="C238" s="102"/>
      <c r="D238" s="102"/>
      <c r="E238" s="102"/>
      <c r="F238" s="136">
        <v>960</v>
      </c>
    </row>
    <row r="239" spans="1:6" s="125" customFormat="1" ht="14.25" customHeight="1">
      <c r="A239" s="99" t="s">
        <v>283</v>
      </c>
      <c r="B239" s="102" t="s">
        <v>2529</v>
      </c>
      <c r="C239" s="102"/>
      <c r="D239" s="102"/>
      <c r="E239" s="102"/>
      <c r="F239" s="136">
        <v>960</v>
      </c>
    </row>
    <row r="240" spans="1:6" s="125" customFormat="1" ht="14.25" customHeight="1">
      <c r="A240" s="99" t="s">
        <v>283</v>
      </c>
      <c r="B240" s="102" t="s">
        <v>2533</v>
      </c>
      <c r="C240" s="102"/>
      <c r="D240" s="102"/>
      <c r="E240" s="102"/>
      <c r="F240" s="136">
        <v>990</v>
      </c>
    </row>
    <row r="241" spans="1:6" s="125" customFormat="1" ht="14.25" customHeight="1">
      <c r="A241" s="99" t="s">
        <v>283</v>
      </c>
      <c r="B241" s="102" t="s">
        <v>2537</v>
      </c>
      <c r="C241" s="102"/>
      <c r="D241" s="102"/>
      <c r="E241" s="102"/>
      <c r="F241" s="136">
        <v>1000</v>
      </c>
    </row>
    <row r="242" spans="1:6" s="125" customFormat="1" ht="14.25" customHeight="1">
      <c r="A242" s="99" t="s">
        <v>283</v>
      </c>
      <c r="B242" s="102" t="s">
        <v>2541</v>
      </c>
      <c r="C242" s="102"/>
      <c r="D242" s="102"/>
      <c r="E242" s="102"/>
      <c r="F242" s="136">
        <v>980</v>
      </c>
    </row>
    <row r="243" spans="1:6" s="125" customFormat="1" ht="14.25" customHeight="1">
      <c r="A243" s="99" t="s">
        <v>283</v>
      </c>
      <c r="B243" s="102" t="s">
        <v>2545</v>
      </c>
      <c r="C243" s="102"/>
      <c r="D243" s="102"/>
      <c r="E243" s="102"/>
      <c r="F243" s="136">
        <v>970</v>
      </c>
    </row>
    <row r="244" spans="1:6" s="125" customFormat="1" ht="14.25" customHeight="1">
      <c r="A244" s="99" t="s">
        <v>283</v>
      </c>
      <c r="B244" s="114" t="s">
        <v>2549</v>
      </c>
      <c r="C244" s="114"/>
      <c r="D244" s="114"/>
      <c r="E244" s="114"/>
      <c r="F244" s="138">
        <v>970</v>
      </c>
    </row>
    <row r="245" spans="1:6" s="125" customFormat="1" ht="14.25" customHeight="1">
      <c r="A245" s="99" t="s">
        <v>286</v>
      </c>
      <c r="B245" s="100" t="s">
        <v>2241</v>
      </c>
      <c r="C245" s="100">
        <v>4050</v>
      </c>
      <c r="D245" s="100">
        <v>4020</v>
      </c>
      <c r="E245" s="100">
        <v>4160</v>
      </c>
      <c r="F245" s="133">
        <v>840</v>
      </c>
    </row>
    <row r="246" spans="1:6" s="125" customFormat="1" ht="14.25" customHeight="1">
      <c r="A246" s="99" t="s">
        <v>286</v>
      </c>
      <c r="B246" s="102" t="s">
        <v>2254</v>
      </c>
      <c r="C246" s="102">
        <v>4010</v>
      </c>
      <c r="D246" s="102">
        <v>3960</v>
      </c>
      <c r="E246" s="102">
        <v>4130</v>
      </c>
      <c r="F246" s="136">
        <v>840</v>
      </c>
    </row>
    <row r="247" spans="1:6" s="125" customFormat="1" ht="14.25" customHeight="1">
      <c r="A247" s="99" t="s">
        <v>286</v>
      </c>
      <c r="B247" s="102" t="s">
        <v>2268</v>
      </c>
      <c r="C247" s="102">
        <v>3170</v>
      </c>
      <c r="D247" s="102">
        <v>3140</v>
      </c>
      <c r="E247" s="102">
        <v>3270</v>
      </c>
      <c r="F247" s="136">
        <v>640</v>
      </c>
    </row>
    <row r="248" spans="1:6" s="125" customFormat="1" ht="14.25" customHeight="1">
      <c r="A248" s="99" t="s">
        <v>286</v>
      </c>
      <c r="B248" s="102" t="s">
        <v>2280</v>
      </c>
      <c r="C248" s="102">
        <v>3140</v>
      </c>
      <c r="D248" s="102">
        <v>3120</v>
      </c>
      <c r="E248" s="102">
        <v>3240</v>
      </c>
      <c r="F248" s="136">
        <v>620</v>
      </c>
    </row>
    <row r="249" spans="1:6" s="125" customFormat="1" ht="14.25" customHeight="1">
      <c r="A249" s="99" t="s">
        <v>286</v>
      </c>
      <c r="B249" s="102" t="s">
        <v>2292</v>
      </c>
      <c r="C249" s="102">
        <v>3200</v>
      </c>
      <c r="D249" s="102">
        <v>3100</v>
      </c>
      <c r="E249" s="102">
        <v>3230</v>
      </c>
      <c r="F249" s="136">
        <v>750</v>
      </c>
    </row>
    <row r="250" spans="1:6" s="125" customFormat="1" ht="14.25" customHeight="1">
      <c r="A250" s="99" t="s">
        <v>286</v>
      </c>
      <c r="B250" s="102" t="s">
        <v>2303</v>
      </c>
      <c r="C250" s="102">
        <v>4060</v>
      </c>
      <c r="D250" s="102">
        <v>4000</v>
      </c>
      <c r="E250" s="102">
        <v>4140</v>
      </c>
      <c r="F250" s="136">
        <v>790</v>
      </c>
    </row>
    <row r="251" spans="1:6" s="125" customFormat="1" ht="14.25" customHeight="1">
      <c r="A251" s="99" t="s">
        <v>286</v>
      </c>
      <c r="B251" s="102" t="s">
        <v>2314</v>
      </c>
      <c r="C251" s="102">
        <v>3990</v>
      </c>
      <c r="D251" s="102">
        <v>3970</v>
      </c>
      <c r="E251" s="102">
        <v>4110</v>
      </c>
      <c r="F251" s="136">
        <v>730</v>
      </c>
    </row>
    <row r="252" spans="1:6" s="125" customFormat="1" ht="14.25" customHeight="1">
      <c r="A252" s="99" t="s">
        <v>286</v>
      </c>
      <c r="B252" s="102" t="s">
        <v>2325</v>
      </c>
      <c r="C252" s="102">
        <v>3560</v>
      </c>
      <c r="D252" s="102">
        <v>3530</v>
      </c>
      <c r="E252" s="102">
        <v>3650</v>
      </c>
      <c r="F252" s="136">
        <v>750</v>
      </c>
    </row>
    <row r="253" spans="1:6" s="125" customFormat="1" ht="14.25" customHeight="1">
      <c r="A253" s="99" t="s">
        <v>286</v>
      </c>
      <c r="B253" s="102" t="s">
        <v>2335</v>
      </c>
      <c r="C253" s="102">
        <v>3780</v>
      </c>
      <c r="D253" s="102">
        <v>3750</v>
      </c>
      <c r="E253" s="102">
        <v>3870</v>
      </c>
      <c r="F253" s="136">
        <v>770</v>
      </c>
    </row>
    <row r="254" spans="1:6" s="125" customFormat="1" ht="14.25" customHeight="1">
      <c r="A254" s="99" t="s">
        <v>286</v>
      </c>
      <c r="B254" s="102" t="s">
        <v>2345</v>
      </c>
      <c r="C254" s="142"/>
      <c r="D254" s="142"/>
      <c r="E254" s="142"/>
      <c r="F254" s="136">
        <v>740</v>
      </c>
    </row>
    <row r="255" spans="1:6" s="125" customFormat="1" ht="14.25" customHeight="1">
      <c r="A255" s="99" t="s">
        <v>286</v>
      </c>
      <c r="B255" s="102" t="s">
        <v>2355</v>
      </c>
      <c r="C255" s="142"/>
      <c r="D255" s="142"/>
      <c r="E255" s="142"/>
      <c r="F255" s="136">
        <v>760</v>
      </c>
    </row>
    <row r="256" spans="1:6" s="125" customFormat="1" ht="14.25" customHeight="1">
      <c r="A256" s="99" t="s">
        <v>286</v>
      </c>
      <c r="B256" s="102" t="s">
        <v>2365</v>
      </c>
      <c r="C256" s="102">
        <v>3760</v>
      </c>
      <c r="D256" s="102">
        <v>3730</v>
      </c>
      <c r="E256" s="102">
        <v>3870</v>
      </c>
      <c r="F256" s="136">
        <v>830</v>
      </c>
    </row>
    <row r="257" spans="1:6" s="125" customFormat="1" ht="14.25" customHeight="1">
      <c r="A257" s="99" t="s">
        <v>286</v>
      </c>
      <c r="B257" s="102" t="s">
        <v>2375</v>
      </c>
      <c r="C257" s="102">
        <v>3570</v>
      </c>
      <c r="D257" s="102">
        <v>3540</v>
      </c>
      <c r="E257" s="102">
        <v>3650</v>
      </c>
      <c r="F257" s="136">
        <v>790</v>
      </c>
    </row>
    <row r="258" spans="1:6" s="125" customFormat="1" ht="14.25" customHeight="1">
      <c r="A258" s="99" t="s">
        <v>286</v>
      </c>
      <c r="B258" s="102" t="s">
        <v>2385</v>
      </c>
      <c r="C258" s="102">
        <v>3410</v>
      </c>
      <c r="D258" s="102">
        <v>3380</v>
      </c>
      <c r="E258" s="102">
        <v>3500</v>
      </c>
      <c r="F258" s="136">
        <v>830</v>
      </c>
    </row>
    <row r="259" spans="1:6" s="125" customFormat="1" ht="14.25" customHeight="1">
      <c r="A259" s="99" t="s">
        <v>286</v>
      </c>
      <c r="B259" s="102" t="s">
        <v>2395</v>
      </c>
      <c r="C259" s="102">
        <v>3870</v>
      </c>
      <c r="D259" s="102">
        <v>3840</v>
      </c>
      <c r="E259" s="102">
        <v>3970</v>
      </c>
      <c r="F259" s="136">
        <v>830</v>
      </c>
    </row>
    <row r="260" spans="1:6" s="125" customFormat="1" ht="14.25" customHeight="1">
      <c r="A260" s="99" t="s">
        <v>286</v>
      </c>
      <c r="B260" s="102" t="s">
        <v>2405</v>
      </c>
      <c r="C260" s="102">
        <v>3700</v>
      </c>
      <c r="D260" s="102">
        <v>3660</v>
      </c>
      <c r="E260" s="102">
        <v>3810</v>
      </c>
      <c r="F260" s="136">
        <v>790</v>
      </c>
    </row>
    <row r="261" spans="1:6" s="125" customFormat="1" ht="14.25" customHeight="1">
      <c r="A261" s="99" t="s">
        <v>286</v>
      </c>
      <c r="B261" s="102" t="s">
        <v>2415</v>
      </c>
      <c r="C261" s="102">
        <v>3470</v>
      </c>
      <c r="D261" s="102">
        <v>3430</v>
      </c>
      <c r="E261" s="102">
        <v>3640</v>
      </c>
      <c r="F261" s="136">
        <v>760</v>
      </c>
    </row>
    <row r="262" spans="1:6" s="125" customFormat="1" ht="14.25" customHeight="1">
      <c r="A262" s="99" t="s">
        <v>286</v>
      </c>
      <c r="B262" s="102" t="s">
        <v>2425</v>
      </c>
      <c r="C262" s="102">
        <v>3510</v>
      </c>
      <c r="D262" s="102">
        <v>3470</v>
      </c>
      <c r="E262" s="102">
        <v>3680</v>
      </c>
      <c r="F262" s="139"/>
    </row>
    <row r="263" spans="1:6" s="125" customFormat="1" ht="14.25" customHeight="1">
      <c r="A263" s="99" t="s">
        <v>286</v>
      </c>
      <c r="B263" s="102" t="s">
        <v>2435</v>
      </c>
      <c r="C263" s="102">
        <v>3960</v>
      </c>
      <c r="D263" s="102">
        <v>3930</v>
      </c>
      <c r="E263" s="102">
        <v>4070</v>
      </c>
      <c r="F263" s="136">
        <v>830</v>
      </c>
    </row>
    <row r="264" spans="1:6" s="125" customFormat="1" ht="14.25" customHeight="1">
      <c r="A264" s="99" t="s">
        <v>286</v>
      </c>
      <c r="B264" s="102" t="s">
        <v>2444</v>
      </c>
      <c r="C264" s="102">
        <v>4010</v>
      </c>
      <c r="D264" s="102">
        <v>3980</v>
      </c>
      <c r="E264" s="102">
        <v>4150</v>
      </c>
      <c r="F264" s="136">
        <v>760</v>
      </c>
    </row>
    <row r="265" spans="1:6" s="125" customFormat="1" ht="14.25" customHeight="1">
      <c r="A265" s="99" t="s">
        <v>286</v>
      </c>
      <c r="B265" s="102" t="s">
        <v>2452</v>
      </c>
      <c r="C265" s="102">
        <v>3910</v>
      </c>
      <c r="D265" s="102">
        <v>3890</v>
      </c>
      <c r="E265" s="102">
        <v>4040</v>
      </c>
      <c r="F265" s="136">
        <v>780</v>
      </c>
    </row>
    <row r="266" spans="1:6" s="125" customFormat="1" ht="14.25" customHeight="1">
      <c r="A266" s="99" t="s">
        <v>286</v>
      </c>
      <c r="B266" s="102" t="s">
        <v>2460</v>
      </c>
      <c r="C266" s="102">
        <v>3930</v>
      </c>
      <c r="D266" s="102">
        <v>3900</v>
      </c>
      <c r="E266" s="102">
        <v>4080</v>
      </c>
      <c r="F266" s="136">
        <v>770</v>
      </c>
    </row>
    <row r="267" spans="1:6" s="125" customFormat="1" ht="14.25" customHeight="1">
      <c r="A267" s="99" t="s">
        <v>286</v>
      </c>
      <c r="B267" s="102" t="s">
        <v>2467</v>
      </c>
      <c r="C267" s="102">
        <v>3800</v>
      </c>
      <c r="D267" s="102">
        <v>3780</v>
      </c>
      <c r="E267" s="102">
        <v>3930</v>
      </c>
      <c r="F267" s="139"/>
    </row>
    <row r="268" spans="1:6" s="125" customFormat="1" ht="14.25" customHeight="1">
      <c r="A268" s="99" t="s">
        <v>286</v>
      </c>
      <c r="B268" s="102" t="s">
        <v>2474</v>
      </c>
      <c r="C268" s="102">
        <v>3460</v>
      </c>
      <c r="D268" s="102">
        <v>3430</v>
      </c>
      <c r="E268" s="102">
        <v>3560</v>
      </c>
      <c r="F268" s="136">
        <v>840</v>
      </c>
    </row>
    <row r="269" spans="1:6" s="125" customFormat="1" ht="14.25" customHeight="1">
      <c r="A269" s="99" t="s">
        <v>286</v>
      </c>
      <c r="B269" s="102" t="s">
        <v>2481</v>
      </c>
      <c r="C269" s="102">
        <v>3210</v>
      </c>
      <c r="D269" s="102">
        <v>3190</v>
      </c>
      <c r="E269" s="102">
        <v>3310</v>
      </c>
      <c r="F269" s="136">
        <v>730</v>
      </c>
    </row>
    <row r="270" spans="1:6" s="125" customFormat="1" ht="14.25" customHeight="1">
      <c r="A270" s="99" t="s">
        <v>286</v>
      </c>
      <c r="B270" s="102" t="s">
        <v>2488</v>
      </c>
      <c r="C270" s="102">
        <v>3240</v>
      </c>
      <c r="D270" s="102">
        <v>3210</v>
      </c>
      <c r="E270" s="102">
        <v>3390</v>
      </c>
      <c r="F270" s="136">
        <v>820</v>
      </c>
    </row>
    <row r="271" spans="1:6" s="125" customFormat="1" ht="14.25" customHeight="1">
      <c r="A271" s="99" t="s">
        <v>286</v>
      </c>
      <c r="B271" s="102" t="s">
        <v>2495</v>
      </c>
      <c r="C271" s="102">
        <v>3300</v>
      </c>
      <c r="D271" s="102">
        <v>3270</v>
      </c>
      <c r="E271" s="102">
        <v>3380</v>
      </c>
      <c r="F271" s="136">
        <v>750</v>
      </c>
    </row>
    <row r="272" spans="1:6" s="125" customFormat="1" ht="14.25" customHeight="1">
      <c r="A272" s="99" t="s">
        <v>286</v>
      </c>
      <c r="B272" s="102" t="s">
        <v>2500</v>
      </c>
      <c r="C272" s="142"/>
      <c r="D272" s="142"/>
      <c r="E272" s="142"/>
      <c r="F272" s="136">
        <v>740</v>
      </c>
    </row>
    <row r="273" spans="1:6" s="125" customFormat="1" ht="14.25" customHeight="1">
      <c r="A273" s="99" t="s">
        <v>286</v>
      </c>
      <c r="B273" s="102" t="s">
        <v>2505</v>
      </c>
      <c r="C273" s="102">
        <v>3130</v>
      </c>
      <c r="D273" s="102">
        <v>3100</v>
      </c>
      <c r="E273" s="102">
        <v>3230</v>
      </c>
      <c r="F273" s="136">
        <v>700</v>
      </c>
    </row>
    <row r="274" spans="1:6" s="125" customFormat="1" ht="14.25" customHeight="1">
      <c r="A274" s="99" t="s">
        <v>286</v>
      </c>
      <c r="B274" s="102" t="s">
        <v>2510</v>
      </c>
      <c r="C274" s="102">
        <v>3460</v>
      </c>
      <c r="D274" s="102">
        <v>3430</v>
      </c>
      <c r="E274" s="102">
        <v>3560</v>
      </c>
      <c r="F274" s="136">
        <v>690</v>
      </c>
    </row>
    <row r="275" spans="1:6" s="125" customFormat="1" ht="14.25" customHeight="1">
      <c r="A275" s="99" t="s">
        <v>286</v>
      </c>
      <c r="B275" s="102" t="s">
        <v>2515</v>
      </c>
      <c r="C275" s="102">
        <v>4040</v>
      </c>
      <c r="D275" s="102">
        <v>4020</v>
      </c>
      <c r="E275" s="102">
        <v>4160</v>
      </c>
      <c r="F275" s="136">
        <v>820</v>
      </c>
    </row>
    <row r="276" spans="1:6" s="125" customFormat="1" ht="14.25" customHeight="1">
      <c r="A276" s="99" t="s">
        <v>286</v>
      </c>
      <c r="B276" s="102" t="s">
        <v>2520</v>
      </c>
      <c r="C276" s="102">
        <v>3270</v>
      </c>
      <c r="D276" s="102">
        <v>3240</v>
      </c>
      <c r="E276" s="102">
        <v>3350</v>
      </c>
      <c r="F276" s="136">
        <v>680</v>
      </c>
    </row>
    <row r="277" spans="1:6" s="125" customFormat="1" ht="14.25" customHeight="1">
      <c r="A277" s="99" t="s">
        <v>286</v>
      </c>
      <c r="B277" s="102" t="s">
        <v>2525</v>
      </c>
      <c r="C277" s="102">
        <v>2930</v>
      </c>
      <c r="D277" s="102">
        <v>2900</v>
      </c>
      <c r="E277" s="102">
        <v>3000</v>
      </c>
      <c r="F277" s="136">
        <v>640</v>
      </c>
    </row>
    <row r="278" spans="1:6" s="125" customFormat="1" ht="14.25" customHeight="1">
      <c r="A278" s="99" t="s">
        <v>286</v>
      </c>
      <c r="B278" s="102" t="s">
        <v>2530</v>
      </c>
      <c r="C278" s="102">
        <v>4080</v>
      </c>
      <c r="D278" s="102">
        <v>4030</v>
      </c>
      <c r="E278" s="102">
        <v>4140</v>
      </c>
      <c r="F278" s="136">
        <v>850</v>
      </c>
    </row>
    <row r="279" spans="1:6" s="125" customFormat="1" ht="14.25" customHeight="1">
      <c r="A279" s="99" t="s">
        <v>286</v>
      </c>
      <c r="B279" s="102" t="s">
        <v>2534</v>
      </c>
      <c r="C279" s="102"/>
      <c r="D279" s="102"/>
      <c r="E279" s="102"/>
      <c r="F279" s="136">
        <v>760</v>
      </c>
    </row>
    <row r="280" spans="1:6" s="125" customFormat="1" ht="14.25" customHeight="1">
      <c r="A280" s="99" t="s">
        <v>286</v>
      </c>
      <c r="B280" s="102" t="s">
        <v>2538</v>
      </c>
      <c r="C280" s="102"/>
      <c r="D280" s="102"/>
      <c r="E280" s="102"/>
      <c r="F280" s="136">
        <v>760</v>
      </c>
    </row>
    <row r="281" spans="1:6" s="125" customFormat="1" ht="14.25" customHeight="1">
      <c r="A281" s="99" t="s">
        <v>286</v>
      </c>
      <c r="B281" s="102" t="s">
        <v>2542</v>
      </c>
      <c r="C281" s="102"/>
      <c r="D281" s="102"/>
      <c r="E281" s="102"/>
      <c r="F281" s="136">
        <v>780</v>
      </c>
    </row>
    <row r="282" spans="1:6" s="125" customFormat="1" ht="14.25" customHeight="1">
      <c r="A282" s="99" t="s">
        <v>286</v>
      </c>
      <c r="B282" s="102" t="s">
        <v>2546</v>
      </c>
      <c r="C282" s="102"/>
      <c r="D282" s="102"/>
      <c r="E282" s="102"/>
      <c r="F282" s="136">
        <v>730</v>
      </c>
    </row>
    <row r="283" spans="1:6" s="125" customFormat="1" ht="14.25" customHeight="1">
      <c r="A283" s="99" t="s">
        <v>286</v>
      </c>
      <c r="B283" s="102" t="s">
        <v>2550</v>
      </c>
      <c r="C283" s="102"/>
      <c r="D283" s="102"/>
      <c r="E283" s="102"/>
      <c r="F283" s="136">
        <v>770</v>
      </c>
    </row>
    <row r="284" spans="1:6" s="125" customFormat="1" ht="14.25" customHeight="1">
      <c r="A284" s="99" t="s">
        <v>286</v>
      </c>
      <c r="B284" s="102" t="s">
        <v>2553</v>
      </c>
      <c r="C284" s="102"/>
      <c r="D284" s="102"/>
      <c r="E284" s="102"/>
      <c r="F284" s="136">
        <v>640</v>
      </c>
    </row>
    <row r="285" spans="1:6" s="125" customFormat="1" ht="14.25" customHeight="1">
      <c r="A285" s="99" t="s">
        <v>286</v>
      </c>
      <c r="B285" s="102" t="s">
        <v>2556</v>
      </c>
      <c r="C285" s="102"/>
      <c r="D285" s="102"/>
      <c r="E285" s="102"/>
      <c r="F285" s="136">
        <v>640</v>
      </c>
    </row>
    <row r="286" spans="1:6" s="125" customFormat="1" ht="14.25" customHeight="1">
      <c r="A286" s="99" t="s">
        <v>286</v>
      </c>
      <c r="B286" s="102" t="s">
        <v>2559</v>
      </c>
      <c r="C286" s="102"/>
      <c r="D286" s="102"/>
      <c r="E286" s="102"/>
      <c r="F286" s="136">
        <v>850</v>
      </c>
    </row>
    <row r="287" spans="1:6" s="125" customFormat="1" ht="14.25" customHeight="1">
      <c r="A287" s="99" t="s">
        <v>286</v>
      </c>
      <c r="B287" s="102" t="s">
        <v>2562</v>
      </c>
      <c r="C287" s="102"/>
      <c r="D287" s="102"/>
      <c r="E287" s="102"/>
      <c r="F287" s="136">
        <v>760</v>
      </c>
    </row>
    <row r="288" spans="1:6" s="125" customFormat="1" ht="14.25" customHeight="1">
      <c r="A288" s="99" t="s">
        <v>286</v>
      </c>
      <c r="B288" s="102" t="s">
        <v>2565</v>
      </c>
      <c r="C288" s="102"/>
      <c r="D288" s="102"/>
      <c r="E288" s="102"/>
      <c r="F288" s="136">
        <v>830</v>
      </c>
    </row>
    <row r="289" spans="1:6" s="125" customFormat="1" ht="14.25" customHeight="1">
      <c r="A289" s="99" t="s">
        <v>286</v>
      </c>
      <c r="B289" s="114" t="s">
        <v>2568</v>
      </c>
      <c r="C289" s="114"/>
      <c r="D289" s="114"/>
      <c r="E289" s="114"/>
      <c r="F289" s="138">
        <v>680</v>
      </c>
    </row>
    <row r="290" spans="1:6" s="125" customFormat="1" ht="14.25" customHeight="1">
      <c r="A290" s="99" t="s">
        <v>289</v>
      </c>
      <c r="B290" s="100" t="s">
        <v>2242</v>
      </c>
      <c r="C290" s="100">
        <v>2770</v>
      </c>
      <c r="D290" s="100">
        <v>2740</v>
      </c>
      <c r="E290" s="100">
        <v>2720</v>
      </c>
      <c r="F290" s="143"/>
    </row>
    <row r="291" spans="1:6" s="125" customFormat="1" ht="14.25" customHeight="1">
      <c r="A291" s="99" t="s">
        <v>289</v>
      </c>
      <c r="B291" s="102" t="s">
        <v>2255</v>
      </c>
      <c r="C291" s="102">
        <v>2670</v>
      </c>
      <c r="D291" s="102">
        <v>2640</v>
      </c>
      <c r="E291" s="102">
        <v>2620</v>
      </c>
      <c r="F291" s="139"/>
    </row>
    <row r="292" spans="1:6" s="125" customFormat="1" ht="14.25" customHeight="1">
      <c r="A292" s="99" t="s">
        <v>289</v>
      </c>
      <c r="B292" s="102" t="s">
        <v>2269</v>
      </c>
      <c r="C292" s="102">
        <v>2180</v>
      </c>
      <c r="D292" s="102">
        <v>2140</v>
      </c>
      <c r="E292" s="102">
        <v>2120</v>
      </c>
      <c r="F292" s="136">
        <v>490</v>
      </c>
    </row>
    <row r="293" spans="1:6" s="125" customFormat="1" ht="14.25" customHeight="1">
      <c r="A293" s="99" t="s">
        <v>289</v>
      </c>
      <c r="B293" s="102" t="s">
        <v>2575</v>
      </c>
      <c r="C293" s="102"/>
      <c r="D293" s="102"/>
      <c r="E293" s="102"/>
      <c r="F293" s="136">
        <v>470</v>
      </c>
    </row>
    <row r="294" spans="1:6" s="125" customFormat="1" ht="14.25" customHeight="1">
      <c r="A294" s="99" t="s">
        <v>289</v>
      </c>
      <c r="B294" s="102" t="s">
        <v>2281</v>
      </c>
      <c r="C294" s="102">
        <v>2730</v>
      </c>
      <c r="D294" s="102">
        <v>2700</v>
      </c>
      <c r="E294" s="102">
        <v>2680</v>
      </c>
      <c r="F294" s="136">
        <v>490</v>
      </c>
    </row>
    <row r="295" spans="1:6" s="125" customFormat="1" ht="14.25" customHeight="1">
      <c r="A295" s="99" t="s">
        <v>289</v>
      </c>
      <c r="B295" s="102" t="s">
        <v>2293</v>
      </c>
      <c r="C295" s="102">
        <v>2380</v>
      </c>
      <c r="D295" s="102">
        <v>2350</v>
      </c>
      <c r="E295" s="102">
        <v>2330</v>
      </c>
      <c r="F295" s="136">
        <v>530</v>
      </c>
    </row>
    <row r="296" spans="1:6" s="125" customFormat="1" ht="14.25" customHeight="1">
      <c r="A296" s="99" t="s">
        <v>289</v>
      </c>
      <c r="B296" s="102" t="s">
        <v>2304</v>
      </c>
      <c r="C296" s="102">
        <v>2650</v>
      </c>
      <c r="D296" s="102">
        <v>2620</v>
      </c>
      <c r="E296" s="102">
        <v>2590</v>
      </c>
      <c r="F296" s="136">
        <v>590</v>
      </c>
    </row>
    <row r="297" spans="1:6" s="125" customFormat="1" ht="14.25" customHeight="1">
      <c r="A297" s="99" t="s">
        <v>289</v>
      </c>
      <c r="B297" s="102" t="s">
        <v>2315</v>
      </c>
      <c r="C297" s="102">
        <v>2700</v>
      </c>
      <c r="D297" s="102">
        <v>2670</v>
      </c>
      <c r="E297" s="102">
        <v>2650</v>
      </c>
      <c r="F297" s="136">
        <v>630</v>
      </c>
    </row>
    <row r="298" spans="1:6" s="125" customFormat="1" ht="14.25" customHeight="1">
      <c r="A298" s="99" t="s">
        <v>289</v>
      </c>
      <c r="B298" s="102" t="s">
        <v>2326</v>
      </c>
      <c r="C298" s="102">
        <v>2650</v>
      </c>
      <c r="D298" s="102">
        <v>2620</v>
      </c>
      <c r="E298" s="102">
        <v>2590</v>
      </c>
      <c r="F298" s="136">
        <v>640</v>
      </c>
    </row>
    <row r="299" spans="1:6" s="125" customFormat="1" ht="14.25" customHeight="1">
      <c r="A299" s="99" t="s">
        <v>289</v>
      </c>
      <c r="B299" s="102" t="s">
        <v>2336</v>
      </c>
      <c r="C299" s="102">
        <v>2500</v>
      </c>
      <c r="D299" s="102">
        <v>2480</v>
      </c>
      <c r="E299" s="102">
        <v>2460</v>
      </c>
      <c r="F299" s="139"/>
    </row>
    <row r="300" spans="1:6" s="125" customFormat="1" ht="14.25" customHeight="1">
      <c r="A300" s="99" t="s">
        <v>289</v>
      </c>
      <c r="B300" s="102" t="s">
        <v>2346</v>
      </c>
      <c r="C300" s="102">
        <v>2760</v>
      </c>
      <c r="D300" s="102">
        <v>2730</v>
      </c>
      <c r="E300" s="102">
        <v>2700</v>
      </c>
      <c r="F300" s="136">
        <v>630</v>
      </c>
    </row>
    <row r="301" spans="1:6" s="125" customFormat="1" ht="14.25" customHeight="1">
      <c r="A301" s="99" t="s">
        <v>289</v>
      </c>
      <c r="B301" s="102" t="s">
        <v>2356</v>
      </c>
      <c r="C301" s="102">
        <v>2510</v>
      </c>
      <c r="D301" s="102">
        <v>2480</v>
      </c>
      <c r="E301" s="102">
        <v>2460</v>
      </c>
      <c r="F301" s="139"/>
    </row>
    <row r="302" spans="1:6" s="125" customFormat="1" ht="14.25" customHeight="1">
      <c r="A302" s="99" t="s">
        <v>289</v>
      </c>
      <c r="B302" s="102" t="s">
        <v>2366</v>
      </c>
      <c r="C302" s="102">
        <v>2480</v>
      </c>
      <c r="D302" s="102">
        <v>2450</v>
      </c>
      <c r="E302" s="102">
        <v>2420</v>
      </c>
      <c r="F302" s="136">
        <v>600</v>
      </c>
    </row>
    <row r="303" spans="1:6" s="125" customFormat="1" ht="14.25" customHeight="1">
      <c r="A303" s="99" t="s">
        <v>289</v>
      </c>
      <c r="B303" s="102" t="s">
        <v>2376</v>
      </c>
      <c r="C303" s="102">
        <v>2270</v>
      </c>
      <c r="D303" s="102">
        <v>2240</v>
      </c>
      <c r="E303" s="102">
        <v>2210</v>
      </c>
      <c r="F303" s="136">
        <v>540</v>
      </c>
    </row>
    <row r="304" spans="1:6" s="125" customFormat="1" ht="14.25" customHeight="1">
      <c r="A304" s="99" t="s">
        <v>289</v>
      </c>
      <c r="B304" s="102" t="s">
        <v>2386</v>
      </c>
      <c r="C304" s="102">
        <v>2310</v>
      </c>
      <c r="D304" s="102">
        <v>2290</v>
      </c>
      <c r="E304" s="102">
        <v>2270</v>
      </c>
      <c r="F304" s="139"/>
    </row>
    <row r="305" spans="1:6" s="125" customFormat="1" ht="14.25" customHeight="1">
      <c r="A305" s="99" t="s">
        <v>289</v>
      </c>
      <c r="B305" s="102" t="s">
        <v>2396</v>
      </c>
      <c r="C305" s="102">
        <v>2490</v>
      </c>
      <c r="D305" s="102">
        <v>2470</v>
      </c>
      <c r="E305" s="102">
        <v>2440</v>
      </c>
      <c r="F305" s="136">
        <v>560</v>
      </c>
    </row>
    <row r="306" spans="1:6" s="125" customFormat="1" ht="14.25" customHeight="1">
      <c r="A306" s="99" t="s">
        <v>289</v>
      </c>
      <c r="B306" s="102" t="s">
        <v>2406</v>
      </c>
      <c r="C306" s="102">
        <v>2420</v>
      </c>
      <c r="D306" s="102">
        <v>2400</v>
      </c>
      <c r="E306" s="102">
        <v>2380</v>
      </c>
      <c r="F306" s="139"/>
    </row>
    <row r="307" spans="1:6" s="125" customFormat="1" ht="14.25" customHeight="1">
      <c r="A307" s="99" t="s">
        <v>289</v>
      </c>
      <c r="B307" s="102" t="s">
        <v>2416</v>
      </c>
      <c r="C307" s="102">
        <v>2770</v>
      </c>
      <c r="D307" s="102">
        <v>2740</v>
      </c>
      <c r="E307" s="102">
        <v>2710</v>
      </c>
      <c r="F307" s="136">
        <v>650</v>
      </c>
    </row>
    <row r="308" spans="1:6" s="125" customFormat="1" ht="14.25" customHeight="1">
      <c r="A308" s="99" t="s">
        <v>289</v>
      </c>
      <c r="B308" s="102" t="s">
        <v>2426</v>
      </c>
      <c r="C308" s="102">
        <v>2610</v>
      </c>
      <c r="D308" s="102">
        <v>2580</v>
      </c>
      <c r="E308" s="102">
        <v>2550</v>
      </c>
      <c r="F308" s="136">
        <v>580</v>
      </c>
    </row>
    <row r="309" spans="1:6" s="125" customFormat="1" ht="14.25" customHeight="1">
      <c r="A309" s="99" t="s">
        <v>289</v>
      </c>
      <c r="B309" s="102" t="s">
        <v>2436</v>
      </c>
      <c r="C309" s="102">
        <v>2690</v>
      </c>
      <c r="D309" s="102">
        <v>2670</v>
      </c>
      <c r="E309" s="102">
        <v>2650</v>
      </c>
      <c r="F309" s="139"/>
    </row>
    <row r="310" spans="1:6" s="125" customFormat="1" ht="14.25" customHeight="1">
      <c r="A310" s="99" t="s">
        <v>289</v>
      </c>
      <c r="B310" s="102" t="s">
        <v>2445</v>
      </c>
      <c r="C310" s="102">
        <v>2360</v>
      </c>
      <c r="D310" s="102">
        <v>2330</v>
      </c>
      <c r="E310" s="102">
        <v>2310</v>
      </c>
      <c r="F310" s="136">
        <v>560</v>
      </c>
    </row>
    <row r="311" spans="1:6" s="125" customFormat="1" ht="14.25" customHeight="1">
      <c r="A311" s="99" t="s">
        <v>289</v>
      </c>
      <c r="B311" s="102" t="s">
        <v>2453</v>
      </c>
      <c r="C311" s="102">
        <v>1970</v>
      </c>
      <c r="D311" s="102">
        <v>1950</v>
      </c>
      <c r="E311" s="102">
        <v>1920</v>
      </c>
      <c r="F311" s="136">
        <v>470</v>
      </c>
    </row>
    <row r="312" spans="1:6" s="125" customFormat="1" ht="14.25" customHeight="1">
      <c r="A312" s="99" t="s">
        <v>289</v>
      </c>
      <c r="B312" s="102" t="s">
        <v>2461</v>
      </c>
      <c r="C312" s="102">
        <v>2230</v>
      </c>
      <c r="D312" s="102">
        <v>2200</v>
      </c>
      <c r="E312" s="102">
        <v>2170</v>
      </c>
      <c r="F312" s="136">
        <v>460</v>
      </c>
    </row>
    <row r="313" spans="1:6" s="125" customFormat="1" ht="14.25" customHeight="1">
      <c r="A313" s="99" t="s">
        <v>289</v>
      </c>
      <c r="B313" s="102" t="s">
        <v>2468</v>
      </c>
      <c r="C313" s="102">
        <v>2770</v>
      </c>
      <c r="D313" s="102">
        <v>2740</v>
      </c>
      <c r="E313" s="102">
        <v>2710</v>
      </c>
      <c r="F313" s="136">
        <v>610</v>
      </c>
    </row>
    <row r="314" spans="1:6" s="125" customFormat="1" ht="14.25" customHeight="1">
      <c r="A314" s="99" t="s">
        <v>289</v>
      </c>
      <c r="B314" s="102" t="s">
        <v>2475</v>
      </c>
      <c r="C314" s="102"/>
      <c r="D314" s="102"/>
      <c r="E314" s="102"/>
      <c r="F314" s="136">
        <v>490</v>
      </c>
    </row>
    <row r="315" spans="1:6" s="125" customFormat="1" ht="14.25" customHeight="1">
      <c r="A315" s="99" t="s">
        <v>289</v>
      </c>
      <c r="B315" s="102" t="s">
        <v>2482</v>
      </c>
      <c r="C315" s="102"/>
      <c r="D315" s="102"/>
      <c r="E315" s="102"/>
      <c r="F315" s="136">
        <v>520</v>
      </c>
    </row>
    <row r="316" spans="1:6" s="125" customFormat="1" ht="14.25" customHeight="1">
      <c r="A316" s="99" t="s">
        <v>289</v>
      </c>
      <c r="B316" s="114" t="s">
        <v>2489</v>
      </c>
      <c r="C316" s="114"/>
      <c r="D316" s="114"/>
      <c r="E316" s="114"/>
      <c r="F316" s="138">
        <v>460</v>
      </c>
    </row>
    <row r="317" spans="1:6" s="125" customFormat="1" ht="14.25" customHeight="1">
      <c r="A317" s="99" t="s">
        <v>292</v>
      </c>
      <c r="B317" s="100" t="s">
        <v>2243</v>
      </c>
      <c r="C317" s="100">
        <v>1200</v>
      </c>
      <c r="D317" s="100">
        <v>1180</v>
      </c>
      <c r="E317" s="100">
        <v>1160</v>
      </c>
      <c r="F317" s="133">
        <v>370</v>
      </c>
    </row>
    <row r="318" spans="1:6" s="125" customFormat="1" ht="14.25" customHeight="1">
      <c r="A318" s="99" t="s">
        <v>292</v>
      </c>
      <c r="B318" s="102" t="s">
        <v>2256</v>
      </c>
      <c r="C318" s="102">
        <v>1090</v>
      </c>
      <c r="D318" s="102">
        <v>1060</v>
      </c>
      <c r="E318" s="102">
        <v>1040</v>
      </c>
      <c r="F318" s="139"/>
    </row>
    <row r="319" spans="1:6" s="125" customFormat="1" ht="14.25" customHeight="1">
      <c r="A319" s="99" t="s">
        <v>292</v>
      </c>
      <c r="B319" s="102" t="s">
        <v>2270</v>
      </c>
      <c r="C319" s="102">
        <v>1520</v>
      </c>
      <c r="D319" s="102">
        <v>1470</v>
      </c>
      <c r="E319" s="102">
        <v>1440</v>
      </c>
      <c r="F319" s="136">
        <v>370</v>
      </c>
    </row>
    <row r="320" spans="1:6" s="125" customFormat="1" ht="14.25" customHeight="1">
      <c r="A320" s="99" t="s">
        <v>292</v>
      </c>
      <c r="B320" s="102" t="s">
        <v>2282</v>
      </c>
      <c r="C320" s="102">
        <v>1360</v>
      </c>
      <c r="D320" s="102">
        <v>1300</v>
      </c>
      <c r="E320" s="102">
        <v>1270</v>
      </c>
      <c r="F320" s="139"/>
    </row>
    <row r="321" spans="1:6" s="125" customFormat="1" ht="14.25" customHeight="1">
      <c r="A321" s="99" t="s">
        <v>292</v>
      </c>
      <c r="B321" s="102" t="s">
        <v>2294</v>
      </c>
      <c r="C321" s="102">
        <v>1750</v>
      </c>
      <c r="D321" s="102">
        <v>1690</v>
      </c>
      <c r="E321" s="102">
        <v>1660</v>
      </c>
      <c r="F321" s="139"/>
    </row>
    <row r="322" spans="1:6" s="125" customFormat="1" ht="14.25" customHeight="1">
      <c r="A322" s="99" t="s">
        <v>292</v>
      </c>
      <c r="B322" s="102" t="s">
        <v>2305</v>
      </c>
      <c r="C322" s="102">
        <v>1650</v>
      </c>
      <c r="D322" s="102">
        <v>1610</v>
      </c>
      <c r="E322" s="102">
        <v>1580</v>
      </c>
      <c r="F322" s="136">
        <v>500</v>
      </c>
    </row>
    <row r="323" spans="1:6" s="125" customFormat="1" ht="14.25" customHeight="1">
      <c r="A323" s="99" t="s">
        <v>292</v>
      </c>
      <c r="B323" s="102" t="s">
        <v>2316</v>
      </c>
      <c r="C323" s="102">
        <v>1780</v>
      </c>
      <c r="D323" s="102">
        <v>1740</v>
      </c>
      <c r="E323" s="102">
        <v>1720</v>
      </c>
      <c r="F323" s="139"/>
    </row>
    <row r="324" spans="1:6" s="125" customFormat="1" ht="14.25" customHeight="1">
      <c r="A324" s="99" t="s">
        <v>292</v>
      </c>
      <c r="B324" s="102" t="s">
        <v>2327</v>
      </c>
      <c r="C324" s="102">
        <v>1650</v>
      </c>
      <c r="D324" s="102">
        <v>1610</v>
      </c>
      <c r="E324" s="102">
        <v>1580</v>
      </c>
      <c r="F324" s="139"/>
    </row>
    <row r="325" spans="1:6" s="125" customFormat="1" ht="14.25" customHeight="1">
      <c r="A325" s="99" t="s">
        <v>292</v>
      </c>
      <c r="B325" s="102" t="s">
        <v>2337</v>
      </c>
      <c r="C325" s="102">
        <v>1330</v>
      </c>
      <c r="D325" s="102">
        <v>1270</v>
      </c>
      <c r="E325" s="102">
        <v>1240</v>
      </c>
      <c r="F325" s="136">
        <v>430</v>
      </c>
    </row>
    <row r="326" spans="1:6" s="125" customFormat="1" ht="14.25" customHeight="1">
      <c r="A326" s="99" t="s">
        <v>292</v>
      </c>
      <c r="B326" s="102" t="s">
        <v>2347</v>
      </c>
      <c r="C326" s="102">
        <v>1470</v>
      </c>
      <c r="D326" s="102">
        <v>1430</v>
      </c>
      <c r="E326" s="102">
        <v>1400</v>
      </c>
      <c r="F326" s="139"/>
    </row>
    <row r="327" spans="1:6" s="125" customFormat="1" ht="14.25" customHeight="1">
      <c r="A327" s="99" t="s">
        <v>292</v>
      </c>
      <c r="B327" s="102" t="s">
        <v>2357</v>
      </c>
      <c r="C327" s="102">
        <v>1420</v>
      </c>
      <c r="D327" s="102">
        <v>1380</v>
      </c>
      <c r="E327" s="102">
        <v>1360</v>
      </c>
      <c r="F327" s="136">
        <v>420</v>
      </c>
    </row>
    <row r="328" spans="1:6" s="125" customFormat="1" ht="14.25" customHeight="1">
      <c r="A328" s="99" t="s">
        <v>292</v>
      </c>
      <c r="B328" s="102" t="s">
        <v>2367</v>
      </c>
      <c r="C328" s="102">
        <v>1400</v>
      </c>
      <c r="D328" s="102">
        <v>1360</v>
      </c>
      <c r="E328" s="102">
        <v>1330</v>
      </c>
      <c r="F328" s="136">
        <v>460</v>
      </c>
    </row>
    <row r="329" spans="1:6" s="125" customFormat="1" ht="14.25" customHeight="1">
      <c r="A329" s="99" t="s">
        <v>292</v>
      </c>
      <c r="B329" s="102" t="s">
        <v>2377</v>
      </c>
      <c r="C329" s="102">
        <v>1640</v>
      </c>
      <c r="D329" s="102">
        <v>1610</v>
      </c>
      <c r="E329" s="102">
        <v>1580</v>
      </c>
      <c r="F329" s="136">
        <v>410</v>
      </c>
    </row>
    <row r="330" spans="1:6" s="125" customFormat="1" ht="14.25" customHeight="1">
      <c r="A330" s="99" t="s">
        <v>292</v>
      </c>
      <c r="B330" s="102" t="s">
        <v>2387</v>
      </c>
      <c r="C330" s="102">
        <v>1260</v>
      </c>
      <c r="D330" s="102">
        <v>1220</v>
      </c>
      <c r="E330" s="102">
        <v>1200</v>
      </c>
      <c r="F330" s="139"/>
    </row>
    <row r="331" spans="1:6" s="125" customFormat="1" ht="14.25" customHeight="1">
      <c r="A331" s="99" t="s">
        <v>292</v>
      </c>
      <c r="B331" s="102" t="s">
        <v>2397</v>
      </c>
      <c r="C331" s="102">
        <v>1620</v>
      </c>
      <c r="D331" s="102">
        <v>1560</v>
      </c>
      <c r="E331" s="102">
        <v>1530</v>
      </c>
      <c r="F331" s="136">
        <v>490</v>
      </c>
    </row>
    <row r="332" spans="1:6" s="125" customFormat="1" ht="14.25" customHeight="1">
      <c r="A332" s="99" t="s">
        <v>292</v>
      </c>
      <c r="B332" s="102" t="s">
        <v>2407</v>
      </c>
      <c r="C332" s="102">
        <v>1520</v>
      </c>
      <c r="D332" s="102">
        <v>1470</v>
      </c>
      <c r="E332" s="102">
        <v>1440</v>
      </c>
      <c r="F332" s="136">
        <v>440</v>
      </c>
    </row>
    <row r="333" spans="1:6" s="125" customFormat="1" ht="14.25" customHeight="1">
      <c r="A333" s="99" t="s">
        <v>292</v>
      </c>
      <c r="B333" s="102" t="s">
        <v>2417</v>
      </c>
      <c r="C333" s="102">
        <v>1370</v>
      </c>
      <c r="D333" s="102">
        <v>1320</v>
      </c>
      <c r="E333" s="102">
        <v>1300</v>
      </c>
      <c r="F333" s="136">
        <v>460</v>
      </c>
    </row>
    <row r="334" spans="1:6" s="125" customFormat="1" ht="14.25" customHeight="1">
      <c r="A334" s="99" t="s">
        <v>292</v>
      </c>
      <c r="B334" s="102" t="s">
        <v>2427</v>
      </c>
      <c r="C334" s="102">
        <v>1410</v>
      </c>
      <c r="D334" s="102">
        <v>1340</v>
      </c>
      <c r="E334" s="102">
        <v>1310</v>
      </c>
      <c r="F334" s="136">
        <v>410</v>
      </c>
    </row>
    <row r="335" spans="1:6" s="125" customFormat="1" ht="14.25" customHeight="1">
      <c r="A335" s="99" t="s">
        <v>292</v>
      </c>
      <c r="B335" s="102" t="s">
        <v>2437</v>
      </c>
      <c r="C335" s="102">
        <v>1260</v>
      </c>
      <c r="D335" s="102">
        <v>1220</v>
      </c>
      <c r="E335" s="102">
        <v>1200</v>
      </c>
      <c r="F335" s="139"/>
    </row>
    <row r="336" spans="1:6" s="125" customFormat="1" ht="14.25" customHeight="1">
      <c r="A336" s="99" t="s">
        <v>292</v>
      </c>
      <c r="B336" s="102" t="s">
        <v>2446</v>
      </c>
      <c r="C336" s="102">
        <v>1160</v>
      </c>
      <c r="D336" s="102">
        <v>1140</v>
      </c>
      <c r="E336" s="102">
        <v>1120</v>
      </c>
      <c r="F336" s="136">
        <v>430</v>
      </c>
    </row>
    <row r="337" spans="1:6" s="125" customFormat="1" ht="14.25" customHeight="1">
      <c r="A337" s="99" t="s">
        <v>292</v>
      </c>
      <c r="B337" s="114" t="s">
        <v>2454</v>
      </c>
      <c r="C337" s="114"/>
      <c r="D337" s="114"/>
      <c r="E337" s="114"/>
      <c r="F337" s="138">
        <v>380</v>
      </c>
    </row>
    <row r="338" spans="1:6" s="125" customFormat="1" ht="14.25" customHeight="1">
      <c r="A338" s="99" t="s">
        <v>295</v>
      </c>
      <c r="B338" s="100" t="s">
        <v>2244</v>
      </c>
      <c r="C338" s="100">
        <v>880</v>
      </c>
      <c r="D338" s="100">
        <v>850</v>
      </c>
      <c r="E338" s="100">
        <v>830</v>
      </c>
      <c r="F338" s="143"/>
    </row>
    <row r="339" spans="1:6" s="125" customFormat="1" ht="14.25" customHeight="1">
      <c r="A339" s="99" t="s">
        <v>295</v>
      </c>
      <c r="B339" s="102" t="s">
        <v>2257</v>
      </c>
      <c r="C339" s="102">
        <v>830</v>
      </c>
      <c r="D339" s="102">
        <v>800</v>
      </c>
      <c r="E339" s="102">
        <v>780</v>
      </c>
      <c r="F339" s="139"/>
    </row>
    <row r="340" spans="1:6" s="125" customFormat="1" ht="14.25" customHeight="1">
      <c r="A340" s="99" t="s">
        <v>295</v>
      </c>
      <c r="B340" s="102" t="s">
        <v>2271</v>
      </c>
      <c r="C340" s="102">
        <v>980</v>
      </c>
      <c r="D340" s="102">
        <v>950</v>
      </c>
      <c r="E340" s="102">
        <v>920</v>
      </c>
      <c r="F340" s="139"/>
    </row>
    <row r="341" spans="1:6" s="125" customFormat="1" ht="14.25" customHeight="1">
      <c r="A341" s="99" t="s">
        <v>295</v>
      </c>
      <c r="B341" s="102" t="s">
        <v>2283</v>
      </c>
      <c r="C341" s="102">
        <v>760</v>
      </c>
      <c r="D341" s="102">
        <v>720</v>
      </c>
      <c r="E341" s="102">
        <v>690</v>
      </c>
      <c r="F341" s="136">
        <v>350</v>
      </c>
    </row>
    <row r="342" spans="1:6" s="125" customFormat="1" ht="14.25" customHeight="1">
      <c r="A342" s="99" t="s">
        <v>295</v>
      </c>
      <c r="B342" s="102" t="s">
        <v>2295</v>
      </c>
      <c r="C342" s="102">
        <v>910</v>
      </c>
      <c r="D342" s="102">
        <v>870</v>
      </c>
      <c r="E342" s="102">
        <v>850</v>
      </c>
      <c r="F342" s="136">
        <v>370</v>
      </c>
    </row>
    <row r="343" spans="1:6" s="125" customFormat="1" ht="14.25" customHeight="1">
      <c r="A343" s="99" t="s">
        <v>295</v>
      </c>
      <c r="B343" s="102" t="s">
        <v>2306</v>
      </c>
      <c r="C343" s="102">
        <v>800</v>
      </c>
      <c r="D343" s="102">
        <v>760</v>
      </c>
      <c r="E343" s="102">
        <v>730</v>
      </c>
      <c r="F343" s="136">
        <v>340</v>
      </c>
    </row>
    <row r="344" spans="1:6" s="125" customFormat="1" ht="14.25" customHeight="1">
      <c r="A344" s="99" t="s">
        <v>295</v>
      </c>
      <c r="B344" s="114" t="s">
        <v>2317</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566" t="s">
        <v>2576</v>
      </c>
      <c r="B1" s="3566"/>
    </row>
    <row r="2" spans="1:6">
      <c r="A2" s="95"/>
      <c r="B2" s="95"/>
    </row>
    <row r="3" spans="1:6">
      <c r="A3" s="95"/>
      <c r="B3" s="95"/>
      <c r="C3" s="96" t="s">
        <v>463</v>
      </c>
      <c r="D3" s="96" t="s">
        <v>1776</v>
      </c>
      <c r="E3" s="96" t="s">
        <v>1777</v>
      </c>
      <c r="F3" s="96" t="s">
        <v>1778</v>
      </c>
    </row>
    <row r="4" spans="1:6">
      <c r="A4" s="97" t="s">
        <v>2245</v>
      </c>
      <c r="B4" s="98" t="s">
        <v>2258</v>
      </c>
      <c r="C4" s="96"/>
      <c r="D4" s="96"/>
      <c r="E4" s="96"/>
      <c r="F4" s="96"/>
    </row>
    <row r="5" spans="1:6">
      <c r="A5" s="99" t="s">
        <v>230</v>
      </c>
      <c r="B5" s="100" t="s">
        <v>2233</v>
      </c>
      <c r="C5" s="101">
        <v>8.8999999999999996E-2</v>
      </c>
      <c r="D5" s="101">
        <v>7.3999999999999996E-2</v>
      </c>
      <c r="E5" s="101">
        <v>7.4999999999999997E-2</v>
      </c>
      <c r="F5" s="110">
        <v>0.1</v>
      </c>
    </row>
    <row r="6" spans="1:6">
      <c r="A6" s="99" t="s">
        <v>230</v>
      </c>
      <c r="B6" s="102" t="s">
        <v>2246</v>
      </c>
      <c r="C6" s="103">
        <v>0.1</v>
      </c>
      <c r="D6" s="103">
        <v>9.0999999999999998E-2</v>
      </c>
      <c r="E6" s="103">
        <v>9.0999999999999998E-2</v>
      </c>
      <c r="F6" s="111">
        <v>0.1</v>
      </c>
    </row>
    <row r="7" spans="1:6">
      <c r="A7" s="99" t="s">
        <v>230</v>
      </c>
      <c r="B7" s="104" t="s">
        <v>2260</v>
      </c>
      <c r="C7" s="103">
        <v>8.5999999999999993E-2</v>
      </c>
      <c r="D7" s="103">
        <v>9.6000000000000002E-2</v>
      </c>
      <c r="E7" s="103">
        <v>7.5999999999999998E-2</v>
      </c>
      <c r="F7" s="111">
        <v>0.1</v>
      </c>
    </row>
    <row r="8" spans="1:6">
      <c r="A8" s="99" t="s">
        <v>230</v>
      </c>
      <c r="B8" s="102" t="s">
        <v>2272</v>
      </c>
      <c r="C8" s="103">
        <v>9.9000000000000005E-2</v>
      </c>
      <c r="D8" s="103">
        <v>9.8000000000000004E-2</v>
      </c>
      <c r="E8" s="103">
        <v>9.8000000000000004E-2</v>
      </c>
      <c r="F8" s="111">
        <v>0.1</v>
      </c>
    </row>
    <row r="9" spans="1:6">
      <c r="A9" s="105" t="s">
        <v>230</v>
      </c>
      <c r="B9" s="106" t="s">
        <v>2284</v>
      </c>
      <c r="C9" s="107">
        <v>0.05</v>
      </c>
      <c r="D9" s="108"/>
      <c r="E9" s="108"/>
      <c r="F9" s="112"/>
    </row>
    <row r="10" spans="1:6">
      <c r="A10" s="99" t="s">
        <v>241</v>
      </c>
      <c r="B10" s="100" t="s">
        <v>2234</v>
      </c>
      <c r="C10" s="101">
        <v>8.8999999999999996E-2</v>
      </c>
      <c r="D10" s="101">
        <v>7.2999999999999995E-2</v>
      </c>
      <c r="E10" s="101">
        <v>8.2000000000000003E-2</v>
      </c>
      <c r="F10" s="110">
        <v>0.1</v>
      </c>
    </row>
    <row r="11" spans="1:6">
      <c r="A11" s="99" t="s">
        <v>241</v>
      </c>
      <c r="B11" s="104" t="s">
        <v>2247</v>
      </c>
      <c r="C11" s="103">
        <v>8.8999999999999996E-2</v>
      </c>
      <c r="D11" s="103">
        <v>7.2999999999999995E-2</v>
      </c>
      <c r="E11" s="103">
        <v>8.2000000000000003E-2</v>
      </c>
      <c r="F11" s="111">
        <v>0.1</v>
      </c>
    </row>
    <row r="12" spans="1:6">
      <c r="A12" s="99" t="s">
        <v>241</v>
      </c>
      <c r="B12" s="104" t="s">
        <v>2261</v>
      </c>
      <c r="C12" s="103">
        <v>6.0999999999999999E-2</v>
      </c>
      <c r="D12" s="103">
        <v>7.0999999999999994E-2</v>
      </c>
      <c r="E12" s="103">
        <v>9.6000000000000002E-2</v>
      </c>
      <c r="F12" s="111">
        <v>0.1</v>
      </c>
    </row>
    <row r="13" spans="1:6">
      <c r="A13" s="99" t="s">
        <v>241</v>
      </c>
      <c r="B13" s="104" t="s">
        <v>2273</v>
      </c>
      <c r="C13" s="103">
        <v>6.9000000000000006E-2</v>
      </c>
      <c r="D13" s="103">
        <v>6.5000000000000002E-2</v>
      </c>
      <c r="E13" s="103">
        <v>6.6000000000000003E-2</v>
      </c>
      <c r="F13" s="111">
        <v>0.1</v>
      </c>
    </row>
    <row r="14" spans="1:6">
      <c r="A14" s="99" t="s">
        <v>241</v>
      </c>
      <c r="B14" s="104" t="s">
        <v>2285</v>
      </c>
      <c r="C14" s="103">
        <v>0.1</v>
      </c>
      <c r="D14" s="103">
        <v>6.5000000000000002E-2</v>
      </c>
      <c r="E14" s="103">
        <v>7.0000000000000007E-2</v>
      </c>
      <c r="F14" s="111">
        <v>0.1</v>
      </c>
    </row>
    <row r="15" spans="1:6">
      <c r="A15" s="99" t="s">
        <v>241</v>
      </c>
      <c r="B15" s="104" t="s">
        <v>2296</v>
      </c>
      <c r="C15" s="103">
        <v>9.8000000000000004E-2</v>
      </c>
      <c r="D15" s="103">
        <v>8.8999999999999996E-2</v>
      </c>
      <c r="E15" s="103">
        <v>8.8999999999999996E-2</v>
      </c>
      <c r="F15" s="111">
        <v>0.1</v>
      </c>
    </row>
    <row r="16" spans="1:6">
      <c r="A16" s="99" t="s">
        <v>241</v>
      </c>
      <c r="B16" s="104" t="s">
        <v>2307</v>
      </c>
      <c r="C16" s="103">
        <v>7.0000000000000007E-2</v>
      </c>
      <c r="D16" s="103">
        <v>9.2999999999999999E-2</v>
      </c>
      <c r="E16" s="103">
        <v>9.6000000000000002E-2</v>
      </c>
      <c r="F16" s="111">
        <v>0.1</v>
      </c>
    </row>
    <row r="17" spans="1:6">
      <c r="A17" s="99" t="s">
        <v>241</v>
      </c>
      <c r="B17" s="104" t="s">
        <v>2318</v>
      </c>
      <c r="C17" s="103">
        <v>9.5000000000000001E-2</v>
      </c>
      <c r="D17" s="103">
        <v>0.1</v>
      </c>
      <c r="E17" s="103">
        <v>0.1</v>
      </c>
      <c r="F17" s="113"/>
    </row>
    <row r="18" spans="1:6">
      <c r="A18" s="99" t="s">
        <v>241</v>
      </c>
      <c r="B18" s="104" t="s">
        <v>2328</v>
      </c>
      <c r="C18" s="103">
        <v>7.3999999999999996E-2</v>
      </c>
      <c r="D18" s="103">
        <v>9.9000000000000005E-2</v>
      </c>
      <c r="E18" s="103">
        <v>0.1</v>
      </c>
      <c r="F18" s="113"/>
    </row>
    <row r="19" spans="1:6">
      <c r="A19" s="99" t="s">
        <v>241</v>
      </c>
      <c r="B19" s="104" t="s">
        <v>2338</v>
      </c>
      <c r="C19" s="103">
        <v>9.9000000000000005E-2</v>
      </c>
      <c r="D19" s="103">
        <v>7.5999999999999998E-2</v>
      </c>
      <c r="E19" s="103">
        <v>8.6999999999999994E-2</v>
      </c>
      <c r="F19" s="113"/>
    </row>
    <row r="20" spans="1:6">
      <c r="A20" s="99" t="s">
        <v>241</v>
      </c>
      <c r="B20" s="104" t="s">
        <v>2348</v>
      </c>
      <c r="C20" s="103">
        <v>9.8000000000000004E-2</v>
      </c>
      <c r="D20" s="103">
        <v>8.5000000000000006E-2</v>
      </c>
      <c r="E20" s="103">
        <v>8.2000000000000003E-2</v>
      </c>
      <c r="F20" s="113"/>
    </row>
    <row r="21" spans="1:6">
      <c r="A21" s="99" t="s">
        <v>241</v>
      </c>
      <c r="B21" s="104" t="s">
        <v>2358</v>
      </c>
      <c r="C21" s="103">
        <v>6.6000000000000003E-2</v>
      </c>
      <c r="D21" s="103">
        <v>6.4000000000000001E-2</v>
      </c>
      <c r="E21" s="103">
        <v>6.5000000000000002E-2</v>
      </c>
      <c r="F21" s="113"/>
    </row>
    <row r="22" spans="1:6">
      <c r="A22" s="99" t="s">
        <v>241</v>
      </c>
      <c r="B22" s="104" t="s">
        <v>2368</v>
      </c>
      <c r="C22" s="103">
        <v>0.08</v>
      </c>
      <c r="D22" s="103">
        <v>9.8000000000000004E-2</v>
      </c>
      <c r="E22" s="103">
        <v>9.8000000000000004E-2</v>
      </c>
      <c r="F22" s="113"/>
    </row>
    <row r="23" spans="1:6">
      <c r="A23" s="99" t="s">
        <v>241</v>
      </c>
      <c r="B23" s="104" t="s">
        <v>2378</v>
      </c>
      <c r="C23" s="103">
        <v>9.9000000000000005E-2</v>
      </c>
      <c r="D23" s="103">
        <v>9.8000000000000004E-2</v>
      </c>
      <c r="E23" s="103">
        <v>9.0999999999999998E-2</v>
      </c>
      <c r="F23" s="113"/>
    </row>
    <row r="24" spans="1:6">
      <c r="A24" s="99" t="s">
        <v>241</v>
      </c>
      <c r="B24" s="104" t="s">
        <v>2388</v>
      </c>
      <c r="C24" s="103">
        <v>8.8999999999999996E-2</v>
      </c>
      <c r="D24" s="103">
        <v>9.7000000000000003E-2</v>
      </c>
      <c r="E24" s="103">
        <v>7.0000000000000007E-2</v>
      </c>
      <c r="F24" s="113"/>
    </row>
    <row r="25" spans="1:6">
      <c r="A25" s="99" t="s">
        <v>241</v>
      </c>
      <c r="B25" s="104" t="s">
        <v>2398</v>
      </c>
      <c r="C25" s="103">
        <v>8.8999999999999996E-2</v>
      </c>
      <c r="D25" s="103">
        <v>0.1</v>
      </c>
      <c r="E25" s="103">
        <v>8.1000000000000003E-2</v>
      </c>
      <c r="F25" s="113"/>
    </row>
    <row r="26" spans="1:6">
      <c r="A26" s="99" t="s">
        <v>241</v>
      </c>
      <c r="B26" s="104" t="s">
        <v>2408</v>
      </c>
      <c r="C26" s="109"/>
      <c r="D26" s="103">
        <v>9.6000000000000002E-2</v>
      </c>
      <c r="E26" s="103">
        <v>9.2999999999999999E-2</v>
      </c>
      <c r="F26" s="113"/>
    </row>
    <row r="27" spans="1:6">
      <c r="A27" s="99" t="s">
        <v>241</v>
      </c>
      <c r="B27" s="104" t="s">
        <v>2418</v>
      </c>
      <c r="C27" s="109"/>
      <c r="D27" s="103">
        <v>7.5999999999999998E-2</v>
      </c>
      <c r="E27" s="103">
        <v>9.1999999999999998E-2</v>
      </c>
      <c r="F27" s="113"/>
    </row>
    <row r="28" spans="1:6">
      <c r="A28" s="105" t="s">
        <v>241</v>
      </c>
      <c r="B28" s="106" t="s">
        <v>2428</v>
      </c>
      <c r="C28" s="108"/>
      <c r="D28" s="107">
        <v>7.5999999999999998E-2</v>
      </c>
      <c r="E28" s="107">
        <v>9.1999999999999998E-2</v>
      </c>
      <c r="F28" s="112"/>
    </row>
    <row r="29" spans="1:6">
      <c r="A29" s="99" t="s">
        <v>251</v>
      </c>
      <c r="B29" s="100" t="s">
        <v>2235</v>
      </c>
      <c r="C29" s="101">
        <v>6.4000000000000001E-2</v>
      </c>
      <c r="D29" s="101">
        <v>6.5000000000000002E-2</v>
      </c>
      <c r="E29" s="101">
        <v>6.9000000000000006E-2</v>
      </c>
      <c r="F29" s="110">
        <v>0.1</v>
      </c>
    </row>
    <row r="30" spans="1:6">
      <c r="A30" s="99" t="s">
        <v>251</v>
      </c>
      <c r="B30" s="104" t="s">
        <v>2248</v>
      </c>
      <c r="C30" s="103">
        <v>6.4000000000000001E-2</v>
      </c>
      <c r="D30" s="103">
        <v>9.9000000000000005E-2</v>
      </c>
      <c r="E30" s="103">
        <v>0.1</v>
      </c>
      <c r="F30" s="111">
        <v>0.1</v>
      </c>
    </row>
    <row r="31" spans="1:6">
      <c r="A31" s="99" t="s">
        <v>251</v>
      </c>
      <c r="B31" s="104" t="s">
        <v>2262</v>
      </c>
      <c r="C31" s="103">
        <v>0.1</v>
      </c>
      <c r="D31" s="103">
        <v>9.5000000000000001E-2</v>
      </c>
      <c r="E31" s="103">
        <v>8.8999999999999996E-2</v>
      </c>
      <c r="F31" s="111">
        <v>0.1</v>
      </c>
    </row>
    <row r="32" spans="1:6">
      <c r="A32" s="99" t="s">
        <v>251</v>
      </c>
      <c r="B32" s="104" t="s">
        <v>2274</v>
      </c>
      <c r="C32" s="103">
        <v>0.05</v>
      </c>
      <c r="D32" s="103">
        <v>0.05</v>
      </c>
      <c r="E32" s="103">
        <v>8.7999999999999995E-2</v>
      </c>
      <c r="F32" s="111">
        <v>0.1</v>
      </c>
    </row>
    <row r="33" spans="1:6">
      <c r="A33" s="99" t="s">
        <v>251</v>
      </c>
      <c r="B33" s="104" t="s">
        <v>2286</v>
      </c>
      <c r="C33" s="103">
        <v>7.4999999999999997E-2</v>
      </c>
      <c r="D33" s="103">
        <v>9.4E-2</v>
      </c>
      <c r="E33" s="103">
        <v>9.7000000000000003E-2</v>
      </c>
      <c r="F33" s="111">
        <v>0.1</v>
      </c>
    </row>
    <row r="34" spans="1:6">
      <c r="A34" s="99" t="s">
        <v>251</v>
      </c>
      <c r="B34" s="104" t="s">
        <v>2297</v>
      </c>
      <c r="C34" s="103">
        <v>9.8000000000000004E-2</v>
      </c>
      <c r="D34" s="103">
        <v>8.5999999999999993E-2</v>
      </c>
      <c r="E34" s="103">
        <v>9.7000000000000003E-2</v>
      </c>
      <c r="F34" s="111">
        <v>0.1</v>
      </c>
    </row>
    <row r="35" spans="1:6">
      <c r="A35" s="99" t="s">
        <v>251</v>
      </c>
      <c r="B35" s="104" t="s">
        <v>2308</v>
      </c>
      <c r="C35" s="103">
        <v>5.8999999999999997E-2</v>
      </c>
      <c r="D35" s="103">
        <v>6.5000000000000002E-2</v>
      </c>
      <c r="E35" s="103">
        <v>7.0000000000000007E-2</v>
      </c>
      <c r="F35" s="111">
        <v>0.1</v>
      </c>
    </row>
    <row r="36" spans="1:6">
      <c r="A36" s="99" t="s">
        <v>251</v>
      </c>
      <c r="B36" s="104" t="s">
        <v>2319</v>
      </c>
      <c r="C36" s="103">
        <v>6.3E-2</v>
      </c>
      <c r="D36" s="103">
        <v>0.1</v>
      </c>
      <c r="E36" s="103">
        <v>0.1</v>
      </c>
      <c r="F36" s="111">
        <v>0.1</v>
      </c>
    </row>
    <row r="37" spans="1:6">
      <c r="A37" s="99" t="s">
        <v>251</v>
      </c>
      <c r="B37" s="104" t="s">
        <v>2329</v>
      </c>
      <c r="C37" s="103">
        <v>7.3999999999999996E-2</v>
      </c>
      <c r="D37" s="103">
        <v>0.1</v>
      </c>
      <c r="E37" s="103">
        <v>0.1</v>
      </c>
      <c r="F37" s="111">
        <v>0.1</v>
      </c>
    </row>
    <row r="38" spans="1:6">
      <c r="A38" s="99" t="s">
        <v>251</v>
      </c>
      <c r="B38" s="104" t="s">
        <v>2339</v>
      </c>
      <c r="C38" s="103">
        <v>0.1</v>
      </c>
      <c r="D38" s="103">
        <v>9.6000000000000002E-2</v>
      </c>
      <c r="E38" s="103">
        <v>9.6000000000000002E-2</v>
      </c>
      <c r="F38" s="113"/>
    </row>
    <row r="39" spans="1:6">
      <c r="A39" s="99" t="s">
        <v>251</v>
      </c>
      <c r="B39" s="104" t="s">
        <v>2349</v>
      </c>
      <c r="C39" s="103">
        <v>0.1</v>
      </c>
      <c r="D39" s="103">
        <v>9.6000000000000002E-2</v>
      </c>
      <c r="E39" s="103">
        <v>9.6000000000000002E-2</v>
      </c>
      <c r="F39" s="113"/>
    </row>
    <row r="40" spans="1:6">
      <c r="A40" s="99" t="s">
        <v>251</v>
      </c>
      <c r="B40" s="104" t="s">
        <v>2359</v>
      </c>
      <c r="C40" s="103">
        <v>9.6000000000000002E-2</v>
      </c>
      <c r="D40" s="103">
        <v>0.1</v>
      </c>
      <c r="E40" s="103">
        <v>9.9000000000000005E-2</v>
      </c>
      <c r="F40" s="113"/>
    </row>
    <row r="41" spans="1:6">
      <c r="A41" s="99" t="s">
        <v>251</v>
      </c>
      <c r="B41" s="104" t="s">
        <v>2369</v>
      </c>
      <c r="C41" s="103">
        <v>9.6000000000000002E-2</v>
      </c>
      <c r="D41" s="103">
        <v>9.8000000000000004E-2</v>
      </c>
      <c r="E41" s="103">
        <v>9.8000000000000004E-2</v>
      </c>
      <c r="F41" s="113"/>
    </row>
    <row r="42" spans="1:6">
      <c r="A42" s="99" t="s">
        <v>251</v>
      </c>
      <c r="B42" s="104" t="s">
        <v>2379</v>
      </c>
      <c r="C42" s="103">
        <v>0.1</v>
      </c>
      <c r="D42" s="103">
        <v>8.7999999999999995E-2</v>
      </c>
      <c r="E42" s="103">
        <v>0.1</v>
      </c>
      <c r="F42" s="113"/>
    </row>
    <row r="43" spans="1:6">
      <c r="A43" s="99" t="s">
        <v>251</v>
      </c>
      <c r="B43" s="104" t="s">
        <v>2389</v>
      </c>
      <c r="C43" s="103">
        <v>9.8000000000000004E-2</v>
      </c>
      <c r="D43" s="103">
        <v>9.7000000000000003E-2</v>
      </c>
      <c r="E43" s="103">
        <v>9.6000000000000002E-2</v>
      </c>
      <c r="F43" s="113"/>
    </row>
    <row r="44" spans="1:6">
      <c r="A44" s="99" t="s">
        <v>251</v>
      </c>
      <c r="B44" s="104" t="s">
        <v>2399</v>
      </c>
      <c r="C44" s="103">
        <v>8.5999999999999993E-2</v>
      </c>
      <c r="D44" s="103">
        <v>7.9000000000000001E-2</v>
      </c>
      <c r="E44" s="103">
        <v>7.0999999999999994E-2</v>
      </c>
      <c r="F44" s="113"/>
    </row>
    <row r="45" spans="1:6">
      <c r="A45" s="99" t="s">
        <v>251</v>
      </c>
      <c r="B45" s="104" t="s">
        <v>2409</v>
      </c>
      <c r="C45" s="103">
        <v>9.8000000000000004E-2</v>
      </c>
      <c r="D45" s="103">
        <v>9.6000000000000002E-2</v>
      </c>
      <c r="E45" s="103">
        <v>9.6000000000000002E-2</v>
      </c>
      <c r="F45" s="113"/>
    </row>
    <row r="46" spans="1:6">
      <c r="A46" s="99" t="s">
        <v>251</v>
      </c>
      <c r="B46" s="104" t="s">
        <v>2419</v>
      </c>
      <c r="C46" s="103">
        <v>8.5999999999999993E-2</v>
      </c>
      <c r="D46" s="103">
        <v>9.8000000000000004E-2</v>
      </c>
      <c r="E46" s="103">
        <v>8.7999999999999995E-2</v>
      </c>
      <c r="F46" s="113"/>
    </row>
    <row r="47" spans="1:6">
      <c r="A47" s="99" t="s">
        <v>251</v>
      </c>
      <c r="B47" s="104" t="s">
        <v>2429</v>
      </c>
      <c r="C47" s="103">
        <v>9.6000000000000002E-2</v>
      </c>
      <c r="D47" s="109"/>
      <c r="E47" s="103">
        <v>6.9000000000000006E-2</v>
      </c>
      <c r="F47" s="113"/>
    </row>
    <row r="48" spans="1:6">
      <c r="A48" s="105" t="s">
        <v>251</v>
      </c>
      <c r="B48" s="106" t="s">
        <v>2438</v>
      </c>
      <c r="C48" s="107">
        <v>9.8000000000000004E-2</v>
      </c>
      <c r="D48" s="108"/>
      <c r="E48" s="107">
        <v>9.5000000000000001E-2</v>
      </c>
      <c r="F48" s="112"/>
    </row>
    <row r="49" spans="1:6">
      <c r="A49" s="99" t="s">
        <v>259</v>
      </c>
      <c r="B49" s="100" t="s">
        <v>2236</v>
      </c>
      <c r="C49" s="101">
        <v>9.7000000000000003E-2</v>
      </c>
      <c r="D49" s="101">
        <v>9.5000000000000001E-2</v>
      </c>
      <c r="E49" s="101">
        <v>9.7000000000000003E-2</v>
      </c>
      <c r="F49" s="110">
        <v>0.1</v>
      </c>
    </row>
    <row r="50" spans="1:6">
      <c r="A50" s="99" t="s">
        <v>259</v>
      </c>
      <c r="B50" s="102" t="s">
        <v>2249</v>
      </c>
      <c r="C50" s="103">
        <v>7.4999999999999997E-2</v>
      </c>
      <c r="D50" s="103">
        <v>9.5000000000000001E-2</v>
      </c>
      <c r="E50" s="103">
        <v>0.1</v>
      </c>
      <c r="F50" s="111">
        <v>0.1</v>
      </c>
    </row>
    <row r="51" spans="1:6">
      <c r="A51" s="99" t="s">
        <v>259</v>
      </c>
      <c r="B51" s="102" t="s">
        <v>2263</v>
      </c>
      <c r="C51" s="103">
        <v>9.8000000000000004E-2</v>
      </c>
      <c r="D51" s="103">
        <v>8.8999999999999996E-2</v>
      </c>
      <c r="E51" s="103">
        <v>0.1</v>
      </c>
      <c r="F51" s="111">
        <v>0.1</v>
      </c>
    </row>
    <row r="52" spans="1:6">
      <c r="A52" s="99" t="s">
        <v>259</v>
      </c>
      <c r="B52" s="102" t="s">
        <v>2275</v>
      </c>
      <c r="C52" s="103">
        <v>9.8000000000000004E-2</v>
      </c>
      <c r="D52" s="103">
        <v>9.7000000000000003E-2</v>
      </c>
      <c r="E52" s="103">
        <v>8.1000000000000003E-2</v>
      </c>
      <c r="F52" s="111">
        <v>0.1</v>
      </c>
    </row>
    <row r="53" spans="1:6">
      <c r="A53" s="99" t="s">
        <v>259</v>
      </c>
      <c r="B53" s="102" t="s">
        <v>2287</v>
      </c>
      <c r="C53" s="103">
        <v>9.7000000000000003E-2</v>
      </c>
      <c r="D53" s="103">
        <v>7.5999999999999998E-2</v>
      </c>
      <c r="E53" s="103">
        <v>7.0999999999999994E-2</v>
      </c>
      <c r="F53" s="111">
        <v>0.1</v>
      </c>
    </row>
    <row r="54" spans="1:6">
      <c r="A54" s="99" t="s">
        <v>259</v>
      </c>
      <c r="B54" s="102" t="s">
        <v>2298</v>
      </c>
      <c r="C54" s="103">
        <v>7.5999999999999998E-2</v>
      </c>
      <c r="D54" s="103">
        <v>0.1</v>
      </c>
      <c r="E54" s="103">
        <v>9.9000000000000005E-2</v>
      </c>
      <c r="F54" s="111">
        <v>0.1</v>
      </c>
    </row>
    <row r="55" spans="1:6">
      <c r="A55" s="99" t="s">
        <v>259</v>
      </c>
      <c r="B55" s="102" t="s">
        <v>2309</v>
      </c>
      <c r="C55" s="103">
        <v>0.1</v>
      </c>
      <c r="D55" s="103">
        <v>0.1</v>
      </c>
      <c r="E55" s="103">
        <v>9.6000000000000002E-2</v>
      </c>
      <c r="F55" s="111">
        <v>0.1</v>
      </c>
    </row>
    <row r="56" spans="1:6">
      <c r="A56" s="99" t="s">
        <v>259</v>
      </c>
      <c r="B56" s="102" t="s">
        <v>2320</v>
      </c>
      <c r="C56" s="103">
        <v>0.1</v>
      </c>
      <c r="D56" s="103">
        <v>9.6000000000000002E-2</v>
      </c>
      <c r="E56" s="103">
        <v>5.1999999999999998E-2</v>
      </c>
      <c r="F56" s="111">
        <v>0.1</v>
      </c>
    </row>
    <row r="57" spans="1:6">
      <c r="A57" s="99" t="s">
        <v>259</v>
      </c>
      <c r="B57" s="102" t="s">
        <v>2330</v>
      </c>
      <c r="C57" s="103">
        <v>9.7000000000000003E-2</v>
      </c>
      <c r="D57" s="103">
        <v>9.6000000000000002E-2</v>
      </c>
      <c r="E57" s="103">
        <v>9.6000000000000002E-2</v>
      </c>
      <c r="F57" s="111">
        <v>0.1</v>
      </c>
    </row>
    <row r="58" spans="1:6">
      <c r="A58" s="99" t="s">
        <v>259</v>
      </c>
      <c r="B58" s="102" t="s">
        <v>2340</v>
      </c>
      <c r="C58" s="103">
        <v>9.6000000000000002E-2</v>
      </c>
      <c r="D58" s="103">
        <v>9.9000000000000005E-2</v>
      </c>
      <c r="E58" s="103">
        <v>9.6000000000000002E-2</v>
      </c>
      <c r="F58" s="111">
        <v>0.1</v>
      </c>
    </row>
    <row r="59" spans="1:6">
      <c r="A59" s="99" t="s">
        <v>259</v>
      </c>
      <c r="B59" s="102" t="s">
        <v>2350</v>
      </c>
      <c r="C59" s="103">
        <v>7.1999999999999995E-2</v>
      </c>
      <c r="D59" s="103">
        <v>9.6000000000000002E-2</v>
      </c>
      <c r="E59" s="103">
        <v>7.0999999999999994E-2</v>
      </c>
      <c r="F59" s="111">
        <v>0.1</v>
      </c>
    </row>
    <row r="60" spans="1:6">
      <c r="A60" s="99" t="s">
        <v>259</v>
      </c>
      <c r="B60" s="102" t="s">
        <v>2360</v>
      </c>
      <c r="C60" s="103">
        <v>9.6000000000000002E-2</v>
      </c>
      <c r="D60" s="103">
        <v>8.8999999999999996E-2</v>
      </c>
      <c r="E60" s="103">
        <v>9.6000000000000002E-2</v>
      </c>
      <c r="F60" s="111">
        <v>0.1</v>
      </c>
    </row>
    <row r="61" spans="1:6">
      <c r="A61" s="99" t="s">
        <v>259</v>
      </c>
      <c r="B61" s="102" t="s">
        <v>2370</v>
      </c>
      <c r="C61" s="103">
        <v>8.8999999999999996E-2</v>
      </c>
      <c r="D61" s="103">
        <v>9.8000000000000004E-2</v>
      </c>
      <c r="E61" s="103">
        <v>8.7999999999999995E-2</v>
      </c>
      <c r="F61" s="113"/>
    </row>
    <row r="62" spans="1:6">
      <c r="A62" s="99" t="s">
        <v>259</v>
      </c>
      <c r="B62" s="102" t="s">
        <v>2380</v>
      </c>
      <c r="C62" s="103">
        <v>9.8000000000000004E-2</v>
      </c>
      <c r="D62" s="103">
        <v>9.2999999999999999E-2</v>
      </c>
      <c r="E62" s="103">
        <v>9.7000000000000003E-2</v>
      </c>
      <c r="F62" s="113"/>
    </row>
    <row r="63" spans="1:6">
      <c r="A63" s="99" t="s">
        <v>259</v>
      </c>
      <c r="B63" s="102" t="s">
        <v>2390</v>
      </c>
      <c r="C63" s="103">
        <v>9.6000000000000002E-2</v>
      </c>
      <c r="D63" s="103">
        <v>9.8000000000000004E-2</v>
      </c>
      <c r="E63" s="103">
        <v>0.09</v>
      </c>
      <c r="F63" s="113"/>
    </row>
    <row r="64" spans="1:6">
      <c r="A64" s="99" t="s">
        <v>259</v>
      </c>
      <c r="B64" s="102" t="s">
        <v>2400</v>
      </c>
      <c r="C64" s="103">
        <v>9.9000000000000005E-2</v>
      </c>
      <c r="D64" s="103">
        <v>9.7000000000000003E-2</v>
      </c>
      <c r="E64" s="103">
        <v>9.9000000000000005E-2</v>
      </c>
      <c r="F64" s="113"/>
    </row>
    <row r="65" spans="1:6">
      <c r="A65" s="99" t="s">
        <v>259</v>
      </c>
      <c r="B65" s="102" t="s">
        <v>2410</v>
      </c>
      <c r="C65" s="103">
        <v>9.8000000000000004E-2</v>
      </c>
      <c r="D65" s="103">
        <v>9.6000000000000002E-2</v>
      </c>
      <c r="E65" s="103">
        <v>9.6000000000000002E-2</v>
      </c>
      <c r="F65" s="113"/>
    </row>
    <row r="66" spans="1:6">
      <c r="A66" s="99" t="s">
        <v>259</v>
      </c>
      <c r="B66" s="102" t="s">
        <v>2420</v>
      </c>
      <c r="C66" s="103">
        <v>9.6000000000000002E-2</v>
      </c>
      <c r="D66" s="103">
        <v>9.1999999999999998E-2</v>
      </c>
      <c r="E66" s="103">
        <v>9.6000000000000002E-2</v>
      </c>
      <c r="F66" s="113"/>
    </row>
    <row r="67" spans="1:6">
      <c r="A67" s="99" t="s">
        <v>259</v>
      </c>
      <c r="B67" s="102" t="s">
        <v>2430</v>
      </c>
      <c r="C67" s="103">
        <v>9.4E-2</v>
      </c>
      <c r="D67" s="103">
        <v>0.1</v>
      </c>
      <c r="E67" s="103">
        <v>8.7999999999999995E-2</v>
      </c>
      <c r="F67" s="113"/>
    </row>
    <row r="68" spans="1:6">
      <c r="A68" s="99" t="s">
        <v>259</v>
      </c>
      <c r="B68" s="102" t="s">
        <v>2439</v>
      </c>
      <c r="C68" s="103">
        <v>0.1</v>
      </c>
      <c r="D68" s="103">
        <v>8.7999999999999995E-2</v>
      </c>
      <c r="E68" s="103">
        <v>9.7000000000000003E-2</v>
      </c>
      <c r="F68" s="113"/>
    </row>
    <row r="69" spans="1:6">
      <c r="A69" s="99" t="s">
        <v>259</v>
      </c>
      <c r="B69" s="102" t="s">
        <v>2447</v>
      </c>
      <c r="C69" s="103">
        <v>6.4000000000000001E-2</v>
      </c>
      <c r="D69" s="103">
        <v>0.1</v>
      </c>
      <c r="E69" s="103">
        <v>0.1</v>
      </c>
      <c r="F69" s="113"/>
    </row>
    <row r="70" spans="1:6">
      <c r="A70" s="99" t="s">
        <v>259</v>
      </c>
      <c r="B70" s="102" t="s">
        <v>2455</v>
      </c>
      <c r="C70" s="103">
        <v>9.0999999999999998E-2</v>
      </c>
      <c r="D70" s="109"/>
      <c r="E70" s="109"/>
      <c r="F70" s="113"/>
    </row>
    <row r="71" spans="1:6">
      <c r="A71" s="99" t="s">
        <v>259</v>
      </c>
      <c r="B71" s="102" t="s">
        <v>2462</v>
      </c>
      <c r="C71" s="103">
        <v>0.1</v>
      </c>
      <c r="D71" s="109"/>
      <c r="E71" s="109"/>
      <c r="F71" s="113"/>
    </row>
    <row r="72" spans="1:6">
      <c r="A72" s="99" t="s">
        <v>259</v>
      </c>
      <c r="B72" s="102" t="s">
        <v>2469</v>
      </c>
      <c r="C72" s="109"/>
      <c r="D72" s="109"/>
      <c r="E72" s="109"/>
      <c r="F72" s="111">
        <v>0.05</v>
      </c>
    </row>
    <row r="73" spans="1:6">
      <c r="A73" s="99" t="s">
        <v>259</v>
      </c>
      <c r="B73" s="102" t="s">
        <v>2476</v>
      </c>
      <c r="C73" s="109"/>
      <c r="D73" s="109"/>
      <c r="E73" s="109"/>
      <c r="F73" s="111">
        <v>0.05</v>
      </c>
    </row>
    <row r="74" spans="1:6">
      <c r="A74" s="99" t="s">
        <v>259</v>
      </c>
      <c r="B74" s="102" t="s">
        <v>2483</v>
      </c>
      <c r="C74" s="109"/>
      <c r="D74" s="109"/>
      <c r="E74" s="109"/>
      <c r="F74" s="111">
        <v>0.05</v>
      </c>
    </row>
    <row r="75" spans="1:6">
      <c r="A75" s="105" t="s">
        <v>259</v>
      </c>
      <c r="B75" s="114" t="s">
        <v>2490</v>
      </c>
      <c r="C75" s="108"/>
      <c r="D75" s="108"/>
      <c r="E75" s="108"/>
      <c r="F75" s="115">
        <v>0.05</v>
      </c>
    </row>
    <row r="76" spans="1:6">
      <c r="A76" s="99" t="s">
        <v>267</v>
      </c>
      <c r="B76" s="100" t="s">
        <v>2237</v>
      </c>
      <c r="C76" s="101">
        <v>0.1</v>
      </c>
      <c r="D76" s="101">
        <v>0.1</v>
      </c>
      <c r="E76" s="101">
        <v>0.1</v>
      </c>
      <c r="F76" s="110">
        <v>0.1</v>
      </c>
    </row>
    <row r="77" spans="1:6">
      <c r="A77" s="99" t="s">
        <v>267</v>
      </c>
      <c r="B77" s="102" t="s">
        <v>2250</v>
      </c>
      <c r="C77" s="103">
        <v>8.7999999999999995E-2</v>
      </c>
      <c r="D77" s="103">
        <v>8.6999999999999994E-2</v>
      </c>
      <c r="E77" s="103">
        <v>7.9000000000000001E-2</v>
      </c>
      <c r="F77" s="111">
        <v>0.1</v>
      </c>
    </row>
    <row r="78" spans="1:6">
      <c r="A78" s="99" t="s">
        <v>267</v>
      </c>
      <c r="B78" s="102" t="s">
        <v>2264</v>
      </c>
      <c r="C78" s="103">
        <v>8.6999999999999994E-2</v>
      </c>
      <c r="D78" s="103">
        <v>8.4000000000000005E-2</v>
      </c>
      <c r="E78" s="103">
        <v>9.6000000000000002E-2</v>
      </c>
      <c r="F78" s="111">
        <v>0.1</v>
      </c>
    </row>
    <row r="79" spans="1:6">
      <c r="A79" s="99" t="s">
        <v>267</v>
      </c>
      <c r="B79" s="102" t="s">
        <v>2276</v>
      </c>
      <c r="C79" s="103">
        <v>9.8000000000000004E-2</v>
      </c>
      <c r="D79" s="103">
        <v>9.8000000000000004E-2</v>
      </c>
      <c r="E79" s="103">
        <v>9.0999999999999998E-2</v>
      </c>
      <c r="F79" s="111">
        <v>0.1</v>
      </c>
    </row>
    <row r="80" spans="1:6">
      <c r="A80" s="99" t="s">
        <v>267</v>
      </c>
      <c r="B80" s="102" t="s">
        <v>2288</v>
      </c>
      <c r="C80" s="103">
        <v>9.6000000000000002E-2</v>
      </c>
      <c r="D80" s="103">
        <v>9.6000000000000002E-2</v>
      </c>
      <c r="E80" s="103">
        <v>0.1</v>
      </c>
      <c r="F80" s="111">
        <v>0.1</v>
      </c>
    </row>
    <row r="81" spans="1:6">
      <c r="A81" s="99" t="s">
        <v>267</v>
      </c>
      <c r="B81" s="102" t="s">
        <v>2299</v>
      </c>
      <c r="C81" s="103">
        <v>9.9000000000000005E-2</v>
      </c>
      <c r="D81" s="103">
        <v>9.9000000000000005E-2</v>
      </c>
      <c r="E81" s="103">
        <v>9.8000000000000004E-2</v>
      </c>
      <c r="F81" s="111">
        <v>0.1</v>
      </c>
    </row>
    <row r="82" spans="1:6">
      <c r="A82" s="99" t="s">
        <v>267</v>
      </c>
      <c r="B82" s="102" t="s">
        <v>2310</v>
      </c>
      <c r="C82" s="103">
        <v>9.9000000000000005E-2</v>
      </c>
      <c r="D82" s="103">
        <v>9.9000000000000005E-2</v>
      </c>
      <c r="E82" s="103">
        <v>9.7000000000000003E-2</v>
      </c>
      <c r="F82" s="111">
        <v>0.1</v>
      </c>
    </row>
    <row r="83" spans="1:6">
      <c r="A83" s="99" t="s">
        <v>267</v>
      </c>
      <c r="B83" s="102" t="s">
        <v>2321</v>
      </c>
      <c r="C83" s="103">
        <v>9.8000000000000004E-2</v>
      </c>
      <c r="D83" s="103">
        <v>9.8000000000000004E-2</v>
      </c>
      <c r="E83" s="103">
        <v>9.8000000000000004E-2</v>
      </c>
      <c r="F83" s="111">
        <v>0.1</v>
      </c>
    </row>
    <row r="84" spans="1:6">
      <c r="A84" s="99" t="s">
        <v>267</v>
      </c>
      <c r="B84" s="102" t="s">
        <v>2331</v>
      </c>
      <c r="C84" s="103">
        <v>9.9000000000000005E-2</v>
      </c>
      <c r="D84" s="103">
        <v>9.9000000000000005E-2</v>
      </c>
      <c r="E84" s="103">
        <v>9.9000000000000005E-2</v>
      </c>
      <c r="F84" s="111">
        <v>0.1</v>
      </c>
    </row>
    <row r="85" spans="1:6">
      <c r="A85" s="99" t="s">
        <v>267</v>
      </c>
      <c r="B85" s="102" t="s">
        <v>2341</v>
      </c>
      <c r="C85" s="103">
        <v>9.9000000000000005E-2</v>
      </c>
      <c r="D85" s="103">
        <v>9.9000000000000005E-2</v>
      </c>
      <c r="E85" s="103">
        <v>9.9000000000000005E-2</v>
      </c>
      <c r="F85" s="111">
        <v>0.1</v>
      </c>
    </row>
    <row r="86" spans="1:6">
      <c r="A86" s="99" t="s">
        <v>267</v>
      </c>
      <c r="B86" s="102" t="s">
        <v>2351</v>
      </c>
      <c r="C86" s="103">
        <v>0.1</v>
      </c>
      <c r="D86" s="103">
        <v>0.1</v>
      </c>
      <c r="E86" s="103">
        <v>7.6999999999999999E-2</v>
      </c>
      <c r="F86" s="111">
        <v>0.1</v>
      </c>
    </row>
    <row r="87" spans="1:6">
      <c r="A87" s="99" t="s">
        <v>267</v>
      </c>
      <c r="B87" s="102" t="s">
        <v>2361</v>
      </c>
      <c r="C87" s="103">
        <v>0.1</v>
      </c>
      <c r="D87" s="103">
        <v>0.1</v>
      </c>
      <c r="E87" s="103">
        <v>9.8000000000000004E-2</v>
      </c>
      <c r="F87" s="113"/>
    </row>
    <row r="88" spans="1:6">
      <c r="A88" s="99" t="s">
        <v>267</v>
      </c>
      <c r="B88" s="102" t="s">
        <v>2371</v>
      </c>
      <c r="C88" s="103">
        <v>9.1999999999999998E-2</v>
      </c>
      <c r="D88" s="103">
        <v>8.5000000000000006E-2</v>
      </c>
      <c r="E88" s="103">
        <v>9.6000000000000002E-2</v>
      </c>
      <c r="F88" s="113"/>
    </row>
    <row r="89" spans="1:6">
      <c r="A89" s="99" t="s">
        <v>267</v>
      </c>
      <c r="B89" s="102" t="s">
        <v>2381</v>
      </c>
      <c r="C89" s="103">
        <v>0.1</v>
      </c>
      <c r="D89" s="103">
        <v>0.1</v>
      </c>
      <c r="E89" s="103">
        <v>9.7000000000000003E-2</v>
      </c>
      <c r="F89" s="113"/>
    </row>
    <row r="90" spans="1:6">
      <c r="A90" s="99" t="s">
        <v>267</v>
      </c>
      <c r="B90" s="102" t="s">
        <v>2391</v>
      </c>
      <c r="C90" s="103">
        <v>9.8000000000000004E-2</v>
      </c>
      <c r="D90" s="103">
        <v>9.8000000000000004E-2</v>
      </c>
      <c r="E90" s="103">
        <v>8.7999999999999995E-2</v>
      </c>
      <c r="F90" s="113"/>
    </row>
    <row r="91" spans="1:6">
      <c r="A91" s="99" t="s">
        <v>267</v>
      </c>
      <c r="B91" s="102" t="s">
        <v>2401</v>
      </c>
      <c r="C91" s="103">
        <v>9.9000000000000005E-2</v>
      </c>
      <c r="D91" s="103">
        <v>9.9000000000000005E-2</v>
      </c>
      <c r="E91" s="103">
        <v>9.0999999999999998E-2</v>
      </c>
      <c r="F91" s="113"/>
    </row>
    <row r="92" spans="1:6">
      <c r="A92" s="99" t="s">
        <v>267</v>
      </c>
      <c r="B92" s="102" t="s">
        <v>2411</v>
      </c>
      <c r="C92" s="103">
        <v>9.6000000000000002E-2</v>
      </c>
      <c r="D92" s="103">
        <v>9.6000000000000002E-2</v>
      </c>
      <c r="E92" s="103">
        <v>7.2999999999999995E-2</v>
      </c>
      <c r="F92" s="113"/>
    </row>
    <row r="93" spans="1:6">
      <c r="A93" s="99" t="s">
        <v>267</v>
      </c>
      <c r="B93" s="102" t="s">
        <v>2421</v>
      </c>
      <c r="C93" s="103">
        <v>9.6000000000000002E-2</v>
      </c>
      <c r="D93" s="103">
        <v>9.6000000000000002E-2</v>
      </c>
      <c r="E93" s="103">
        <v>9.9000000000000005E-2</v>
      </c>
      <c r="F93" s="113"/>
    </row>
    <row r="94" spans="1:6">
      <c r="A94" s="99" t="s">
        <v>267</v>
      </c>
      <c r="B94" s="102" t="s">
        <v>2431</v>
      </c>
      <c r="C94" s="103">
        <v>7.5999999999999998E-2</v>
      </c>
      <c r="D94" s="103">
        <v>7.3999999999999996E-2</v>
      </c>
      <c r="E94" s="103">
        <v>9.7000000000000003E-2</v>
      </c>
      <c r="F94" s="113"/>
    </row>
    <row r="95" spans="1:6">
      <c r="A95" s="99" t="s">
        <v>267</v>
      </c>
      <c r="B95" s="102" t="s">
        <v>2440</v>
      </c>
      <c r="C95" s="103">
        <v>9.9000000000000005E-2</v>
      </c>
      <c r="D95" s="103">
        <v>9.4E-2</v>
      </c>
      <c r="E95" s="103">
        <v>9.6000000000000002E-2</v>
      </c>
      <c r="F95" s="113"/>
    </row>
    <row r="96" spans="1:6">
      <c r="A96" s="99" t="s">
        <v>267</v>
      </c>
      <c r="B96" s="102" t="s">
        <v>2448</v>
      </c>
      <c r="C96" s="103">
        <v>9.9000000000000005E-2</v>
      </c>
      <c r="D96" s="103">
        <v>9.9000000000000005E-2</v>
      </c>
      <c r="E96" s="103">
        <v>9.9000000000000005E-2</v>
      </c>
      <c r="F96" s="113"/>
    </row>
    <row r="97" spans="1:6">
      <c r="A97" s="99" t="s">
        <v>267</v>
      </c>
      <c r="B97" s="102" t="s">
        <v>2456</v>
      </c>
      <c r="C97" s="103">
        <v>9.8000000000000004E-2</v>
      </c>
      <c r="D97" s="103">
        <v>9.8000000000000004E-2</v>
      </c>
      <c r="E97" s="103">
        <v>9.7000000000000003E-2</v>
      </c>
      <c r="F97" s="113"/>
    </row>
    <row r="98" spans="1:6">
      <c r="A98" s="99" t="s">
        <v>267</v>
      </c>
      <c r="B98" s="102" t="s">
        <v>2463</v>
      </c>
      <c r="C98" s="103">
        <v>0.1</v>
      </c>
      <c r="D98" s="103">
        <v>0.1</v>
      </c>
      <c r="E98" s="103">
        <v>9.7000000000000003E-2</v>
      </c>
      <c r="F98" s="113"/>
    </row>
    <row r="99" spans="1:6">
      <c r="A99" s="99" t="s">
        <v>267</v>
      </c>
      <c r="B99" s="102" t="s">
        <v>2470</v>
      </c>
      <c r="C99" s="103">
        <v>0.1</v>
      </c>
      <c r="D99" s="103">
        <v>0.1</v>
      </c>
      <c r="E99" s="109"/>
      <c r="F99" s="113"/>
    </row>
    <row r="100" spans="1:6">
      <c r="A100" s="99" t="s">
        <v>267</v>
      </c>
      <c r="B100" s="102" t="s">
        <v>2477</v>
      </c>
      <c r="C100" s="103">
        <v>0.09</v>
      </c>
      <c r="D100" s="103">
        <v>8.8999999999999996E-2</v>
      </c>
      <c r="E100" s="109"/>
      <c r="F100" s="113"/>
    </row>
    <row r="101" spans="1:6">
      <c r="A101" s="99" t="s">
        <v>267</v>
      </c>
      <c r="B101" s="102" t="s">
        <v>2484</v>
      </c>
      <c r="C101" s="103">
        <v>9.8000000000000004E-2</v>
      </c>
      <c r="D101" s="103">
        <v>9.7000000000000003E-2</v>
      </c>
      <c r="E101" s="109"/>
      <c r="F101" s="113"/>
    </row>
    <row r="102" spans="1:6">
      <c r="A102" s="99" t="s">
        <v>267</v>
      </c>
      <c r="B102" s="102" t="s">
        <v>2491</v>
      </c>
      <c r="C102" s="109"/>
      <c r="D102" s="109"/>
      <c r="E102" s="109"/>
      <c r="F102" s="111">
        <v>0.05</v>
      </c>
    </row>
    <row r="103" spans="1:6" ht="24">
      <c r="A103" s="99" t="s">
        <v>267</v>
      </c>
      <c r="B103" s="102" t="s">
        <v>2496</v>
      </c>
      <c r="C103" s="109"/>
      <c r="D103" s="109"/>
      <c r="E103" s="109"/>
      <c r="F103" s="111">
        <v>0.05</v>
      </c>
    </row>
    <row r="104" spans="1:6">
      <c r="A104" s="99" t="s">
        <v>267</v>
      </c>
      <c r="B104" s="102" t="s">
        <v>2501</v>
      </c>
      <c r="C104" s="109"/>
      <c r="D104" s="109"/>
      <c r="E104" s="109"/>
      <c r="F104" s="111">
        <v>0.05</v>
      </c>
    </row>
    <row r="105" spans="1:6">
      <c r="A105" s="99" t="s">
        <v>267</v>
      </c>
      <c r="B105" s="102" t="s">
        <v>2506</v>
      </c>
      <c r="C105" s="109"/>
      <c r="D105" s="109"/>
      <c r="E105" s="109"/>
      <c r="F105" s="111">
        <v>0.05</v>
      </c>
    </row>
    <row r="106" spans="1:6">
      <c r="A106" s="99" t="s">
        <v>267</v>
      </c>
      <c r="B106" s="102" t="s">
        <v>2511</v>
      </c>
      <c r="C106" s="109"/>
      <c r="D106" s="109"/>
      <c r="E106" s="109"/>
      <c r="F106" s="111">
        <v>0.05</v>
      </c>
    </row>
    <row r="107" spans="1:6" ht="24">
      <c r="A107" s="99" t="s">
        <v>267</v>
      </c>
      <c r="B107" s="102" t="s">
        <v>2516</v>
      </c>
      <c r="C107" s="109"/>
      <c r="D107" s="109"/>
      <c r="E107" s="109"/>
      <c r="F107" s="111">
        <v>0.05</v>
      </c>
    </row>
    <row r="108" spans="1:6" ht="24">
      <c r="A108" s="99" t="s">
        <v>267</v>
      </c>
      <c r="B108" s="102" t="s">
        <v>2521</v>
      </c>
      <c r="C108" s="109"/>
      <c r="D108" s="109"/>
      <c r="E108" s="109"/>
      <c r="F108" s="111">
        <v>0.05</v>
      </c>
    </row>
    <row r="109" spans="1:6" ht="24">
      <c r="A109" s="105" t="s">
        <v>267</v>
      </c>
      <c r="B109" s="114" t="s">
        <v>2526</v>
      </c>
      <c r="C109" s="108"/>
      <c r="D109" s="108"/>
      <c r="E109" s="108"/>
      <c r="F109" s="115">
        <v>0.05</v>
      </c>
    </row>
    <row r="110" spans="1:6">
      <c r="A110" s="99" t="s">
        <v>273</v>
      </c>
      <c r="B110" s="100" t="s">
        <v>2238</v>
      </c>
      <c r="C110" s="101">
        <v>0.129</v>
      </c>
      <c r="D110" s="101">
        <v>0.129</v>
      </c>
      <c r="E110" s="101">
        <v>0.126</v>
      </c>
      <c r="F110" s="110">
        <v>0.13</v>
      </c>
    </row>
    <row r="111" spans="1:6">
      <c r="A111" s="99" t="s">
        <v>273</v>
      </c>
      <c r="B111" s="102" t="s">
        <v>2251</v>
      </c>
      <c r="C111" s="103">
        <v>0.11</v>
      </c>
      <c r="D111" s="103">
        <v>0.11</v>
      </c>
      <c r="E111" s="103">
        <v>9.9000000000000005E-2</v>
      </c>
      <c r="F111" s="111">
        <v>0.128</v>
      </c>
    </row>
    <row r="112" spans="1:6">
      <c r="A112" s="99" t="s">
        <v>273</v>
      </c>
      <c r="B112" s="102" t="s">
        <v>2265</v>
      </c>
      <c r="C112" s="103">
        <v>0.125</v>
      </c>
      <c r="D112" s="103">
        <v>0.125</v>
      </c>
      <c r="E112" s="103">
        <v>0.12</v>
      </c>
      <c r="F112" s="111">
        <v>0.125</v>
      </c>
    </row>
    <row r="113" spans="1:6">
      <c r="A113" s="99" t="s">
        <v>273</v>
      </c>
      <c r="B113" s="102" t="s">
        <v>2277</v>
      </c>
      <c r="C113" s="103">
        <v>0.13</v>
      </c>
      <c r="D113" s="103">
        <v>0.13</v>
      </c>
      <c r="E113" s="103">
        <v>0.13</v>
      </c>
      <c r="F113" s="111">
        <v>0.13</v>
      </c>
    </row>
    <row r="114" spans="1:6">
      <c r="A114" s="99" t="s">
        <v>273</v>
      </c>
      <c r="B114" s="102" t="s">
        <v>2289</v>
      </c>
      <c r="C114" s="103">
        <v>0.123</v>
      </c>
      <c r="D114" s="103">
        <v>0.123</v>
      </c>
      <c r="E114" s="103">
        <v>0.12</v>
      </c>
      <c r="F114" s="111">
        <v>0.13</v>
      </c>
    </row>
    <row r="115" spans="1:6">
      <c r="A115" s="99" t="s">
        <v>273</v>
      </c>
      <c r="B115" s="102" t="s">
        <v>2300</v>
      </c>
      <c r="C115" s="103">
        <v>0.125</v>
      </c>
      <c r="D115" s="103">
        <v>0.125</v>
      </c>
      <c r="E115" s="103">
        <v>0.11700000000000001</v>
      </c>
      <c r="F115" s="111">
        <v>0.13</v>
      </c>
    </row>
    <row r="116" spans="1:6">
      <c r="A116" s="99" t="s">
        <v>273</v>
      </c>
      <c r="B116" s="102" t="s">
        <v>2311</v>
      </c>
      <c r="C116" s="103">
        <v>0.11700000000000001</v>
      </c>
      <c r="D116" s="103">
        <v>0.11700000000000001</v>
      </c>
      <c r="E116" s="103">
        <v>8.7999999999999995E-2</v>
      </c>
      <c r="F116" s="111">
        <v>0.13</v>
      </c>
    </row>
    <row r="117" spans="1:6">
      <c r="A117" s="99" t="s">
        <v>273</v>
      </c>
      <c r="B117" s="102" t="s">
        <v>2322</v>
      </c>
      <c r="C117" s="103">
        <v>0.13</v>
      </c>
      <c r="D117" s="103">
        <v>0.13</v>
      </c>
      <c r="E117" s="103">
        <v>0.129</v>
      </c>
      <c r="F117" s="111">
        <v>0.13</v>
      </c>
    </row>
    <row r="118" spans="1:6">
      <c r="A118" s="99" t="s">
        <v>273</v>
      </c>
      <c r="B118" s="102" t="s">
        <v>2332</v>
      </c>
      <c r="C118" s="103">
        <v>0.123</v>
      </c>
      <c r="D118" s="103">
        <v>0.123</v>
      </c>
      <c r="E118" s="103">
        <v>0.11600000000000001</v>
      </c>
      <c r="F118" s="111">
        <v>0.13</v>
      </c>
    </row>
    <row r="119" spans="1:6">
      <c r="A119" s="99" t="s">
        <v>273</v>
      </c>
      <c r="B119" s="102" t="s">
        <v>2342</v>
      </c>
      <c r="C119" s="103">
        <v>0.127</v>
      </c>
      <c r="D119" s="103">
        <v>0.127</v>
      </c>
      <c r="E119" s="103">
        <v>0.124</v>
      </c>
      <c r="F119" s="111">
        <v>0.13</v>
      </c>
    </row>
    <row r="120" spans="1:6">
      <c r="A120" s="99" t="s">
        <v>273</v>
      </c>
      <c r="B120" s="102" t="s">
        <v>2352</v>
      </c>
      <c r="C120" s="103">
        <v>0.125</v>
      </c>
      <c r="D120" s="103">
        <v>0.125</v>
      </c>
      <c r="E120" s="103">
        <v>0.122</v>
      </c>
      <c r="F120" s="111">
        <v>0.13</v>
      </c>
    </row>
    <row r="121" spans="1:6">
      <c r="A121" s="99" t="s">
        <v>273</v>
      </c>
      <c r="B121" s="102" t="s">
        <v>2362</v>
      </c>
      <c r="C121" s="103">
        <v>0.13</v>
      </c>
      <c r="D121" s="103">
        <v>0.13</v>
      </c>
      <c r="E121" s="103">
        <v>0.13</v>
      </c>
      <c r="F121" s="111">
        <v>0.13</v>
      </c>
    </row>
    <row r="122" spans="1:6">
      <c r="A122" s="99" t="s">
        <v>273</v>
      </c>
      <c r="B122" s="102" t="s">
        <v>2372</v>
      </c>
      <c r="C122" s="103">
        <v>0.13</v>
      </c>
      <c r="D122" s="103">
        <v>0.13</v>
      </c>
      <c r="E122" s="103">
        <v>0.125</v>
      </c>
      <c r="F122" s="111">
        <v>0.13</v>
      </c>
    </row>
    <row r="123" spans="1:6">
      <c r="A123" s="99" t="s">
        <v>273</v>
      </c>
      <c r="B123" s="102" t="s">
        <v>2382</v>
      </c>
      <c r="C123" s="103">
        <v>0.129</v>
      </c>
      <c r="D123" s="103">
        <v>0.129</v>
      </c>
      <c r="E123" s="103">
        <v>0.123</v>
      </c>
      <c r="F123" s="111">
        <v>0.13</v>
      </c>
    </row>
    <row r="124" spans="1:6">
      <c r="A124" s="99" t="s">
        <v>273</v>
      </c>
      <c r="B124" s="102" t="s">
        <v>2392</v>
      </c>
      <c r="C124" s="103">
        <v>0.10199999999999999</v>
      </c>
      <c r="D124" s="103">
        <v>0.10100000000000001</v>
      </c>
      <c r="E124" s="103">
        <v>0.08</v>
      </c>
      <c r="F124" s="113"/>
    </row>
    <row r="125" spans="1:6">
      <c r="A125" s="99" t="s">
        <v>273</v>
      </c>
      <c r="B125" s="102" t="s">
        <v>2402</v>
      </c>
      <c r="C125" s="103">
        <v>0.13</v>
      </c>
      <c r="D125" s="103">
        <v>0.13</v>
      </c>
      <c r="E125" s="103">
        <v>0.129</v>
      </c>
      <c r="F125" s="113"/>
    </row>
    <row r="126" spans="1:6">
      <c r="A126" s="99" t="s">
        <v>273</v>
      </c>
      <c r="B126" s="102" t="s">
        <v>2412</v>
      </c>
      <c r="C126" s="103">
        <v>0.13</v>
      </c>
      <c r="D126" s="103">
        <v>0.13</v>
      </c>
      <c r="E126" s="103">
        <v>0.126</v>
      </c>
      <c r="F126" s="113"/>
    </row>
    <row r="127" spans="1:6">
      <c r="A127" s="99" t="s">
        <v>273</v>
      </c>
      <c r="B127" s="102" t="s">
        <v>2422</v>
      </c>
      <c r="C127" s="103">
        <v>0.125</v>
      </c>
      <c r="D127" s="103">
        <v>0.125</v>
      </c>
      <c r="E127" s="103">
        <v>0.121</v>
      </c>
      <c r="F127" s="113"/>
    </row>
    <row r="128" spans="1:6">
      <c r="A128" s="99" t="s">
        <v>273</v>
      </c>
      <c r="B128" s="102" t="s">
        <v>2432</v>
      </c>
      <c r="C128" s="103">
        <v>0.12</v>
      </c>
      <c r="D128" s="103">
        <v>0.12</v>
      </c>
      <c r="E128" s="103">
        <v>0.105</v>
      </c>
      <c r="F128" s="113"/>
    </row>
    <row r="129" spans="1:6">
      <c r="A129" s="99" t="s">
        <v>273</v>
      </c>
      <c r="B129" s="102" t="s">
        <v>2441</v>
      </c>
      <c r="C129" s="103">
        <v>0.13</v>
      </c>
      <c r="D129" s="103">
        <v>0.13</v>
      </c>
      <c r="E129" s="103">
        <v>0.126</v>
      </c>
      <c r="F129" s="113"/>
    </row>
    <row r="130" spans="1:6">
      <c r="A130" s="99" t="s">
        <v>273</v>
      </c>
      <c r="B130" s="102" t="s">
        <v>2449</v>
      </c>
      <c r="C130" s="103">
        <v>0.125</v>
      </c>
      <c r="D130" s="103">
        <v>0.125</v>
      </c>
      <c r="E130" s="103">
        <v>0.122</v>
      </c>
      <c r="F130" s="113"/>
    </row>
    <row r="131" spans="1:6">
      <c r="A131" s="99" t="s">
        <v>273</v>
      </c>
      <c r="B131" s="102" t="s">
        <v>2457</v>
      </c>
      <c r="C131" s="103">
        <v>0.127</v>
      </c>
      <c r="D131" s="103">
        <v>0.126</v>
      </c>
      <c r="E131" s="103">
        <v>0.123</v>
      </c>
      <c r="F131" s="113"/>
    </row>
    <row r="132" spans="1:6">
      <c r="A132" s="99" t="s">
        <v>273</v>
      </c>
      <c r="B132" s="102" t="s">
        <v>2464</v>
      </c>
      <c r="C132" s="103">
        <v>9.0999999999999998E-2</v>
      </c>
      <c r="D132" s="103">
        <v>0.121</v>
      </c>
      <c r="E132" s="103">
        <v>9.9000000000000005E-2</v>
      </c>
      <c r="F132" s="113"/>
    </row>
    <row r="133" spans="1:6">
      <c r="A133" s="99" t="s">
        <v>273</v>
      </c>
      <c r="B133" s="102" t="s">
        <v>2471</v>
      </c>
      <c r="C133" s="103">
        <v>0.13</v>
      </c>
      <c r="D133" s="103">
        <v>0.13</v>
      </c>
      <c r="E133" s="103">
        <v>0.129</v>
      </c>
      <c r="F133" s="113"/>
    </row>
    <row r="134" spans="1:6">
      <c r="A134" s="99" t="s">
        <v>273</v>
      </c>
      <c r="B134" s="102" t="s">
        <v>2478</v>
      </c>
      <c r="C134" s="103">
        <v>6.8000000000000005E-2</v>
      </c>
      <c r="D134" s="103">
        <v>6.5000000000000002E-2</v>
      </c>
      <c r="E134" s="103">
        <v>6.5000000000000002E-2</v>
      </c>
      <c r="F134" s="111">
        <v>0.13</v>
      </c>
    </row>
    <row r="135" spans="1:6">
      <c r="A135" s="99" t="s">
        <v>273</v>
      </c>
      <c r="B135" s="102" t="s">
        <v>2485</v>
      </c>
      <c r="C135" s="103">
        <v>0.123</v>
      </c>
      <c r="D135" s="103">
        <v>0.123</v>
      </c>
      <c r="E135" s="103">
        <v>0.11</v>
      </c>
      <c r="F135" s="113"/>
    </row>
    <row r="136" spans="1:6">
      <c r="A136" s="99" t="s">
        <v>273</v>
      </c>
      <c r="B136" s="102" t="s">
        <v>2492</v>
      </c>
      <c r="C136" s="103">
        <v>0.13</v>
      </c>
      <c r="D136" s="103">
        <v>0.13</v>
      </c>
      <c r="E136" s="103">
        <v>0.125</v>
      </c>
      <c r="F136" s="113"/>
    </row>
    <row r="137" spans="1:6">
      <c r="A137" s="99" t="s">
        <v>273</v>
      </c>
      <c r="B137" s="102" t="s">
        <v>2497</v>
      </c>
      <c r="C137" s="103">
        <v>0.121</v>
      </c>
      <c r="D137" s="103">
        <v>0.122</v>
      </c>
      <c r="E137" s="103">
        <v>0.115</v>
      </c>
      <c r="F137" s="113"/>
    </row>
    <row r="138" spans="1:6">
      <c r="A138" s="99" t="s">
        <v>273</v>
      </c>
      <c r="B138" s="102" t="s">
        <v>2502</v>
      </c>
      <c r="C138" s="103">
        <v>0.105</v>
      </c>
      <c r="D138" s="103">
        <v>0.125</v>
      </c>
      <c r="E138" s="103">
        <v>0.112</v>
      </c>
      <c r="F138" s="113"/>
    </row>
    <row r="139" spans="1:6">
      <c r="A139" s="99" t="s">
        <v>273</v>
      </c>
      <c r="B139" s="102" t="s">
        <v>2507</v>
      </c>
      <c r="C139" s="103">
        <v>0.127</v>
      </c>
      <c r="D139" s="103">
        <v>0.127</v>
      </c>
      <c r="E139" s="103">
        <v>0.122</v>
      </c>
      <c r="F139" s="111">
        <v>0.13</v>
      </c>
    </row>
    <row r="140" spans="1:6">
      <c r="A140" s="99" t="s">
        <v>273</v>
      </c>
      <c r="B140" s="102" t="s">
        <v>2512</v>
      </c>
      <c r="C140" s="103">
        <v>0.125</v>
      </c>
      <c r="D140" s="103">
        <v>0.125</v>
      </c>
      <c r="E140" s="103">
        <v>0.11899999999999999</v>
      </c>
      <c r="F140" s="111">
        <v>0.13</v>
      </c>
    </row>
    <row r="141" spans="1:6">
      <c r="A141" s="99" t="s">
        <v>273</v>
      </c>
      <c r="B141" s="102" t="s">
        <v>2517</v>
      </c>
      <c r="C141" s="103">
        <v>0.125</v>
      </c>
      <c r="D141" s="103">
        <v>0.125</v>
      </c>
      <c r="E141" s="103">
        <v>0.11700000000000001</v>
      </c>
      <c r="F141" s="113"/>
    </row>
    <row r="142" spans="1:6">
      <c r="A142" s="99" t="s">
        <v>273</v>
      </c>
      <c r="B142" s="102" t="s">
        <v>2522</v>
      </c>
      <c r="C142" s="103">
        <v>0.125</v>
      </c>
      <c r="D142" s="103">
        <v>0.125</v>
      </c>
      <c r="E142" s="103">
        <v>0.115</v>
      </c>
      <c r="F142" s="113"/>
    </row>
    <row r="143" spans="1:6">
      <c r="A143" s="99" t="s">
        <v>273</v>
      </c>
      <c r="B143" s="102" t="s">
        <v>2527</v>
      </c>
      <c r="C143" s="103">
        <v>0.121</v>
      </c>
      <c r="D143" s="103">
        <v>0.121</v>
      </c>
      <c r="E143" s="103">
        <v>0.108</v>
      </c>
      <c r="F143" s="113"/>
    </row>
    <row r="144" spans="1:6">
      <c r="A144" s="99" t="s">
        <v>273</v>
      </c>
      <c r="B144" s="116" t="s">
        <v>2531</v>
      </c>
      <c r="C144" s="117">
        <v>0.126</v>
      </c>
      <c r="D144" s="117">
        <v>0.126</v>
      </c>
      <c r="E144" s="117">
        <v>0.121</v>
      </c>
      <c r="F144" s="113"/>
    </row>
    <row r="145" spans="1:6">
      <c r="A145" s="105" t="s">
        <v>273</v>
      </c>
      <c r="B145" s="118" t="s">
        <v>2535</v>
      </c>
      <c r="C145" s="119"/>
      <c r="D145" s="119"/>
      <c r="E145" s="119"/>
      <c r="F145" s="121">
        <v>0.05</v>
      </c>
    </row>
    <row r="146" spans="1:6" ht="24">
      <c r="A146" s="120" t="s">
        <v>273</v>
      </c>
      <c r="B146" s="104" t="s">
        <v>2539</v>
      </c>
      <c r="C146" s="109"/>
      <c r="D146" s="109"/>
      <c r="E146" s="109"/>
      <c r="F146" s="122">
        <v>0.05</v>
      </c>
    </row>
    <row r="147" spans="1:6" ht="24">
      <c r="A147" s="99" t="s">
        <v>273</v>
      </c>
      <c r="B147" s="102" t="s">
        <v>2543</v>
      </c>
      <c r="C147" s="109"/>
      <c r="D147" s="109"/>
      <c r="E147" s="109"/>
      <c r="F147" s="111">
        <v>0.05</v>
      </c>
    </row>
    <row r="148" spans="1:6" ht="24">
      <c r="A148" s="99" t="s">
        <v>273</v>
      </c>
      <c r="B148" s="102" t="s">
        <v>2547</v>
      </c>
      <c r="C148" s="109"/>
      <c r="D148" s="109"/>
      <c r="E148" s="109"/>
      <c r="F148" s="111">
        <v>0.05</v>
      </c>
    </row>
    <row r="149" spans="1:6" ht="24">
      <c r="A149" s="99" t="s">
        <v>273</v>
      </c>
      <c r="B149" s="102" t="s">
        <v>2551</v>
      </c>
      <c r="C149" s="109"/>
      <c r="D149" s="109"/>
      <c r="E149" s="109"/>
      <c r="F149" s="111">
        <v>0.05</v>
      </c>
    </row>
    <row r="150" spans="1:6" ht="24">
      <c r="A150" s="99" t="s">
        <v>273</v>
      </c>
      <c r="B150" s="102" t="s">
        <v>2554</v>
      </c>
      <c r="C150" s="109"/>
      <c r="D150" s="109"/>
      <c r="E150" s="109"/>
      <c r="F150" s="111">
        <v>0.05</v>
      </c>
    </row>
    <row r="151" spans="1:6" ht="24">
      <c r="A151" s="99" t="s">
        <v>273</v>
      </c>
      <c r="B151" s="102" t="s">
        <v>2557</v>
      </c>
      <c r="C151" s="109"/>
      <c r="D151" s="109"/>
      <c r="E151" s="109"/>
      <c r="F151" s="111">
        <v>0.05</v>
      </c>
    </row>
    <row r="152" spans="1:6" ht="24">
      <c r="A152" s="99" t="s">
        <v>273</v>
      </c>
      <c r="B152" s="102" t="s">
        <v>2560</v>
      </c>
      <c r="C152" s="109"/>
      <c r="D152" s="109"/>
      <c r="E152" s="109"/>
      <c r="F152" s="111">
        <v>0.05</v>
      </c>
    </row>
    <row r="153" spans="1:6">
      <c r="A153" s="99" t="s">
        <v>273</v>
      </c>
      <c r="B153" s="102" t="s">
        <v>2563</v>
      </c>
      <c r="C153" s="109"/>
      <c r="D153" s="109"/>
      <c r="E153" s="109"/>
      <c r="F153" s="111">
        <v>0.05</v>
      </c>
    </row>
    <row r="154" spans="1:6">
      <c r="A154" s="99" t="s">
        <v>273</v>
      </c>
      <c r="B154" s="102" t="s">
        <v>2566</v>
      </c>
      <c r="C154" s="109"/>
      <c r="D154" s="109"/>
      <c r="E154" s="109"/>
      <c r="F154" s="111">
        <v>0.05</v>
      </c>
    </row>
    <row r="155" spans="1:6" ht="24">
      <c r="A155" s="99" t="s">
        <v>273</v>
      </c>
      <c r="B155" s="102" t="s">
        <v>2569</v>
      </c>
      <c r="C155" s="109"/>
      <c r="D155" s="109"/>
      <c r="E155" s="109"/>
      <c r="F155" s="111">
        <v>0.05</v>
      </c>
    </row>
    <row r="156" spans="1:6" ht="24">
      <c r="A156" s="99" t="s">
        <v>273</v>
      </c>
      <c r="B156" s="102" t="s">
        <v>2571</v>
      </c>
      <c r="C156" s="109"/>
      <c r="D156" s="109"/>
      <c r="E156" s="109"/>
      <c r="F156" s="111">
        <v>0.05</v>
      </c>
    </row>
    <row r="157" spans="1:6">
      <c r="A157" s="105" t="s">
        <v>273</v>
      </c>
      <c r="B157" s="114" t="s">
        <v>2573</v>
      </c>
      <c r="C157" s="108"/>
      <c r="D157" s="108"/>
      <c r="E157" s="108"/>
      <c r="F157" s="115">
        <v>0.05</v>
      </c>
    </row>
    <row r="158" spans="1:6">
      <c r="A158" s="99" t="s">
        <v>278</v>
      </c>
      <c r="B158" s="100" t="s">
        <v>2239</v>
      </c>
      <c r="C158" s="101">
        <v>0.13</v>
      </c>
      <c r="D158" s="101">
        <v>0.13</v>
      </c>
      <c r="E158" s="101">
        <v>0.13</v>
      </c>
      <c r="F158" s="110">
        <v>0.13</v>
      </c>
    </row>
    <row r="159" spans="1:6">
      <c r="A159" s="99" t="s">
        <v>278</v>
      </c>
      <c r="B159" s="102" t="s">
        <v>2252</v>
      </c>
      <c r="C159" s="103">
        <v>0.13</v>
      </c>
      <c r="D159" s="103">
        <v>0.13</v>
      </c>
      <c r="E159" s="103">
        <v>0.13</v>
      </c>
      <c r="F159" s="111">
        <v>0.13</v>
      </c>
    </row>
    <row r="160" spans="1:6">
      <c r="A160" s="99" t="s">
        <v>278</v>
      </c>
      <c r="B160" s="102" t="s">
        <v>2266</v>
      </c>
      <c r="C160" s="103">
        <v>0.13</v>
      </c>
      <c r="D160" s="103">
        <v>0.13</v>
      </c>
      <c r="E160" s="103">
        <v>0.129</v>
      </c>
      <c r="F160" s="111">
        <v>0.13</v>
      </c>
    </row>
    <row r="161" spans="1:6">
      <c r="A161" s="99" t="s">
        <v>278</v>
      </c>
      <c r="B161" s="102" t="s">
        <v>2278</v>
      </c>
      <c r="C161" s="103">
        <v>0.128</v>
      </c>
      <c r="D161" s="103">
        <v>0.128</v>
      </c>
      <c r="E161" s="103">
        <v>0.125</v>
      </c>
      <c r="F161" s="111">
        <v>0.13</v>
      </c>
    </row>
    <row r="162" spans="1:6">
      <c r="A162" s="99" t="s">
        <v>278</v>
      </c>
      <c r="B162" s="102" t="s">
        <v>2290</v>
      </c>
      <c r="C162" s="103">
        <v>0.122</v>
      </c>
      <c r="D162" s="103">
        <v>0.122</v>
      </c>
      <c r="E162" s="103">
        <v>0.126</v>
      </c>
      <c r="F162" s="111">
        <v>0.122</v>
      </c>
    </row>
    <row r="163" spans="1:6">
      <c r="A163" s="99" t="s">
        <v>278</v>
      </c>
      <c r="B163" s="102" t="s">
        <v>2301</v>
      </c>
      <c r="C163" s="103">
        <v>0.13</v>
      </c>
      <c r="D163" s="103">
        <v>0.13</v>
      </c>
      <c r="E163" s="103">
        <v>0.125</v>
      </c>
      <c r="F163" s="111">
        <v>0.13</v>
      </c>
    </row>
    <row r="164" spans="1:6">
      <c r="A164" s="99" t="s">
        <v>278</v>
      </c>
      <c r="B164" s="102" t="s">
        <v>2312</v>
      </c>
      <c r="C164" s="103">
        <v>0.13</v>
      </c>
      <c r="D164" s="103">
        <v>0.13</v>
      </c>
      <c r="E164" s="103">
        <v>0.13</v>
      </c>
      <c r="F164" s="111">
        <v>0.13</v>
      </c>
    </row>
    <row r="165" spans="1:6">
      <c r="A165" s="99" t="s">
        <v>278</v>
      </c>
      <c r="B165" s="102" t="s">
        <v>2323</v>
      </c>
      <c r="C165" s="103">
        <v>0.13</v>
      </c>
      <c r="D165" s="103">
        <v>0.13</v>
      </c>
      <c r="E165" s="103">
        <v>0.124</v>
      </c>
      <c r="F165" s="111">
        <v>0.13</v>
      </c>
    </row>
    <row r="166" spans="1:6">
      <c r="A166" s="99" t="s">
        <v>278</v>
      </c>
      <c r="B166" s="102" t="s">
        <v>2333</v>
      </c>
      <c r="C166" s="103">
        <v>0.13</v>
      </c>
      <c r="D166" s="103">
        <v>0.13</v>
      </c>
      <c r="E166" s="103">
        <v>0.13</v>
      </c>
      <c r="F166" s="111">
        <v>0.13</v>
      </c>
    </row>
    <row r="167" spans="1:6">
      <c r="A167" s="99" t="s">
        <v>278</v>
      </c>
      <c r="B167" s="102" t="s">
        <v>2343</v>
      </c>
      <c r="C167" s="103">
        <v>0.125</v>
      </c>
      <c r="D167" s="103">
        <v>0.125</v>
      </c>
      <c r="E167" s="103">
        <v>0.121</v>
      </c>
      <c r="F167" s="113"/>
    </row>
    <row r="168" spans="1:6">
      <c r="A168" s="99" t="s">
        <v>278</v>
      </c>
      <c r="B168" s="102" t="s">
        <v>2353</v>
      </c>
      <c r="C168" s="103">
        <v>0.13</v>
      </c>
      <c r="D168" s="103">
        <v>0.13</v>
      </c>
      <c r="E168" s="103">
        <v>0.126</v>
      </c>
      <c r="F168" s="113"/>
    </row>
    <row r="169" spans="1:6">
      <c r="A169" s="99" t="s">
        <v>278</v>
      </c>
      <c r="B169" s="102" t="s">
        <v>2363</v>
      </c>
      <c r="C169" s="103">
        <v>0.128</v>
      </c>
      <c r="D169" s="103">
        <v>0.129</v>
      </c>
      <c r="E169" s="103">
        <v>0.13</v>
      </c>
      <c r="F169" s="113"/>
    </row>
    <row r="170" spans="1:6">
      <c r="A170" s="99" t="s">
        <v>278</v>
      </c>
      <c r="B170" s="102" t="s">
        <v>2373</v>
      </c>
      <c r="C170" s="103">
        <v>0.14099999999999999</v>
      </c>
      <c r="D170" s="103">
        <v>0.13</v>
      </c>
      <c r="E170" s="103">
        <v>0.125</v>
      </c>
      <c r="F170" s="113"/>
    </row>
    <row r="171" spans="1:6">
      <c r="A171" s="99" t="s">
        <v>278</v>
      </c>
      <c r="B171" s="102" t="s">
        <v>2383</v>
      </c>
      <c r="C171" s="103">
        <v>0.127</v>
      </c>
      <c r="D171" s="103">
        <v>0.126</v>
      </c>
      <c r="E171" s="103">
        <v>0.126</v>
      </c>
      <c r="F171" s="111">
        <v>0.11799999999999999</v>
      </c>
    </row>
    <row r="172" spans="1:6">
      <c r="A172" s="99" t="s">
        <v>278</v>
      </c>
      <c r="B172" s="102" t="s">
        <v>2393</v>
      </c>
      <c r="C172" s="103">
        <v>0.13</v>
      </c>
      <c r="D172" s="103">
        <v>0.13</v>
      </c>
      <c r="E172" s="103">
        <v>0.13</v>
      </c>
      <c r="F172" s="113"/>
    </row>
    <row r="173" spans="1:6">
      <c r="A173" s="99" t="s">
        <v>278</v>
      </c>
      <c r="B173" s="102" t="s">
        <v>2403</v>
      </c>
      <c r="C173" s="103">
        <v>0.13</v>
      </c>
      <c r="D173" s="103">
        <v>0.13</v>
      </c>
      <c r="E173" s="103">
        <v>0.13</v>
      </c>
      <c r="F173" s="113"/>
    </row>
    <row r="174" spans="1:6">
      <c r="A174" s="99" t="s">
        <v>278</v>
      </c>
      <c r="B174" s="102" t="s">
        <v>2413</v>
      </c>
      <c r="C174" s="103">
        <v>0.13</v>
      </c>
      <c r="D174" s="103">
        <v>0.13</v>
      </c>
      <c r="E174" s="103">
        <v>0.13</v>
      </c>
      <c r="F174" s="111">
        <v>0.13</v>
      </c>
    </row>
    <row r="175" spans="1:6">
      <c r="A175" s="99" t="s">
        <v>278</v>
      </c>
      <c r="B175" s="102" t="s">
        <v>2423</v>
      </c>
      <c r="C175" s="103">
        <v>0.13</v>
      </c>
      <c r="D175" s="103">
        <v>0.13</v>
      </c>
      <c r="E175" s="103">
        <v>0.13</v>
      </c>
      <c r="F175" s="111">
        <v>0.13</v>
      </c>
    </row>
    <row r="176" spans="1:6">
      <c r="A176" s="99" t="s">
        <v>278</v>
      </c>
      <c r="B176" s="102" t="s">
        <v>2433</v>
      </c>
      <c r="C176" s="103">
        <v>0.13</v>
      </c>
      <c r="D176" s="103">
        <v>0.13</v>
      </c>
      <c r="E176" s="103">
        <v>0.13</v>
      </c>
      <c r="F176" s="111">
        <v>0.13</v>
      </c>
    </row>
    <row r="177" spans="1:6">
      <c r="A177" s="99" t="s">
        <v>278</v>
      </c>
      <c r="B177" s="102" t="s">
        <v>2442</v>
      </c>
      <c r="C177" s="103">
        <v>0.13</v>
      </c>
      <c r="D177" s="103">
        <v>0.13</v>
      </c>
      <c r="E177" s="103">
        <v>0.13</v>
      </c>
      <c r="F177" s="111">
        <v>0.13</v>
      </c>
    </row>
    <row r="178" spans="1:6">
      <c r="A178" s="99" t="s">
        <v>278</v>
      </c>
      <c r="B178" s="102" t="s">
        <v>2450</v>
      </c>
      <c r="C178" s="103">
        <v>0.13</v>
      </c>
      <c r="D178" s="103">
        <v>0.13</v>
      </c>
      <c r="E178" s="103">
        <v>0.13</v>
      </c>
      <c r="F178" s="111">
        <v>0.127</v>
      </c>
    </row>
    <row r="179" spans="1:6">
      <c r="A179" s="99" t="s">
        <v>278</v>
      </c>
      <c r="B179" s="102" t="s">
        <v>2458</v>
      </c>
      <c r="C179" s="103">
        <v>0.13</v>
      </c>
      <c r="D179" s="103">
        <v>0.13</v>
      </c>
      <c r="E179" s="103">
        <v>0.13</v>
      </c>
      <c r="F179" s="113"/>
    </row>
    <row r="180" spans="1:6">
      <c r="A180" s="99" t="s">
        <v>278</v>
      </c>
      <c r="B180" s="102" t="s">
        <v>2465</v>
      </c>
      <c r="C180" s="103">
        <v>0.13</v>
      </c>
      <c r="D180" s="103">
        <v>0.13</v>
      </c>
      <c r="E180" s="103">
        <v>0.125</v>
      </c>
      <c r="F180" s="111">
        <v>0.13</v>
      </c>
    </row>
    <row r="181" spans="1:6">
      <c r="A181" s="99" t="s">
        <v>278</v>
      </c>
      <c r="B181" s="102" t="s">
        <v>2472</v>
      </c>
      <c r="C181" s="103">
        <v>0.122</v>
      </c>
      <c r="D181" s="103">
        <v>0.123</v>
      </c>
      <c r="E181" s="103">
        <v>0.126</v>
      </c>
      <c r="F181" s="111">
        <v>0.121</v>
      </c>
    </row>
    <row r="182" spans="1:6">
      <c r="A182" s="99" t="s">
        <v>278</v>
      </c>
      <c r="B182" s="102" t="s">
        <v>2479</v>
      </c>
      <c r="C182" s="103">
        <v>0.125</v>
      </c>
      <c r="D182" s="103">
        <v>0.125</v>
      </c>
      <c r="E182" s="103">
        <v>0.11700000000000001</v>
      </c>
      <c r="F182" s="111">
        <v>0.13</v>
      </c>
    </row>
    <row r="183" spans="1:6">
      <c r="A183" s="99" t="s">
        <v>278</v>
      </c>
      <c r="B183" s="102" t="s">
        <v>2486</v>
      </c>
      <c r="C183" s="103">
        <v>0.127</v>
      </c>
      <c r="D183" s="103">
        <v>0.127</v>
      </c>
      <c r="E183" s="103">
        <v>0.128</v>
      </c>
      <c r="F183" s="113"/>
    </row>
    <row r="184" spans="1:6">
      <c r="A184" s="99" t="s">
        <v>278</v>
      </c>
      <c r="B184" s="102" t="s">
        <v>2493</v>
      </c>
      <c r="C184" s="103">
        <v>0.125</v>
      </c>
      <c r="D184" s="103">
        <v>0.125</v>
      </c>
      <c r="E184" s="103">
        <v>0.127</v>
      </c>
      <c r="F184" s="113"/>
    </row>
    <row r="185" spans="1:6">
      <c r="A185" s="99" t="s">
        <v>278</v>
      </c>
      <c r="B185" s="102" t="s">
        <v>2498</v>
      </c>
      <c r="C185" s="103">
        <v>0.127</v>
      </c>
      <c r="D185" s="103">
        <v>0.127</v>
      </c>
      <c r="E185" s="103">
        <v>0.128</v>
      </c>
      <c r="F185" s="111">
        <v>0.13</v>
      </c>
    </row>
    <row r="186" spans="1:6" ht="24">
      <c r="A186" s="99" t="s">
        <v>278</v>
      </c>
      <c r="B186" s="102" t="s">
        <v>2503</v>
      </c>
      <c r="C186" s="109"/>
      <c r="D186" s="109"/>
      <c r="E186" s="109"/>
      <c r="F186" s="111">
        <v>0.05</v>
      </c>
    </row>
    <row r="187" spans="1:6">
      <c r="A187" s="99" t="s">
        <v>278</v>
      </c>
      <c r="B187" s="102" t="s">
        <v>2508</v>
      </c>
      <c r="C187" s="109"/>
      <c r="D187" s="109"/>
      <c r="E187" s="109"/>
      <c r="F187" s="111">
        <v>0.05</v>
      </c>
    </row>
    <row r="188" spans="1:6">
      <c r="A188" s="99" t="s">
        <v>278</v>
      </c>
      <c r="B188" s="102" t="s">
        <v>2513</v>
      </c>
      <c r="C188" s="109"/>
      <c r="D188" s="109"/>
      <c r="E188" s="109"/>
      <c r="F188" s="111">
        <v>0.05</v>
      </c>
    </row>
    <row r="189" spans="1:6" ht="24">
      <c r="A189" s="99" t="s">
        <v>278</v>
      </c>
      <c r="B189" s="102" t="s">
        <v>2518</v>
      </c>
      <c r="C189" s="109"/>
      <c r="D189" s="109"/>
      <c r="E189" s="109"/>
      <c r="F189" s="111">
        <v>0.05</v>
      </c>
    </row>
    <row r="190" spans="1:6" ht="24">
      <c r="A190" s="99" t="s">
        <v>278</v>
      </c>
      <c r="B190" s="102" t="s">
        <v>2523</v>
      </c>
      <c r="C190" s="109"/>
      <c r="D190" s="109"/>
      <c r="E190" s="109"/>
      <c r="F190" s="111">
        <v>0.05</v>
      </c>
    </row>
    <row r="191" spans="1:6" ht="24">
      <c r="A191" s="99" t="s">
        <v>278</v>
      </c>
      <c r="B191" s="102" t="s">
        <v>2528</v>
      </c>
      <c r="C191" s="109"/>
      <c r="D191" s="109"/>
      <c r="E191" s="109"/>
      <c r="F191" s="111">
        <v>0.05</v>
      </c>
    </row>
    <row r="192" spans="1:6" ht="24">
      <c r="A192" s="99" t="s">
        <v>278</v>
      </c>
      <c r="B192" s="102" t="s">
        <v>2532</v>
      </c>
      <c r="C192" s="109"/>
      <c r="D192" s="109"/>
      <c r="E192" s="109"/>
      <c r="F192" s="111">
        <v>0.05</v>
      </c>
    </row>
    <row r="193" spans="1:6" ht="24">
      <c r="A193" s="99" t="s">
        <v>278</v>
      </c>
      <c r="B193" s="102" t="s">
        <v>2536</v>
      </c>
      <c r="C193" s="109"/>
      <c r="D193" s="109"/>
      <c r="E193" s="109"/>
      <c r="F193" s="111">
        <v>0.05</v>
      </c>
    </row>
    <row r="194" spans="1:6" ht="24">
      <c r="A194" s="99" t="s">
        <v>278</v>
      </c>
      <c r="B194" s="102" t="s">
        <v>2540</v>
      </c>
      <c r="C194" s="109"/>
      <c r="D194" s="109"/>
      <c r="E194" s="109"/>
      <c r="F194" s="111">
        <v>0.05</v>
      </c>
    </row>
    <row r="195" spans="1:6">
      <c r="A195" s="99" t="s">
        <v>278</v>
      </c>
      <c r="B195" s="102" t="s">
        <v>2544</v>
      </c>
      <c r="C195" s="109"/>
      <c r="D195" s="109"/>
      <c r="E195" s="109"/>
      <c r="F195" s="111">
        <v>0.05</v>
      </c>
    </row>
    <row r="196" spans="1:6" ht="24">
      <c r="A196" s="99" t="s">
        <v>278</v>
      </c>
      <c r="B196" s="102" t="s">
        <v>2548</v>
      </c>
      <c r="C196" s="109"/>
      <c r="D196" s="109"/>
      <c r="E196" s="109"/>
      <c r="F196" s="111">
        <v>0.05</v>
      </c>
    </row>
    <row r="197" spans="1:6" ht="24">
      <c r="A197" s="99" t="s">
        <v>278</v>
      </c>
      <c r="B197" s="102" t="s">
        <v>2552</v>
      </c>
      <c r="C197" s="109"/>
      <c r="D197" s="109"/>
      <c r="E197" s="109"/>
      <c r="F197" s="111">
        <v>0.05</v>
      </c>
    </row>
    <row r="198" spans="1:6" ht="24">
      <c r="A198" s="99" t="s">
        <v>278</v>
      </c>
      <c r="B198" s="102" t="s">
        <v>2555</v>
      </c>
      <c r="C198" s="109"/>
      <c r="D198" s="109"/>
      <c r="E198" s="109"/>
      <c r="F198" s="111">
        <v>0.05</v>
      </c>
    </row>
    <row r="199" spans="1:6" ht="24">
      <c r="A199" s="99" t="s">
        <v>278</v>
      </c>
      <c r="B199" s="102" t="s">
        <v>2558</v>
      </c>
      <c r="C199" s="109"/>
      <c r="D199" s="109"/>
      <c r="E199" s="109"/>
      <c r="F199" s="111">
        <v>0.05</v>
      </c>
    </row>
    <row r="200" spans="1:6" ht="24">
      <c r="A200" s="99" t="s">
        <v>278</v>
      </c>
      <c r="B200" s="102" t="s">
        <v>2561</v>
      </c>
      <c r="C200" s="109"/>
      <c r="D200" s="109"/>
      <c r="E200" s="109"/>
      <c r="F200" s="111">
        <v>0.05</v>
      </c>
    </row>
    <row r="201" spans="1:6" ht="24">
      <c r="A201" s="99" t="s">
        <v>278</v>
      </c>
      <c r="B201" s="102" t="s">
        <v>2564</v>
      </c>
      <c r="C201" s="109"/>
      <c r="D201" s="109"/>
      <c r="E201" s="109"/>
      <c r="F201" s="111">
        <v>0.05</v>
      </c>
    </row>
    <row r="202" spans="1:6" ht="24">
      <c r="A202" s="99" t="s">
        <v>278</v>
      </c>
      <c r="B202" s="102" t="s">
        <v>2567</v>
      </c>
      <c r="C202" s="109"/>
      <c r="D202" s="109"/>
      <c r="E202" s="109"/>
      <c r="F202" s="111">
        <v>0.05</v>
      </c>
    </row>
    <row r="203" spans="1:6" ht="24">
      <c r="A203" s="99" t="s">
        <v>278</v>
      </c>
      <c r="B203" s="102" t="s">
        <v>2570</v>
      </c>
      <c r="C203" s="109"/>
      <c r="D203" s="109"/>
      <c r="E203" s="109"/>
      <c r="F203" s="111">
        <v>0.05</v>
      </c>
    </row>
    <row r="204" spans="1:6">
      <c r="A204" s="99" t="s">
        <v>278</v>
      </c>
      <c r="B204" s="102" t="s">
        <v>2572</v>
      </c>
      <c r="C204" s="109"/>
      <c r="D204" s="109"/>
      <c r="E204" s="109"/>
      <c r="F204" s="111">
        <v>0.05</v>
      </c>
    </row>
    <row r="205" spans="1:6">
      <c r="A205" s="105" t="s">
        <v>278</v>
      </c>
      <c r="B205" s="114" t="s">
        <v>2574</v>
      </c>
      <c r="C205" s="108"/>
      <c r="D205" s="108"/>
      <c r="E205" s="108"/>
      <c r="F205" s="115">
        <v>0.05</v>
      </c>
    </row>
    <row r="206" spans="1:6">
      <c r="A206" s="99" t="s">
        <v>283</v>
      </c>
      <c r="B206" s="100" t="s">
        <v>2240</v>
      </c>
      <c r="C206" s="101">
        <v>0.15</v>
      </c>
      <c r="D206" s="101">
        <v>0.15</v>
      </c>
      <c r="E206" s="101">
        <v>0.15</v>
      </c>
      <c r="F206" s="110">
        <v>0.15</v>
      </c>
    </row>
    <row r="207" spans="1:6">
      <c r="A207" s="99" t="s">
        <v>283</v>
      </c>
      <c r="B207" s="102" t="s">
        <v>2253</v>
      </c>
      <c r="C207" s="103">
        <v>0.15</v>
      </c>
      <c r="D207" s="103">
        <v>0.15</v>
      </c>
      <c r="E207" s="103">
        <v>0.15</v>
      </c>
      <c r="F207" s="111">
        <v>0.14399999999999999</v>
      </c>
    </row>
    <row r="208" spans="1:6">
      <c r="A208" s="99" t="s">
        <v>283</v>
      </c>
      <c r="B208" s="102" t="s">
        <v>2267</v>
      </c>
      <c r="C208" s="103">
        <v>0.15</v>
      </c>
      <c r="D208" s="103">
        <v>0.15</v>
      </c>
      <c r="E208" s="103">
        <v>0.15</v>
      </c>
      <c r="F208" s="111">
        <v>0.15</v>
      </c>
    </row>
    <row r="209" spans="1:6">
      <c r="A209" s="99" t="s">
        <v>283</v>
      </c>
      <c r="B209" s="102" t="s">
        <v>2279</v>
      </c>
      <c r="C209" s="103">
        <v>0.13700000000000001</v>
      </c>
      <c r="D209" s="103">
        <v>0.13700000000000001</v>
      </c>
      <c r="E209" s="103">
        <v>0.14000000000000001</v>
      </c>
      <c r="F209" s="111">
        <v>0.11700000000000001</v>
      </c>
    </row>
    <row r="210" spans="1:6">
      <c r="A210" s="99" t="s">
        <v>283</v>
      </c>
      <c r="B210" s="102" t="s">
        <v>2291</v>
      </c>
      <c r="C210" s="103">
        <v>0.15</v>
      </c>
      <c r="D210" s="103">
        <v>0.15</v>
      </c>
      <c r="E210" s="103">
        <v>0.15</v>
      </c>
      <c r="F210" s="111">
        <v>0.13800000000000001</v>
      </c>
    </row>
    <row r="211" spans="1:6">
      <c r="A211" s="99" t="s">
        <v>283</v>
      </c>
      <c r="B211" s="102" t="s">
        <v>2302</v>
      </c>
      <c r="C211" s="103">
        <v>0.13700000000000001</v>
      </c>
      <c r="D211" s="103">
        <v>0.13500000000000001</v>
      </c>
      <c r="E211" s="103">
        <v>0.13600000000000001</v>
      </c>
      <c r="F211" s="111">
        <v>0.1</v>
      </c>
    </row>
    <row r="212" spans="1:6">
      <c r="A212" s="99" t="s">
        <v>283</v>
      </c>
      <c r="B212" s="102" t="s">
        <v>2313</v>
      </c>
      <c r="C212" s="103">
        <v>0.15</v>
      </c>
      <c r="D212" s="103">
        <v>0.15</v>
      </c>
      <c r="E212" s="103">
        <v>0.14799999999999999</v>
      </c>
      <c r="F212" s="111">
        <v>0.13600000000000001</v>
      </c>
    </row>
    <row r="213" spans="1:6">
      <c r="A213" s="99" t="s">
        <v>283</v>
      </c>
      <c r="B213" s="102" t="s">
        <v>2324</v>
      </c>
      <c r="C213" s="103">
        <v>0.15</v>
      </c>
      <c r="D213" s="103">
        <v>0.15</v>
      </c>
      <c r="E213" s="103">
        <v>0.15</v>
      </c>
      <c r="F213" s="111">
        <v>0.13800000000000001</v>
      </c>
    </row>
    <row r="214" spans="1:6">
      <c r="A214" s="99" t="s">
        <v>283</v>
      </c>
      <c r="B214" s="102" t="s">
        <v>2334</v>
      </c>
      <c r="C214" s="103">
        <v>9.0999999999999998E-2</v>
      </c>
      <c r="D214" s="103">
        <v>0.09</v>
      </c>
      <c r="E214" s="103">
        <v>9.1999999999999998E-2</v>
      </c>
      <c r="F214" s="113"/>
    </row>
    <row r="215" spans="1:6">
      <c r="A215" s="99" t="s">
        <v>283</v>
      </c>
      <c r="B215" s="102" t="s">
        <v>2344</v>
      </c>
      <c r="C215" s="103">
        <v>0.15</v>
      </c>
      <c r="D215" s="103">
        <v>0.15</v>
      </c>
      <c r="E215" s="103">
        <v>0.15</v>
      </c>
      <c r="F215" s="111">
        <v>0.15</v>
      </c>
    </row>
    <row r="216" spans="1:6">
      <c r="A216" s="99" t="s">
        <v>283</v>
      </c>
      <c r="B216" s="102" t="s">
        <v>2354</v>
      </c>
      <c r="C216" s="103">
        <v>0.14699999999999999</v>
      </c>
      <c r="D216" s="103">
        <v>0.14699999999999999</v>
      </c>
      <c r="E216" s="103">
        <v>0.15</v>
      </c>
      <c r="F216" s="111">
        <v>0.14000000000000001</v>
      </c>
    </row>
    <row r="217" spans="1:6">
      <c r="A217" s="99" t="s">
        <v>283</v>
      </c>
      <c r="B217" s="102" t="s">
        <v>2364</v>
      </c>
      <c r="C217" s="103">
        <v>0.15</v>
      </c>
      <c r="D217" s="103">
        <v>0.15</v>
      </c>
      <c r="E217" s="103">
        <v>0.15</v>
      </c>
      <c r="F217" s="111">
        <v>0.15</v>
      </c>
    </row>
    <row r="218" spans="1:6">
      <c r="A218" s="99" t="s">
        <v>283</v>
      </c>
      <c r="B218" s="102" t="s">
        <v>2374</v>
      </c>
      <c r="C218" s="103">
        <v>0.15</v>
      </c>
      <c r="D218" s="103">
        <v>0.15</v>
      </c>
      <c r="E218" s="103">
        <v>0.15</v>
      </c>
      <c r="F218" s="111">
        <v>0.15</v>
      </c>
    </row>
    <row r="219" spans="1:6">
      <c r="A219" s="99" t="s">
        <v>283</v>
      </c>
      <c r="B219" s="102" t="s">
        <v>2384</v>
      </c>
      <c r="C219" s="103">
        <v>0.15</v>
      </c>
      <c r="D219" s="103">
        <v>0.15</v>
      </c>
      <c r="E219" s="103">
        <v>0.15</v>
      </c>
      <c r="F219" s="111">
        <v>0.14799999999999999</v>
      </c>
    </row>
    <row r="220" spans="1:6">
      <c r="A220" s="99" t="s">
        <v>283</v>
      </c>
      <c r="B220" s="102" t="s">
        <v>2394</v>
      </c>
      <c r="C220" s="103">
        <v>0.15</v>
      </c>
      <c r="D220" s="103">
        <v>0.15</v>
      </c>
      <c r="E220" s="103">
        <v>0.15</v>
      </c>
      <c r="F220" s="111">
        <v>0.15</v>
      </c>
    </row>
    <row r="221" spans="1:6">
      <c r="A221" s="99" t="s">
        <v>283</v>
      </c>
      <c r="B221" s="102" t="s">
        <v>2404</v>
      </c>
      <c r="C221" s="103"/>
      <c r="D221" s="109"/>
      <c r="E221" s="109"/>
      <c r="F221" s="111">
        <v>0.14799999999999999</v>
      </c>
    </row>
    <row r="222" spans="1:6">
      <c r="A222" s="99" t="s">
        <v>283</v>
      </c>
      <c r="B222" s="102" t="s">
        <v>2414</v>
      </c>
      <c r="C222" s="103"/>
      <c r="D222" s="109"/>
      <c r="E222" s="109"/>
      <c r="F222" s="111">
        <v>0.1</v>
      </c>
    </row>
    <row r="223" spans="1:6">
      <c r="A223" s="99" t="s">
        <v>283</v>
      </c>
      <c r="B223" s="102" t="s">
        <v>2424</v>
      </c>
      <c r="C223" s="103"/>
      <c r="D223" s="109"/>
      <c r="E223" s="109"/>
      <c r="F223" s="111">
        <v>0.15</v>
      </c>
    </row>
    <row r="224" spans="1:6">
      <c r="A224" s="99" t="s">
        <v>283</v>
      </c>
      <c r="B224" s="102" t="s">
        <v>2434</v>
      </c>
      <c r="C224" s="103"/>
      <c r="D224" s="109"/>
      <c r="E224" s="109"/>
      <c r="F224" s="111">
        <v>0.15</v>
      </c>
    </row>
    <row r="225" spans="1:6">
      <c r="A225" s="99" t="s">
        <v>283</v>
      </c>
      <c r="B225" s="102" t="s">
        <v>2443</v>
      </c>
      <c r="C225" s="103">
        <v>0.15</v>
      </c>
      <c r="D225" s="103">
        <v>0.15</v>
      </c>
      <c r="E225" s="103">
        <v>0.15</v>
      </c>
      <c r="F225" s="111">
        <v>0.15</v>
      </c>
    </row>
    <row r="226" spans="1:6">
      <c r="A226" s="99" t="s">
        <v>283</v>
      </c>
      <c r="B226" s="102" t="s">
        <v>2451</v>
      </c>
      <c r="C226" s="103">
        <v>0.15</v>
      </c>
      <c r="D226" s="103">
        <v>0.15</v>
      </c>
      <c r="E226" s="103">
        <v>0.15</v>
      </c>
      <c r="F226" s="111">
        <v>0.14799999999999999</v>
      </c>
    </row>
    <row r="227" spans="1:6">
      <c r="A227" s="99" t="s">
        <v>283</v>
      </c>
      <c r="B227" s="102" t="s">
        <v>2459</v>
      </c>
      <c r="C227" s="103">
        <v>0.15</v>
      </c>
      <c r="D227" s="103">
        <v>0.15</v>
      </c>
      <c r="E227" s="103">
        <v>0.15</v>
      </c>
      <c r="F227" s="111">
        <v>0.15</v>
      </c>
    </row>
    <row r="228" spans="1:6">
      <c r="A228" s="99" t="s">
        <v>283</v>
      </c>
      <c r="B228" s="102" t="s">
        <v>2466</v>
      </c>
      <c r="C228" s="103">
        <v>0.15</v>
      </c>
      <c r="D228" s="103">
        <v>0.15</v>
      </c>
      <c r="E228" s="103">
        <v>0.15</v>
      </c>
      <c r="F228" s="111">
        <v>0.15</v>
      </c>
    </row>
    <row r="229" spans="1:6">
      <c r="A229" s="99" t="s">
        <v>283</v>
      </c>
      <c r="B229" s="102" t="s">
        <v>2473</v>
      </c>
      <c r="C229" s="103">
        <v>0.15</v>
      </c>
      <c r="D229" s="103">
        <v>0.15</v>
      </c>
      <c r="E229" s="103">
        <v>0.15</v>
      </c>
      <c r="F229" s="113"/>
    </row>
    <row r="230" spans="1:6">
      <c r="A230" s="99" t="s">
        <v>283</v>
      </c>
      <c r="B230" s="102" t="s">
        <v>2480</v>
      </c>
      <c r="C230" s="103">
        <v>0.14499999999999999</v>
      </c>
      <c r="D230" s="103">
        <v>0.14499999999999999</v>
      </c>
      <c r="E230" s="103">
        <v>0.14399999999999999</v>
      </c>
      <c r="F230" s="113"/>
    </row>
    <row r="231" spans="1:6">
      <c r="A231" s="99" t="s">
        <v>283</v>
      </c>
      <c r="B231" s="102" t="s">
        <v>2487</v>
      </c>
      <c r="C231" s="103">
        <v>0.128</v>
      </c>
      <c r="D231" s="103">
        <v>0.125</v>
      </c>
      <c r="E231" s="103">
        <v>0.13200000000000001</v>
      </c>
      <c r="F231" s="113"/>
    </row>
    <row r="232" spans="1:6">
      <c r="A232" s="99" t="s">
        <v>283</v>
      </c>
      <c r="B232" s="102" t="s">
        <v>2494</v>
      </c>
      <c r="C232" s="103">
        <v>0.14499999999999999</v>
      </c>
      <c r="D232" s="103">
        <v>0.14399999999999999</v>
      </c>
      <c r="E232" s="103">
        <v>0.14599999999999999</v>
      </c>
      <c r="F232" s="111">
        <v>0.13800000000000001</v>
      </c>
    </row>
    <row r="233" spans="1:6">
      <c r="A233" s="99" t="s">
        <v>283</v>
      </c>
      <c r="B233" s="102" t="s">
        <v>2499</v>
      </c>
      <c r="C233" s="103">
        <v>0.14499999999999999</v>
      </c>
      <c r="D233" s="103">
        <v>0.14299999999999999</v>
      </c>
      <c r="E233" s="103">
        <v>0.14199999999999999</v>
      </c>
      <c r="F233" s="113"/>
    </row>
    <row r="234" spans="1:6">
      <c r="A234" s="99" t="s">
        <v>283</v>
      </c>
      <c r="B234" s="102" t="s">
        <v>2577</v>
      </c>
      <c r="C234" s="103">
        <v>0.14000000000000001</v>
      </c>
      <c r="D234" s="103">
        <v>0.14000000000000001</v>
      </c>
      <c r="E234" s="103">
        <v>0.14399999999999999</v>
      </c>
      <c r="F234" s="113"/>
    </row>
    <row r="235" spans="1:6">
      <c r="A235" s="99" t="s">
        <v>283</v>
      </c>
      <c r="B235" s="102" t="s">
        <v>2509</v>
      </c>
      <c r="C235" s="103">
        <v>0.14099999999999999</v>
      </c>
      <c r="D235" s="103">
        <v>0.14199999999999999</v>
      </c>
      <c r="E235" s="103">
        <v>0.14499999999999999</v>
      </c>
      <c r="F235" s="111">
        <v>0.15</v>
      </c>
    </row>
    <row r="236" spans="1:6">
      <c r="A236" s="99" t="s">
        <v>283</v>
      </c>
      <c r="B236" s="102" t="s">
        <v>2514</v>
      </c>
      <c r="C236" s="109"/>
      <c r="D236" s="109"/>
      <c r="E236" s="109"/>
      <c r="F236" s="111">
        <v>0.14299999999999999</v>
      </c>
    </row>
    <row r="237" spans="1:6" ht="24">
      <c r="A237" s="99" t="s">
        <v>283</v>
      </c>
      <c r="B237" s="102" t="s">
        <v>2519</v>
      </c>
      <c r="C237" s="109"/>
      <c r="D237" s="109"/>
      <c r="E237" s="109"/>
      <c r="F237" s="111">
        <v>0.05</v>
      </c>
    </row>
    <row r="238" spans="1:6" ht="24">
      <c r="A238" s="99" t="s">
        <v>283</v>
      </c>
      <c r="B238" s="102" t="s">
        <v>2524</v>
      </c>
      <c r="C238" s="109"/>
      <c r="D238" s="109"/>
      <c r="E238" s="109"/>
      <c r="F238" s="111">
        <v>0.05</v>
      </c>
    </row>
    <row r="239" spans="1:6" ht="24">
      <c r="A239" s="99" t="s">
        <v>283</v>
      </c>
      <c r="B239" s="102" t="s">
        <v>2529</v>
      </c>
      <c r="C239" s="109"/>
      <c r="D239" s="109"/>
      <c r="E239" s="109"/>
      <c r="F239" s="111">
        <v>0.05</v>
      </c>
    </row>
    <row r="240" spans="1:6" ht="24">
      <c r="A240" s="99" t="s">
        <v>283</v>
      </c>
      <c r="B240" s="102" t="s">
        <v>2533</v>
      </c>
      <c r="C240" s="109"/>
      <c r="D240" s="109"/>
      <c r="E240" s="109"/>
      <c r="F240" s="111">
        <v>0.05</v>
      </c>
    </row>
    <row r="241" spans="1:6" ht="24">
      <c r="A241" s="99" t="s">
        <v>283</v>
      </c>
      <c r="B241" s="102" t="s">
        <v>2537</v>
      </c>
      <c r="C241" s="109"/>
      <c r="D241" s="109"/>
      <c r="E241" s="109"/>
      <c r="F241" s="111">
        <v>0.05</v>
      </c>
    </row>
    <row r="242" spans="1:6" ht="24">
      <c r="A242" s="99" t="s">
        <v>283</v>
      </c>
      <c r="B242" s="102" t="s">
        <v>2541</v>
      </c>
      <c r="C242" s="109"/>
      <c r="D242" s="109"/>
      <c r="E242" s="109"/>
      <c r="F242" s="111">
        <v>0.05</v>
      </c>
    </row>
    <row r="243" spans="1:6" ht="24">
      <c r="A243" s="99" t="s">
        <v>283</v>
      </c>
      <c r="B243" s="102" t="s">
        <v>2545</v>
      </c>
      <c r="C243" s="109"/>
      <c r="D243" s="109"/>
      <c r="E243" s="109"/>
      <c r="F243" s="111">
        <v>0.05</v>
      </c>
    </row>
    <row r="244" spans="1:6" ht="24">
      <c r="A244" s="105" t="s">
        <v>283</v>
      </c>
      <c r="B244" s="114" t="s">
        <v>2549</v>
      </c>
      <c r="C244" s="108"/>
      <c r="D244" s="108"/>
      <c r="E244" s="108"/>
      <c r="F244" s="115">
        <v>0.05</v>
      </c>
    </row>
    <row r="245" spans="1:6">
      <c r="A245" s="99" t="s">
        <v>286</v>
      </c>
      <c r="B245" s="100" t="s">
        <v>2241</v>
      </c>
      <c r="C245" s="101">
        <v>0.15</v>
      </c>
      <c r="D245" s="101">
        <v>0.15</v>
      </c>
      <c r="E245" s="101">
        <v>0.15</v>
      </c>
      <c r="F245" s="110">
        <v>0.14299999999999999</v>
      </c>
    </row>
    <row r="246" spans="1:6">
      <c r="A246" s="99" t="s">
        <v>286</v>
      </c>
      <c r="B246" s="102" t="s">
        <v>2254</v>
      </c>
      <c r="C246" s="103">
        <v>0.15</v>
      </c>
      <c r="D246" s="103">
        <v>0.15</v>
      </c>
      <c r="E246" s="103">
        <v>0.15</v>
      </c>
      <c r="F246" s="111">
        <v>0.114</v>
      </c>
    </row>
    <row r="247" spans="1:6">
      <c r="A247" s="99" t="s">
        <v>286</v>
      </c>
      <c r="B247" s="102" t="s">
        <v>2268</v>
      </c>
      <c r="C247" s="103">
        <v>0.15</v>
      </c>
      <c r="D247" s="103">
        <v>0.15</v>
      </c>
      <c r="E247" s="103">
        <v>0.15</v>
      </c>
      <c r="F247" s="111">
        <v>0.15</v>
      </c>
    </row>
    <row r="248" spans="1:6">
      <c r="A248" s="99" t="s">
        <v>286</v>
      </c>
      <c r="B248" s="102" t="s">
        <v>2280</v>
      </c>
      <c r="C248" s="103">
        <v>0.15</v>
      </c>
      <c r="D248" s="103">
        <v>0.15</v>
      </c>
      <c r="E248" s="103">
        <v>0.15</v>
      </c>
      <c r="F248" s="111">
        <v>0.14000000000000001</v>
      </c>
    </row>
    <row r="249" spans="1:6">
      <c r="A249" s="99" t="s">
        <v>286</v>
      </c>
      <c r="B249" s="102" t="s">
        <v>2292</v>
      </c>
      <c r="C249" s="103">
        <v>0.15</v>
      </c>
      <c r="D249" s="103">
        <v>0.14899999999999999</v>
      </c>
      <c r="E249" s="103">
        <v>0.15</v>
      </c>
      <c r="F249" s="111">
        <v>0.1</v>
      </c>
    </row>
    <row r="250" spans="1:6">
      <c r="A250" s="99" t="s">
        <v>286</v>
      </c>
      <c r="B250" s="102" t="s">
        <v>2303</v>
      </c>
      <c r="C250" s="103">
        <v>0.15</v>
      </c>
      <c r="D250" s="103">
        <v>0.15</v>
      </c>
      <c r="E250" s="103">
        <v>0.15</v>
      </c>
      <c r="F250" s="111">
        <v>0.14399999999999999</v>
      </c>
    </row>
    <row r="251" spans="1:6">
      <c r="A251" s="99" t="s">
        <v>286</v>
      </c>
      <c r="B251" s="102" t="s">
        <v>2314</v>
      </c>
      <c r="C251" s="103">
        <v>0.15</v>
      </c>
      <c r="D251" s="103">
        <v>0.15</v>
      </c>
      <c r="E251" s="103">
        <v>0.15</v>
      </c>
      <c r="F251" s="111">
        <v>0.14299999999999999</v>
      </c>
    </row>
    <row r="252" spans="1:6">
      <c r="A252" s="99" t="s">
        <v>286</v>
      </c>
      <c r="B252" s="102" t="s">
        <v>2325</v>
      </c>
      <c r="C252" s="103">
        <v>0.15</v>
      </c>
      <c r="D252" s="103">
        <v>0.15</v>
      </c>
      <c r="E252" s="103">
        <v>0.15</v>
      </c>
      <c r="F252" s="111">
        <v>0.1</v>
      </c>
    </row>
    <row r="253" spans="1:6">
      <c r="A253" s="99" t="s">
        <v>286</v>
      </c>
      <c r="B253" s="102" t="s">
        <v>2335</v>
      </c>
      <c r="C253" s="103">
        <v>0.15</v>
      </c>
      <c r="D253" s="103">
        <v>0.15</v>
      </c>
      <c r="E253" s="103">
        <v>0.15</v>
      </c>
      <c r="F253" s="111">
        <v>0.1</v>
      </c>
    </row>
    <row r="254" spans="1:6">
      <c r="A254" s="99" t="s">
        <v>286</v>
      </c>
      <c r="B254" s="102" t="s">
        <v>2345</v>
      </c>
      <c r="C254" s="109"/>
      <c r="D254" s="109"/>
      <c r="E254" s="109"/>
      <c r="F254" s="111">
        <v>0.15</v>
      </c>
    </row>
    <row r="255" spans="1:6">
      <c r="A255" s="99" t="s">
        <v>286</v>
      </c>
      <c r="B255" s="102" t="s">
        <v>2355</v>
      </c>
      <c r="C255" s="109"/>
      <c r="D255" s="109"/>
      <c r="E255" s="109"/>
      <c r="F255" s="111">
        <v>0.14299999999999999</v>
      </c>
    </row>
    <row r="256" spans="1:6">
      <c r="A256" s="99" t="s">
        <v>286</v>
      </c>
      <c r="B256" s="102" t="s">
        <v>2365</v>
      </c>
      <c r="C256" s="103">
        <v>0.14599999999999999</v>
      </c>
      <c r="D256" s="103">
        <v>0.14699999999999999</v>
      </c>
      <c r="E256" s="103">
        <v>0.15</v>
      </c>
      <c r="F256" s="111">
        <v>0.13200000000000001</v>
      </c>
    </row>
    <row r="257" spans="1:6">
      <c r="A257" s="99" t="s">
        <v>286</v>
      </c>
      <c r="B257" s="102" t="s">
        <v>2375</v>
      </c>
      <c r="C257" s="103">
        <v>0.15</v>
      </c>
      <c r="D257" s="103">
        <v>0.15</v>
      </c>
      <c r="E257" s="103">
        <v>0.15</v>
      </c>
      <c r="F257" s="111">
        <v>0.13900000000000001</v>
      </c>
    </row>
    <row r="258" spans="1:6">
      <c r="A258" s="99" t="s">
        <v>286</v>
      </c>
      <c r="B258" s="102" t="s">
        <v>2385</v>
      </c>
      <c r="C258" s="103">
        <v>0.15</v>
      </c>
      <c r="D258" s="103">
        <v>0.15</v>
      </c>
      <c r="E258" s="103">
        <v>0.15</v>
      </c>
      <c r="F258" s="111">
        <v>0.13</v>
      </c>
    </row>
    <row r="259" spans="1:6">
      <c r="A259" s="99" t="s">
        <v>286</v>
      </c>
      <c r="B259" s="102" t="s">
        <v>2395</v>
      </c>
      <c r="C259" s="103">
        <v>0.14799999999999999</v>
      </c>
      <c r="D259" s="103">
        <v>0.14899999999999999</v>
      </c>
      <c r="E259" s="103">
        <v>0.15</v>
      </c>
      <c r="F259" s="111">
        <v>0.13700000000000001</v>
      </c>
    </row>
    <row r="260" spans="1:6">
      <c r="A260" s="99" t="s">
        <v>286</v>
      </c>
      <c r="B260" s="102" t="s">
        <v>2405</v>
      </c>
      <c r="C260" s="103">
        <v>0.15</v>
      </c>
      <c r="D260" s="103">
        <v>0.15</v>
      </c>
      <c r="E260" s="103">
        <v>0.15</v>
      </c>
      <c r="F260" s="111">
        <v>0.14199999999999999</v>
      </c>
    </row>
    <row r="261" spans="1:6">
      <c r="A261" s="99" t="s">
        <v>286</v>
      </c>
      <c r="B261" s="102" t="s">
        <v>2415</v>
      </c>
      <c r="C261" s="103">
        <v>0.15</v>
      </c>
      <c r="D261" s="103">
        <v>0.15</v>
      </c>
      <c r="E261" s="103">
        <v>0.14899999999999999</v>
      </c>
      <c r="F261" s="111">
        <v>0.14799999999999999</v>
      </c>
    </row>
    <row r="262" spans="1:6">
      <c r="A262" s="99" t="s">
        <v>286</v>
      </c>
      <c r="B262" s="102" t="s">
        <v>2425</v>
      </c>
      <c r="C262" s="103">
        <v>0.15</v>
      </c>
      <c r="D262" s="103">
        <v>0.15</v>
      </c>
      <c r="E262" s="103">
        <v>0.15</v>
      </c>
      <c r="F262" s="113"/>
    </row>
    <row r="263" spans="1:6">
      <c r="A263" s="99" t="s">
        <v>286</v>
      </c>
      <c r="B263" s="102" t="s">
        <v>2435</v>
      </c>
      <c r="C263" s="103">
        <v>0.14899999999999999</v>
      </c>
      <c r="D263" s="103">
        <v>0.14899999999999999</v>
      </c>
      <c r="E263" s="103">
        <v>0.15</v>
      </c>
      <c r="F263" s="111">
        <v>0.13</v>
      </c>
    </row>
    <row r="264" spans="1:6">
      <c r="A264" s="99" t="s">
        <v>286</v>
      </c>
      <c r="B264" s="102" t="s">
        <v>2444</v>
      </c>
      <c r="C264" s="103">
        <v>0.14799999999999999</v>
      </c>
      <c r="D264" s="103">
        <v>0.14699999999999999</v>
      </c>
      <c r="E264" s="103">
        <v>0.15</v>
      </c>
      <c r="F264" s="111">
        <v>7.8E-2</v>
      </c>
    </row>
    <row r="265" spans="1:6">
      <c r="A265" s="99" t="s">
        <v>286</v>
      </c>
      <c r="B265" s="102" t="s">
        <v>2452</v>
      </c>
      <c r="C265" s="103">
        <v>0.15</v>
      </c>
      <c r="D265" s="103">
        <v>0.15</v>
      </c>
      <c r="E265" s="103">
        <v>0.15</v>
      </c>
      <c r="F265" s="111">
        <v>7.3999999999999996E-2</v>
      </c>
    </row>
    <row r="266" spans="1:6">
      <c r="A266" s="99" t="s">
        <v>286</v>
      </c>
      <c r="B266" s="102" t="s">
        <v>2460</v>
      </c>
      <c r="C266" s="103">
        <v>0.14699999999999999</v>
      </c>
      <c r="D266" s="103">
        <v>0.14699999999999999</v>
      </c>
      <c r="E266" s="103">
        <v>0.15</v>
      </c>
      <c r="F266" s="111">
        <v>0.14299999999999999</v>
      </c>
    </row>
    <row r="267" spans="1:6">
      <c r="A267" s="99" t="s">
        <v>286</v>
      </c>
      <c r="B267" s="102" t="s">
        <v>2467</v>
      </c>
      <c r="C267" s="103">
        <v>0.14199999999999999</v>
      </c>
      <c r="D267" s="103">
        <v>0.14299999999999999</v>
      </c>
      <c r="E267" s="103">
        <v>0.15</v>
      </c>
      <c r="F267" s="113"/>
    </row>
    <row r="268" spans="1:6">
      <c r="A268" s="99" t="s">
        <v>286</v>
      </c>
      <c r="B268" s="102" t="s">
        <v>2474</v>
      </c>
      <c r="C268" s="103">
        <v>0.15</v>
      </c>
      <c r="D268" s="103">
        <v>0.15</v>
      </c>
      <c r="E268" s="103">
        <v>0.15</v>
      </c>
      <c r="F268" s="111">
        <v>0.13</v>
      </c>
    </row>
    <row r="269" spans="1:6">
      <c r="A269" s="99" t="s">
        <v>286</v>
      </c>
      <c r="B269" s="102" t="s">
        <v>2481</v>
      </c>
      <c r="C269" s="103">
        <v>0.15</v>
      </c>
      <c r="D269" s="103">
        <v>0.15</v>
      </c>
      <c r="E269" s="103">
        <v>0.15</v>
      </c>
      <c r="F269" s="111">
        <v>0.14299999999999999</v>
      </c>
    </row>
    <row r="270" spans="1:6">
      <c r="A270" s="99" t="s">
        <v>286</v>
      </c>
      <c r="B270" s="102" t="s">
        <v>2488</v>
      </c>
      <c r="C270" s="103">
        <v>0.14499999999999999</v>
      </c>
      <c r="D270" s="103">
        <v>0.14499999999999999</v>
      </c>
      <c r="E270" s="103">
        <v>0.15</v>
      </c>
      <c r="F270" s="111">
        <v>0.14699999999999999</v>
      </c>
    </row>
    <row r="271" spans="1:6">
      <c r="A271" s="99" t="s">
        <v>286</v>
      </c>
      <c r="B271" s="102" t="s">
        <v>2495</v>
      </c>
      <c r="C271" s="103">
        <v>0.15</v>
      </c>
      <c r="D271" s="103">
        <v>0.15</v>
      </c>
      <c r="E271" s="103">
        <v>0.15</v>
      </c>
      <c r="F271" s="111">
        <v>0.13800000000000001</v>
      </c>
    </row>
    <row r="272" spans="1:6">
      <c r="A272" s="99" t="s">
        <v>286</v>
      </c>
      <c r="B272" s="102" t="s">
        <v>2500</v>
      </c>
      <c r="C272" s="109"/>
      <c r="D272" s="109"/>
      <c r="E272" s="109"/>
      <c r="F272" s="111">
        <v>0.14000000000000001</v>
      </c>
    </row>
    <row r="273" spans="1:6">
      <c r="A273" s="99" t="s">
        <v>286</v>
      </c>
      <c r="B273" s="102" t="s">
        <v>2505</v>
      </c>
      <c r="C273" s="103">
        <v>0.14199999999999999</v>
      </c>
      <c r="D273" s="103">
        <v>0.14299999999999999</v>
      </c>
      <c r="E273" s="103">
        <v>0.15</v>
      </c>
      <c r="F273" s="111">
        <v>0.1</v>
      </c>
    </row>
    <row r="274" spans="1:6">
      <c r="A274" s="99" t="s">
        <v>286</v>
      </c>
      <c r="B274" s="102" t="s">
        <v>2510</v>
      </c>
      <c r="C274" s="103">
        <v>0.14799999999999999</v>
      </c>
      <c r="D274" s="103">
        <v>0.14799999999999999</v>
      </c>
      <c r="E274" s="103">
        <v>0.15</v>
      </c>
      <c r="F274" s="111">
        <v>6.7000000000000004E-2</v>
      </c>
    </row>
    <row r="275" spans="1:6">
      <c r="A275" s="99" t="s">
        <v>286</v>
      </c>
      <c r="B275" s="102" t="s">
        <v>2515</v>
      </c>
      <c r="C275" s="103">
        <v>0.15</v>
      </c>
      <c r="D275" s="103">
        <v>0.15</v>
      </c>
      <c r="E275" s="103">
        <v>0.15</v>
      </c>
      <c r="F275" s="111">
        <v>0.15</v>
      </c>
    </row>
    <row r="276" spans="1:6">
      <c r="A276" s="99" t="s">
        <v>286</v>
      </c>
      <c r="B276" s="102" t="s">
        <v>2520</v>
      </c>
      <c r="C276" s="103">
        <v>0.14499999999999999</v>
      </c>
      <c r="D276" s="103">
        <v>0.14299999999999999</v>
      </c>
      <c r="E276" s="103">
        <v>0.15</v>
      </c>
      <c r="F276" s="111">
        <v>5.8999999999999997E-2</v>
      </c>
    </row>
    <row r="277" spans="1:6">
      <c r="A277" s="99" t="s">
        <v>286</v>
      </c>
      <c r="B277" s="102" t="s">
        <v>2525</v>
      </c>
      <c r="C277" s="103">
        <v>0.15</v>
      </c>
      <c r="D277" s="103">
        <v>0.15</v>
      </c>
      <c r="E277" s="103">
        <v>0.15</v>
      </c>
      <c r="F277" s="111">
        <v>0.121</v>
      </c>
    </row>
    <row r="278" spans="1:6">
      <c r="A278" s="99" t="s">
        <v>286</v>
      </c>
      <c r="B278" s="102" t="s">
        <v>2530</v>
      </c>
      <c r="C278" s="103">
        <v>0.15</v>
      </c>
      <c r="D278" s="103">
        <v>0.15</v>
      </c>
      <c r="E278" s="103">
        <v>0.15</v>
      </c>
      <c r="F278" s="111">
        <v>0.13800000000000001</v>
      </c>
    </row>
    <row r="279" spans="1:6" ht="24">
      <c r="A279" s="99" t="s">
        <v>286</v>
      </c>
      <c r="B279" s="102" t="s">
        <v>2534</v>
      </c>
      <c r="C279" s="109"/>
      <c r="D279" s="109"/>
      <c r="E279" s="109"/>
      <c r="F279" s="111">
        <v>0.05</v>
      </c>
    </row>
    <row r="280" spans="1:6" ht="24">
      <c r="A280" s="99" t="s">
        <v>286</v>
      </c>
      <c r="B280" s="102" t="s">
        <v>2538</v>
      </c>
      <c r="C280" s="109"/>
      <c r="D280" s="109"/>
      <c r="E280" s="109"/>
      <c r="F280" s="111">
        <v>0.05</v>
      </c>
    </row>
    <row r="281" spans="1:6" ht="24">
      <c r="A281" s="99" t="s">
        <v>286</v>
      </c>
      <c r="B281" s="102" t="s">
        <v>2542</v>
      </c>
      <c r="C281" s="109"/>
      <c r="D281" s="109"/>
      <c r="E281" s="109"/>
      <c r="F281" s="111">
        <v>0.05</v>
      </c>
    </row>
    <row r="282" spans="1:6" ht="24">
      <c r="A282" s="99" t="s">
        <v>286</v>
      </c>
      <c r="B282" s="102" t="s">
        <v>2546</v>
      </c>
      <c r="C282" s="109"/>
      <c r="D282" s="109"/>
      <c r="E282" s="109"/>
      <c r="F282" s="111">
        <v>0.05</v>
      </c>
    </row>
    <row r="283" spans="1:6" ht="24">
      <c r="A283" s="99" t="s">
        <v>286</v>
      </c>
      <c r="B283" s="102" t="s">
        <v>2550</v>
      </c>
      <c r="C283" s="109"/>
      <c r="D283" s="109"/>
      <c r="E283" s="109"/>
      <c r="F283" s="111">
        <v>0.05</v>
      </c>
    </row>
    <row r="284" spans="1:6" ht="24">
      <c r="A284" s="99" t="s">
        <v>286</v>
      </c>
      <c r="B284" s="102" t="s">
        <v>2553</v>
      </c>
      <c r="C284" s="109"/>
      <c r="D284" s="109"/>
      <c r="E284" s="109"/>
      <c r="F284" s="111">
        <v>0.05</v>
      </c>
    </row>
    <row r="285" spans="1:6" ht="24">
      <c r="A285" s="99" t="s">
        <v>286</v>
      </c>
      <c r="B285" s="102" t="s">
        <v>2556</v>
      </c>
      <c r="C285" s="109"/>
      <c r="D285" s="109"/>
      <c r="E285" s="109"/>
      <c r="F285" s="111">
        <v>0.05</v>
      </c>
    </row>
    <row r="286" spans="1:6" ht="24">
      <c r="A286" s="99" t="s">
        <v>286</v>
      </c>
      <c r="B286" s="102" t="s">
        <v>2559</v>
      </c>
      <c r="C286" s="109"/>
      <c r="D286" s="109"/>
      <c r="E286" s="109"/>
      <c r="F286" s="111">
        <v>0.05</v>
      </c>
    </row>
    <row r="287" spans="1:6" ht="24">
      <c r="A287" s="99" t="s">
        <v>286</v>
      </c>
      <c r="B287" s="102" t="s">
        <v>2562</v>
      </c>
      <c r="C287" s="109"/>
      <c r="D287" s="109"/>
      <c r="E287" s="109"/>
      <c r="F287" s="111">
        <v>0.05</v>
      </c>
    </row>
    <row r="288" spans="1:6" ht="24">
      <c r="A288" s="99" t="s">
        <v>286</v>
      </c>
      <c r="B288" s="102" t="s">
        <v>2565</v>
      </c>
      <c r="C288" s="109"/>
      <c r="D288" s="109"/>
      <c r="E288" s="109"/>
      <c r="F288" s="111">
        <v>0.05</v>
      </c>
    </row>
    <row r="289" spans="1:6" ht="24">
      <c r="A289" s="105" t="s">
        <v>286</v>
      </c>
      <c r="B289" s="114" t="s">
        <v>2568</v>
      </c>
      <c r="C289" s="108"/>
      <c r="D289" s="108"/>
      <c r="E289" s="108"/>
      <c r="F289" s="115">
        <v>0.05</v>
      </c>
    </row>
    <row r="290" spans="1:6">
      <c r="A290" s="99" t="s">
        <v>289</v>
      </c>
      <c r="B290" s="100" t="s">
        <v>2242</v>
      </c>
      <c r="C290" s="101">
        <v>0.15</v>
      </c>
      <c r="D290" s="101">
        <v>0.15</v>
      </c>
      <c r="E290" s="101">
        <v>0.15</v>
      </c>
      <c r="F290" s="123"/>
    </row>
    <row r="291" spans="1:6">
      <c r="A291" s="99" t="s">
        <v>289</v>
      </c>
      <c r="B291" s="102" t="s">
        <v>2255</v>
      </c>
      <c r="C291" s="103">
        <v>0.15</v>
      </c>
      <c r="D291" s="103">
        <v>0.15</v>
      </c>
      <c r="E291" s="103">
        <v>0.15</v>
      </c>
      <c r="F291" s="113"/>
    </row>
    <row r="292" spans="1:6">
      <c r="A292" s="99" t="s">
        <v>289</v>
      </c>
      <c r="B292" s="102" t="s">
        <v>2269</v>
      </c>
      <c r="C292" s="103">
        <v>0.15</v>
      </c>
      <c r="D292" s="103">
        <v>0.15</v>
      </c>
      <c r="E292" s="103">
        <v>0.15</v>
      </c>
      <c r="F292" s="111">
        <v>0.14699999999999999</v>
      </c>
    </row>
    <row r="293" spans="1:6">
      <c r="A293" s="99" t="s">
        <v>289</v>
      </c>
      <c r="B293" s="102" t="s">
        <v>2575</v>
      </c>
      <c r="C293" s="109"/>
      <c r="D293" s="109"/>
      <c r="E293" s="109"/>
      <c r="F293" s="111">
        <v>0.1</v>
      </c>
    </row>
    <row r="294" spans="1:6">
      <c r="A294" s="99" t="s">
        <v>289</v>
      </c>
      <c r="B294" s="102" t="s">
        <v>2281</v>
      </c>
      <c r="C294" s="103">
        <v>0.15</v>
      </c>
      <c r="D294" s="103">
        <v>0.15</v>
      </c>
      <c r="E294" s="103">
        <v>0.15</v>
      </c>
      <c r="F294" s="111">
        <v>0.15</v>
      </c>
    </row>
    <row r="295" spans="1:6">
      <c r="A295" s="99" t="s">
        <v>289</v>
      </c>
      <c r="B295" s="102" t="s">
        <v>2293</v>
      </c>
      <c r="C295" s="103">
        <v>0.15</v>
      </c>
      <c r="D295" s="103">
        <v>0.15</v>
      </c>
      <c r="E295" s="103">
        <v>0.15</v>
      </c>
      <c r="F295" s="111">
        <v>0.15</v>
      </c>
    </row>
    <row r="296" spans="1:6">
      <c r="A296" s="99" t="s">
        <v>289</v>
      </c>
      <c r="B296" s="102" t="s">
        <v>2304</v>
      </c>
      <c r="C296" s="103">
        <v>0.15</v>
      </c>
      <c r="D296" s="103">
        <v>0.15</v>
      </c>
      <c r="E296" s="103">
        <v>0.15</v>
      </c>
      <c r="F296" s="111">
        <v>0.15</v>
      </c>
    </row>
    <row r="297" spans="1:6">
      <c r="A297" s="99" t="s">
        <v>289</v>
      </c>
      <c r="B297" s="102" t="s">
        <v>2315</v>
      </c>
      <c r="C297" s="103">
        <v>0.14799999999999999</v>
      </c>
      <c r="D297" s="103">
        <v>0.14899999999999999</v>
      </c>
      <c r="E297" s="103">
        <v>0.15</v>
      </c>
      <c r="F297" s="111">
        <v>0.13700000000000001</v>
      </c>
    </row>
    <row r="298" spans="1:6">
      <c r="A298" s="99" t="s">
        <v>289</v>
      </c>
      <c r="B298" s="102" t="s">
        <v>2326</v>
      </c>
      <c r="C298" s="103">
        <v>0.13400000000000001</v>
      </c>
      <c r="D298" s="103">
        <v>0.13400000000000001</v>
      </c>
      <c r="E298" s="103">
        <v>0.14499999999999999</v>
      </c>
      <c r="F298" s="111">
        <v>0.14799999999999999</v>
      </c>
    </row>
    <row r="299" spans="1:6">
      <c r="A299" s="99" t="s">
        <v>289</v>
      </c>
      <c r="B299" s="102" t="s">
        <v>2336</v>
      </c>
      <c r="C299" s="103">
        <v>0.15</v>
      </c>
      <c r="D299" s="103">
        <v>0.15</v>
      </c>
      <c r="E299" s="103">
        <v>0.15</v>
      </c>
      <c r="F299" s="113"/>
    </row>
    <row r="300" spans="1:6">
      <c r="A300" s="99" t="s">
        <v>289</v>
      </c>
      <c r="B300" s="102" t="s">
        <v>2346</v>
      </c>
      <c r="C300" s="103">
        <v>0.15</v>
      </c>
      <c r="D300" s="103">
        <v>0.15</v>
      </c>
      <c r="E300" s="103">
        <v>0.15</v>
      </c>
      <c r="F300" s="111">
        <v>0.15</v>
      </c>
    </row>
    <row r="301" spans="1:6">
      <c r="A301" s="99" t="s">
        <v>289</v>
      </c>
      <c r="B301" s="102" t="s">
        <v>2356</v>
      </c>
      <c r="C301" s="103">
        <v>0.15</v>
      </c>
      <c r="D301" s="103">
        <v>0.15</v>
      </c>
      <c r="E301" s="103">
        <v>0.15</v>
      </c>
      <c r="F301" s="113"/>
    </row>
    <row r="302" spans="1:6">
      <c r="A302" s="99" t="s">
        <v>289</v>
      </c>
      <c r="B302" s="102" t="s">
        <v>2366</v>
      </c>
      <c r="C302" s="103">
        <v>0.15</v>
      </c>
      <c r="D302" s="103">
        <v>0.15</v>
      </c>
      <c r="E302" s="103">
        <v>0.15</v>
      </c>
      <c r="F302" s="111">
        <v>0.15</v>
      </c>
    </row>
    <row r="303" spans="1:6">
      <c r="A303" s="99" t="s">
        <v>289</v>
      </c>
      <c r="B303" s="102" t="s">
        <v>2376</v>
      </c>
      <c r="C303" s="103">
        <v>0.15</v>
      </c>
      <c r="D303" s="103">
        <v>0.15</v>
      </c>
      <c r="E303" s="103">
        <v>0.15</v>
      </c>
      <c r="F303" s="111">
        <v>0.15</v>
      </c>
    </row>
    <row r="304" spans="1:6">
      <c r="A304" s="99" t="s">
        <v>289</v>
      </c>
      <c r="B304" s="102" t="s">
        <v>2386</v>
      </c>
      <c r="C304" s="103">
        <v>0.15</v>
      </c>
      <c r="D304" s="103">
        <v>0.15</v>
      </c>
      <c r="E304" s="103">
        <v>0.15</v>
      </c>
      <c r="F304" s="113"/>
    </row>
    <row r="305" spans="1:6">
      <c r="A305" s="99" t="s">
        <v>289</v>
      </c>
      <c r="B305" s="102" t="s">
        <v>2396</v>
      </c>
      <c r="C305" s="103">
        <v>0.15</v>
      </c>
      <c r="D305" s="103">
        <v>0.15</v>
      </c>
      <c r="E305" s="103">
        <v>0.15</v>
      </c>
      <c r="F305" s="111">
        <v>0.14000000000000001</v>
      </c>
    </row>
    <row r="306" spans="1:6">
      <c r="A306" s="99" t="s">
        <v>289</v>
      </c>
      <c r="B306" s="102" t="s">
        <v>2406</v>
      </c>
      <c r="C306" s="103">
        <v>0.15</v>
      </c>
      <c r="D306" s="103">
        <v>0.15</v>
      </c>
      <c r="E306" s="103">
        <v>0.15</v>
      </c>
      <c r="F306" s="113"/>
    </row>
    <row r="307" spans="1:6">
      <c r="A307" s="99" t="s">
        <v>289</v>
      </c>
      <c r="B307" s="102" t="s">
        <v>2416</v>
      </c>
      <c r="C307" s="103">
        <v>0.15</v>
      </c>
      <c r="D307" s="103">
        <v>0.15</v>
      </c>
      <c r="E307" s="103">
        <v>0.15</v>
      </c>
      <c r="F307" s="111">
        <v>0.14299999999999999</v>
      </c>
    </row>
    <row r="308" spans="1:6">
      <c r="A308" s="99" t="s">
        <v>289</v>
      </c>
      <c r="B308" s="102" t="s">
        <v>2426</v>
      </c>
      <c r="C308" s="103">
        <v>0.15</v>
      </c>
      <c r="D308" s="103">
        <v>0.15</v>
      </c>
      <c r="E308" s="103">
        <v>0.15</v>
      </c>
      <c r="F308" s="111">
        <v>0.15</v>
      </c>
    </row>
    <row r="309" spans="1:6">
      <c r="A309" s="99" t="s">
        <v>289</v>
      </c>
      <c r="B309" s="102" t="s">
        <v>2436</v>
      </c>
      <c r="C309" s="103">
        <v>0.15</v>
      </c>
      <c r="D309" s="103">
        <v>0.15</v>
      </c>
      <c r="E309" s="103">
        <v>0.15</v>
      </c>
      <c r="F309" s="113"/>
    </row>
    <row r="310" spans="1:6">
      <c r="A310" s="99" t="s">
        <v>289</v>
      </c>
      <c r="B310" s="102" t="s">
        <v>2445</v>
      </c>
      <c r="C310" s="103">
        <v>0.15</v>
      </c>
      <c r="D310" s="103">
        <v>0.15</v>
      </c>
      <c r="E310" s="103">
        <v>0.15</v>
      </c>
      <c r="F310" s="111">
        <v>0.13700000000000001</v>
      </c>
    </row>
    <row r="311" spans="1:6">
      <c r="A311" s="99" t="s">
        <v>289</v>
      </c>
      <c r="B311" s="102" t="s">
        <v>2453</v>
      </c>
      <c r="C311" s="103">
        <v>0.15</v>
      </c>
      <c r="D311" s="103">
        <v>0.15</v>
      </c>
      <c r="E311" s="103">
        <v>0.15</v>
      </c>
      <c r="F311" s="111">
        <v>0.15</v>
      </c>
    </row>
    <row r="312" spans="1:6">
      <c r="A312" s="99" t="s">
        <v>289</v>
      </c>
      <c r="B312" s="102" t="s">
        <v>2461</v>
      </c>
      <c r="C312" s="103">
        <v>0.15</v>
      </c>
      <c r="D312" s="103">
        <v>0.15</v>
      </c>
      <c r="E312" s="103">
        <v>0.15</v>
      </c>
      <c r="F312" s="111">
        <v>0.1</v>
      </c>
    </row>
    <row r="313" spans="1:6">
      <c r="A313" s="99" t="s">
        <v>289</v>
      </c>
      <c r="B313" s="102" t="s">
        <v>2468</v>
      </c>
      <c r="C313" s="103">
        <v>0.15</v>
      </c>
      <c r="D313" s="103">
        <v>0.15</v>
      </c>
      <c r="E313" s="103">
        <v>0.15</v>
      </c>
      <c r="F313" s="111">
        <v>0.15</v>
      </c>
    </row>
    <row r="314" spans="1:6" ht="24">
      <c r="A314" s="99" t="s">
        <v>289</v>
      </c>
      <c r="B314" s="102" t="s">
        <v>2475</v>
      </c>
      <c r="C314" s="109"/>
      <c r="D314" s="109"/>
      <c r="E314" s="109"/>
      <c r="F314" s="111">
        <v>0.05</v>
      </c>
    </row>
    <row r="315" spans="1:6" ht="24">
      <c r="A315" s="99" t="s">
        <v>289</v>
      </c>
      <c r="B315" s="102" t="s">
        <v>2482</v>
      </c>
      <c r="C315" s="109"/>
      <c r="D315" s="109"/>
      <c r="E315" s="109"/>
      <c r="F315" s="111">
        <v>0.05</v>
      </c>
    </row>
    <row r="316" spans="1:6" ht="24">
      <c r="A316" s="105" t="s">
        <v>289</v>
      </c>
      <c r="B316" s="114" t="s">
        <v>2489</v>
      </c>
      <c r="C316" s="108"/>
      <c r="D316" s="108"/>
      <c r="E316" s="108"/>
      <c r="F316" s="115">
        <v>0.05</v>
      </c>
    </row>
    <row r="317" spans="1:6">
      <c r="A317" s="99" t="s">
        <v>292</v>
      </c>
      <c r="B317" s="100" t="s">
        <v>2243</v>
      </c>
      <c r="C317" s="101">
        <v>0.15</v>
      </c>
      <c r="D317" s="101">
        <v>0.15</v>
      </c>
      <c r="E317" s="101">
        <v>0.15</v>
      </c>
      <c r="F317" s="110">
        <v>0.15</v>
      </c>
    </row>
    <row r="318" spans="1:6">
      <c r="A318" s="99" t="s">
        <v>292</v>
      </c>
      <c r="B318" s="102" t="s">
        <v>2256</v>
      </c>
      <c r="C318" s="103">
        <v>0.107</v>
      </c>
      <c r="D318" s="103">
        <v>0.11</v>
      </c>
      <c r="E318" s="103">
        <v>0.112</v>
      </c>
      <c r="F318" s="113"/>
    </row>
    <row r="319" spans="1:6">
      <c r="A319" s="99" t="s">
        <v>292</v>
      </c>
      <c r="B319" s="102" t="s">
        <v>2270</v>
      </c>
      <c r="C319" s="103">
        <v>0.15</v>
      </c>
      <c r="D319" s="103">
        <v>0.15</v>
      </c>
      <c r="E319" s="103">
        <v>0.15</v>
      </c>
      <c r="F319" s="111">
        <v>0.15</v>
      </c>
    </row>
    <row r="320" spans="1:6">
      <c r="A320" s="99" t="s">
        <v>292</v>
      </c>
      <c r="B320" s="102" t="s">
        <v>2282</v>
      </c>
      <c r="C320" s="103">
        <v>0.15</v>
      </c>
      <c r="D320" s="103">
        <v>0.15</v>
      </c>
      <c r="E320" s="103">
        <v>0.15</v>
      </c>
      <c r="F320" s="113"/>
    </row>
    <row r="321" spans="1:6">
      <c r="A321" s="99" t="s">
        <v>292</v>
      </c>
      <c r="B321" s="102" t="s">
        <v>2294</v>
      </c>
      <c r="C321" s="103">
        <v>0.15</v>
      </c>
      <c r="D321" s="103">
        <v>0.15</v>
      </c>
      <c r="E321" s="103">
        <v>0.15</v>
      </c>
      <c r="F321" s="113"/>
    </row>
    <row r="322" spans="1:6">
      <c r="A322" s="99" t="s">
        <v>292</v>
      </c>
      <c r="B322" s="102" t="s">
        <v>2305</v>
      </c>
      <c r="C322" s="103">
        <v>0.15</v>
      </c>
      <c r="D322" s="103">
        <v>0.15</v>
      </c>
      <c r="E322" s="103">
        <v>0.15</v>
      </c>
      <c r="F322" s="111">
        <v>0.15</v>
      </c>
    </row>
    <row r="323" spans="1:6">
      <c r="A323" s="99" t="s">
        <v>292</v>
      </c>
      <c r="B323" s="102" t="s">
        <v>2316</v>
      </c>
      <c r="C323" s="103">
        <v>0.15</v>
      </c>
      <c r="D323" s="103">
        <v>0.15</v>
      </c>
      <c r="E323" s="103">
        <v>0.15</v>
      </c>
      <c r="F323" s="113"/>
    </row>
    <row r="324" spans="1:6">
      <c r="A324" s="99" t="s">
        <v>292</v>
      </c>
      <c r="B324" s="102" t="s">
        <v>2327</v>
      </c>
      <c r="C324" s="103">
        <v>0.15</v>
      </c>
      <c r="D324" s="103">
        <v>0.15</v>
      </c>
      <c r="E324" s="103">
        <v>0.15</v>
      </c>
      <c r="F324" s="113"/>
    </row>
    <row r="325" spans="1:6">
      <c r="A325" s="99" t="s">
        <v>292</v>
      </c>
      <c r="B325" s="102" t="s">
        <v>2337</v>
      </c>
      <c r="C325" s="103">
        <v>0.15</v>
      </c>
      <c r="D325" s="103">
        <v>0.15</v>
      </c>
      <c r="E325" s="103">
        <v>0.15</v>
      </c>
      <c r="F325" s="111">
        <v>0.14699999999999999</v>
      </c>
    </row>
    <row r="326" spans="1:6">
      <c r="A326" s="99" t="s">
        <v>292</v>
      </c>
      <c r="B326" s="102" t="s">
        <v>2347</v>
      </c>
      <c r="C326" s="103">
        <v>0.15</v>
      </c>
      <c r="D326" s="103">
        <v>0.15</v>
      </c>
      <c r="E326" s="103">
        <v>0.15</v>
      </c>
      <c r="F326" s="113"/>
    </row>
    <row r="327" spans="1:6">
      <c r="A327" s="99" t="s">
        <v>292</v>
      </c>
      <c r="B327" s="102" t="s">
        <v>2357</v>
      </c>
      <c r="C327" s="103">
        <v>0.15</v>
      </c>
      <c r="D327" s="103">
        <v>0.15</v>
      </c>
      <c r="E327" s="103">
        <v>0.15</v>
      </c>
      <c r="F327" s="111">
        <v>0.15</v>
      </c>
    </row>
    <row r="328" spans="1:6">
      <c r="A328" s="99" t="s">
        <v>292</v>
      </c>
      <c r="B328" s="102" t="s">
        <v>2367</v>
      </c>
      <c r="C328" s="103">
        <v>0.15</v>
      </c>
      <c r="D328" s="103">
        <v>0.15</v>
      </c>
      <c r="E328" s="103">
        <v>0.15</v>
      </c>
      <c r="F328" s="111">
        <v>0.14099999999999999</v>
      </c>
    </row>
    <row r="329" spans="1:6">
      <c r="A329" s="99" t="s">
        <v>292</v>
      </c>
      <c r="B329" s="102" t="s">
        <v>2377</v>
      </c>
      <c r="C329" s="103">
        <v>0.15</v>
      </c>
      <c r="D329" s="103">
        <v>0.15</v>
      </c>
      <c r="E329" s="103">
        <v>0.15</v>
      </c>
      <c r="F329" s="111">
        <v>0.15</v>
      </c>
    </row>
    <row r="330" spans="1:6">
      <c r="A330" s="99" t="s">
        <v>292</v>
      </c>
      <c r="B330" s="102" t="s">
        <v>2387</v>
      </c>
      <c r="C330" s="103">
        <v>0.15</v>
      </c>
      <c r="D330" s="103">
        <v>0.15</v>
      </c>
      <c r="E330" s="103">
        <v>0.15</v>
      </c>
      <c r="F330" s="113"/>
    </row>
    <row r="331" spans="1:6">
      <c r="A331" s="99" t="s">
        <v>292</v>
      </c>
      <c r="B331" s="102" t="s">
        <v>2397</v>
      </c>
      <c r="C331" s="103">
        <v>0.15</v>
      </c>
      <c r="D331" s="103">
        <v>0.15</v>
      </c>
      <c r="E331" s="103">
        <v>0.15</v>
      </c>
      <c r="F331" s="111">
        <v>0.15</v>
      </c>
    </row>
    <row r="332" spans="1:6">
      <c r="A332" s="99" t="s">
        <v>292</v>
      </c>
      <c r="B332" s="102" t="s">
        <v>2407</v>
      </c>
      <c r="C332" s="103">
        <v>0.15</v>
      </c>
      <c r="D332" s="103">
        <v>0.15</v>
      </c>
      <c r="E332" s="103">
        <v>0.15</v>
      </c>
      <c r="F332" s="111">
        <v>0.15</v>
      </c>
    </row>
    <row r="333" spans="1:6">
      <c r="A333" s="99" t="s">
        <v>292</v>
      </c>
      <c r="B333" s="102" t="s">
        <v>2417</v>
      </c>
      <c r="C333" s="103">
        <v>0.15</v>
      </c>
      <c r="D333" s="103">
        <v>0.15</v>
      </c>
      <c r="E333" s="103">
        <v>0.15</v>
      </c>
      <c r="F333" s="111">
        <v>0.14099999999999999</v>
      </c>
    </row>
    <row r="334" spans="1:6">
      <c r="A334" s="99" t="s">
        <v>292</v>
      </c>
      <c r="B334" s="102" t="s">
        <v>2427</v>
      </c>
      <c r="C334" s="103">
        <v>0.15</v>
      </c>
      <c r="D334" s="103">
        <v>0.15</v>
      </c>
      <c r="E334" s="103">
        <v>0.15</v>
      </c>
      <c r="F334" s="111">
        <v>0.15</v>
      </c>
    </row>
    <row r="335" spans="1:6">
      <c r="A335" s="99" t="s">
        <v>292</v>
      </c>
      <c r="B335" s="102" t="s">
        <v>2437</v>
      </c>
      <c r="C335" s="103">
        <v>0.15</v>
      </c>
      <c r="D335" s="103">
        <v>0.15</v>
      </c>
      <c r="E335" s="103">
        <v>0.15</v>
      </c>
      <c r="F335" s="113"/>
    </row>
    <row r="336" spans="1:6">
      <c r="A336" s="99" t="s">
        <v>292</v>
      </c>
      <c r="B336" s="102" t="s">
        <v>2446</v>
      </c>
      <c r="C336" s="103">
        <v>0.15</v>
      </c>
      <c r="D336" s="103">
        <v>0.15</v>
      </c>
      <c r="E336" s="103">
        <v>0.15</v>
      </c>
      <c r="F336" s="111">
        <v>0.11799999999999999</v>
      </c>
    </row>
    <row r="337" spans="1:6">
      <c r="A337" s="105" t="s">
        <v>292</v>
      </c>
      <c r="B337" s="114" t="s">
        <v>2454</v>
      </c>
      <c r="C337" s="108"/>
      <c r="D337" s="108"/>
      <c r="E337" s="108"/>
      <c r="F337" s="115">
        <v>0.14299999999999999</v>
      </c>
    </row>
    <row r="338" spans="1:6">
      <c r="A338" s="99" t="s">
        <v>295</v>
      </c>
      <c r="B338" s="100" t="s">
        <v>2244</v>
      </c>
      <c r="C338" s="101">
        <v>0.15</v>
      </c>
      <c r="D338" s="101">
        <v>0.15</v>
      </c>
      <c r="E338" s="101">
        <v>0.15</v>
      </c>
      <c r="F338" s="123"/>
    </row>
    <row r="339" spans="1:6">
      <c r="A339" s="99" t="s">
        <v>295</v>
      </c>
      <c r="B339" s="102" t="s">
        <v>2257</v>
      </c>
      <c r="C339" s="103">
        <v>0.15</v>
      </c>
      <c r="D339" s="103">
        <v>0.15</v>
      </c>
      <c r="E339" s="103">
        <v>0.15</v>
      </c>
      <c r="F339" s="113"/>
    </row>
    <row r="340" spans="1:6">
      <c r="A340" s="99" t="s">
        <v>295</v>
      </c>
      <c r="B340" s="102" t="s">
        <v>2271</v>
      </c>
      <c r="C340" s="103">
        <v>0.15</v>
      </c>
      <c r="D340" s="103">
        <v>0.15</v>
      </c>
      <c r="E340" s="103">
        <v>0.15</v>
      </c>
      <c r="F340" s="113"/>
    </row>
    <row r="341" spans="1:6">
      <c r="A341" s="99" t="s">
        <v>295</v>
      </c>
      <c r="B341" s="102" t="s">
        <v>2283</v>
      </c>
      <c r="C341" s="103">
        <v>0.15</v>
      </c>
      <c r="D341" s="103">
        <v>0.15</v>
      </c>
      <c r="E341" s="103">
        <v>0.15</v>
      </c>
      <c r="F341" s="111">
        <v>0.15</v>
      </c>
    </row>
    <row r="342" spans="1:6">
      <c r="A342" s="99" t="s">
        <v>295</v>
      </c>
      <c r="B342" s="102" t="s">
        <v>2295</v>
      </c>
      <c r="C342" s="103">
        <v>0.15</v>
      </c>
      <c r="D342" s="103">
        <v>0.15</v>
      </c>
      <c r="E342" s="103">
        <v>0.15</v>
      </c>
      <c r="F342" s="111">
        <v>0.15</v>
      </c>
    </row>
    <row r="343" spans="1:6">
      <c r="A343" s="99" t="s">
        <v>295</v>
      </c>
      <c r="B343" s="102" t="s">
        <v>2306</v>
      </c>
      <c r="C343" s="103">
        <v>0.15</v>
      </c>
      <c r="D343" s="103">
        <v>0.15</v>
      </c>
      <c r="E343" s="103">
        <v>0.15</v>
      </c>
      <c r="F343" s="111">
        <v>0.15</v>
      </c>
    </row>
    <row r="344" spans="1:6">
      <c r="A344" s="105" t="s">
        <v>295</v>
      </c>
      <c r="B344" s="114" t="s">
        <v>2317</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2578</v>
      </c>
      <c r="C1" s="27">
        <f>项目基本情况!D3</f>
        <v>44827</v>
      </c>
      <c r="D1" s="26" t="s">
        <v>2579</v>
      </c>
      <c r="E1" s="67">
        <f>'数据-取费表'!B22</f>
        <v>2</v>
      </c>
      <c r="F1" s="26" t="s">
        <v>2580</v>
      </c>
      <c r="G1" s="68">
        <f ca="1">INDIRECT("d"&amp;$K$1)/100</f>
        <v>3.6499999999999998E-2</v>
      </c>
      <c r="H1" s="26" t="s">
        <v>2581</v>
      </c>
      <c r="I1" s="68">
        <f ca="1">F4/100</f>
        <v>1.4999999999999999E-2</v>
      </c>
      <c r="J1" s="78">
        <f>IF(C1&gt;C13,0,MATCH(C1,C$13:C$109,-1))+IF(SUMIF(C13:C109,C1,D13:D109)=0,13,12)</f>
        <v>13</v>
      </c>
      <c r="K1" s="78">
        <f>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2580</v>
      </c>
      <c r="E2" s="28"/>
      <c r="F2" s="28" t="s">
        <v>2582</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2583</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2584</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2585</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2586</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2587</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25">
      <c r="A9" s="41"/>
      <c r="B9" s="42" t="s">
        <v>2588</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45"/>
      <c r="B10" s="46" t="s">
        <v>2589</v>
      </c>
      <c r="C10" s="45"/>
      <c r="D10" s="45"/>
      <c r="E10" s="45"/>
      <c r="F10" s="45"/>
      <c r="G10" s="45"/>
      <c r="H10" s="45"/>
      <c r="I10" s="22"/>
      <c r="J10" s="22"/>
      <c r="K10" s="45"/>
      <c r="L10" s="46" t="s">
        <v>2590</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2591</v>
      </c>
      <c r="C11" s="49" t="s">
        <v>2592</v>
      </c>
      <c r="D11" s="50" t="s">
        <v>2593</v>
      </c>
      <c r="E11" s="76"/>
      <c r="F11" s="50" t="s">
        <v>2594</v>
      </c>
      <c r="G11" s="77"/>
      <c r="H11" s="76"/>
      <c r="I11" s="50" t="s">
        <v>2595</v>
      </c>
      <c r="J11" s="76"/>
      <c r="K11" s="47"/>
      <c r="L11" s="48" t="s">
        <v>2591</v>
      </c>
      <c r="M11" s="49" t="s">
        <v>2592</v>
      </c>
      <c r="N11" s="48" t="s">
        <v>2596</v>
      </c>
      <c r="O11" s="50" t="s">
        <v>2597</v>
      </c>
      <c r="P11" s="77"/>
      <c r="Q11" s="77"/>
      <c r="R11" s="77"/>
      <c r="S11" s="77"/>
      <c r="T11" s="76"/>
      <c r="U11" s="50" t="s">
        <v>2598</v>
      </c>
      <c r="V11" s="77"/>
      <c r="W11" s="76"/>
      <c r="X11" s="48" t="s">
        <v>2599</v>
      </c>
      <c r="Y11" s="48" t="s">
        <v>2600</v>
      </c>
      <c r="Z11" s="48"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2602</v>
      </c>
      <c r="E12" s="54" t="s">
        <v>2584</v>
      </c>
      <c r="F12" s="54" t="s">
        <v>2585</v>
      </c>
      <c r="G12" s="54" t="s">
        <v>2586</v>
      </c>
      <c r="H12" s="54" t="s">
        <v>2587</v>
      </c>
      <c r="I12" s="79" t="s">
        <v>2603</v>
      </c>
      <c r="J12" s="79" t="s">
        <v>2603</v>
      </c>
      <c r="K12" s="51"/>
      <c r="L12" s="52"/>
      <c r="M12" s="53"/>
      <c r="N12" s="52"/>
      <c r="O12" s="79" t="s">
        <v>2604</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5"/>
      <c r="B13" s="56" t="s">
        <v>2605</v>
      </c>
      <c r="C13" s="57">
        <v>44795</v>
      </c>
      <c r="D13" s="58">
        <v>3.65</v>
      </c>
      <c r="E13" s="58">
        <f>D13</f>
        <v>3.65</v>
      </c>
      <c r="F13" s="58">
        <f>D13</f>
        <v>3.65</v>
      </c>
      <c r="G13" s="58">
        <f>D13</f>
        <v>3.65</v>
      </c>
      <c r="H13" s="58">
        <v>4.3</v>
      </c>
      <c r="I13" s="58"/>
      <c r="J13" s="58"/>
      <c r="K13" s="55"/>
      <c r="L13" s="56" t="s">
        <v>2605</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4.25">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56" t="s">
        <v>2606</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2607</v>
      </c>
      <c r="Y42" s="60" t="s">
        <v>2607</v>
      </c>
      <c r="Z42" s="60" t="s">
        <v>2607</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2607</v>
      </c>
      <c r="Y43" s="60" t="s">
        <v>2607</v>
      </c>
      <c r="Z43" s="60" t="s">
        <v>2607</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2607</v>
      </c>
      <c r="Y44" s="60" t="s">
        <v>2607</v>
      </c>
      <c r="Z44" s="60" t="s">
        <v>2607</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2607</v>
      </c>
      <c r="Y45" s="60" t="s">
        <v>2607</v>
      </c>
      <c r="Z45" s="60" t="s">
        <v>2607</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2607</v>
      </c>
      <c r="Y46" s="60" t="s">
        <v>2607</v>
      </c>
      <c r="Z46" s="60" t="s">
        <v>2607</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2607</v>
      </c>
      <c r="Y47" s="60" t="s">
        <v>2607</v>
      </c>
      <c r="Z47" s="60" t="s">
        <v>2607</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2607</v>
      </c>
      <c r="Y48" s="60" t="s">
        <v>2607</v>
      </c>
      <c r="Z48" s="60" t="s">
        <v>2607</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2607</v>
      </c>
      <c r="Y49" s="60" t="s">
        <v>2607</v>
      </c>
      <c r="Z49" s="60" t="s">
        <v>2607</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2607</v>
      </c>
      <c r="Y50" s="60" t="s">
        <v>2607</v>
      </c>
      <c r="Z50" s="60" t="s">
        <v>2607</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2607</v>
      </c>
      <c r="V51" s="60" t="s">
        <v>2607</v>
      </c>
      <c r="W51" s="60" t="s">
        <v>2607</v>
      </c>
      <c r="X51" s="60" t="s">
        <v>2607</v>
      </c>
      <c r="Y51" s="60" t="s">
        <v>2607</v>
      </c>
      <c r="Z51" s="60" t="s">
        <v>2607</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2607</v>
      </c>
      <c r="J64" s="60" t="s">
        <v>2607</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2608</v>
      </c>
      <c r="E1" s="17" t="s">
        <v>2609</v>
      </c>
      <c r="F1" s="18" t="s">
        <v>2610</v>
      </c>
    </row>
    <row r="2" spans="1:13" ht="20.25">
      <c r="A2" s="8" t="s">
        <v>2611</v>
      </c>
    </row>
    <row r="3" spans="1:13" ht="16.5">
      <c r="A3" s="9" t="s">
        <v>2612</v>
      </c>
    </row>
    <row r="4" spans="1:13" ht="14.25">
      <c r="A4" s="10" t="s">
        <v>2613</v>
      </c>
      <c r="B4" s="11" t="s">
        <v>463</v>
      </c>
      <c r="C4" s="12"/>
      <c r="D4" s="13"/>
      <c r="E4" s="11" t="s">
        <v>1776</v>
      </c>
      <c r="F4" s="12"/>
      <c r="G4" s="13"/>
      <c r="H4" s="11" t="s">
        <v>2614</v>
      </c>
      <c r="I4" s="12"/>
      <c r="J4" s="13"/>
      <c r="K4" s="11" t="s">
        <v>1778</v>
      </c>
      <c r="L4" s="12"/>
      <c r="M4" s="13"/>
    </row>
    <row r="5" spans="1:13" ht="14.25">
      <c r="A5" s="14" t="s">
        <v>208</v>
      </c>
      <c r="B5" s="10" t="s">
        <v>2615</v>
      </c>
      <c r="C5" s="10" t="s">
        <v>2616</v>
      </c>
      <c r="D5" s="10" t="s">
        <v>2617</v>
      </c>
      <c r="E5" s="10" t="s">
        <v>2615</v>
      </c>
      <c r="F5" s="10" t="s">
        <v>2616</v>
      </c>
      <c r="G5" s="10" t="s">
        <v>2617</v>
      </c>
      <c r="H5" s="10" t="s">
        <v>2615</v>
      </c>
      <c r="I5" s="10" t="s">
        <v>2616</v>
      </c>
      <c r="J5" s="10" t="s">
        <v>2617</v>
      </c>
      <c r="K5" s="10" t="s">
        <v>2615</v>
      </c>
      <c r="L5" s="10" t="s">
        <v>2616</v>
      </c>
      <c r="M5" s="10" t="s">
        <v>2617</v>
      </c>
    </row>
    <row r="6" spans="1:13" ht="14.25">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9">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E4" sqref="E4:E7"/>
    </sheetView>
  </sheetViews>
  <sheetFormatPr defaultColWidth="9" defaultRowHeight="13.5"/>
  <cols>
    <col min="5" max="7" width="15" customWidth="1"/>
    <col min="8" max="8" width="13.125" customWidth="1"/>
    <col min="9" max="9" width="13.875" customWidth="1"/>
    <col min="11" max="12" width="13"/>
    <col min="14" max="14" width="10.75"/>
    <col min="16" max="21" width="12.875"/>
  </cols>
  <sheetData>
    <row r="2" spans="4:21">
      <c r="D2" s="1" t="s">
        <v>2618</v>
      </c>
      <c r="E2">
        <v>2017</v>
      </c>
      <c r="F2">
        <v>2018</v>
      </c>
      <c r="G2">
        <v>2019</v>
      </c>
      <c r="H2">
        <v>2020</v>
      </c>
      <c r="I2">
        <v>2021</v>
      </c>
      <c r="K2" t="s">
        <v>2619</v>
      </c>
      <c r="N2" t="s">
        <v>2620</v>
      </c>
      <c r="P2" t="s">
        <v>2621</v>
      </c>
      <c r="U2" t="s">
        <v>2622</v>
      </c>
    </row>
    <row r="3" spans="4:21">
      <c r="D3" s="1" t="s">
        <v>2623</v>
      </c>
      <c r="E3" s="2">
        <v>137009669.69999999</v>
      </c>
      <c r="F3" s="2">
        <v>143857507.02000001</v>
      </c>
      <c r="G3" s="2">
        <v>147116565.30000001</v>
      </c>
      <c r="H3" s="2">
        <v>36129026.25</v>
      </c>
      <c r="I3" s="2">
        <v>69631079.760000005</v>
      </c>
      <c r="J3" s="2"/>
      <c r="K3" s="2">
        <f>'[3]2022.8损益'!$D$5</f>
        <v>42637313.630000003</v>
      </c>
      <c r="L3" s="2">
        <f t="shared" ref="L3:L8" si="0">K3/8*12</f>
        <v>63955970.445</v>
      </c>
      <c r="N3">
        <f>ROUND((E3+F3+G3-((G16+G17+G18+G19)*3))/3,0)</f>
        <v>130373595</v>
      </c>
    </row>
    <row r="4" spans="4:21">
      <c r="D4" s="1" t="s">
        <v>2624</v>
      </c>
      <c r="E4" s="2">
        <v>11637933.949999999</v>
      </c>
      <c r="F4" s="2">
        <v>13702788.439999999</v>
      </c>
      <c r="G4" s="2">
        <v>15920914.289999999</v>
      </c>
      <c r="H4" s="2">
        <v>5359335.55</v>
      </c>
      <c r="I4" s="2">
        <v>8027970.5800000001</v>
      </c>
      <c r="J4" s="2"/>
      <c r="K4" s="2">
        <f>'[3]2022.8损益'!$D$6</f>
        <v>5175278.17</v>
      </c>
      <c r="L4" s="2">
        <f t="shared" si="0"/>
        <v>7762917.2549999999</v>
      </c>
      <c r="P4" s="6">
        <f>E4/E3</f>
        <v>8.4942427607356E-2</v>
      </c>
      <c r="Q4" s="6">
        <f>F4/F3</f>
        <v>9.5252508707070499E-2</v>
      </c>
      <c r="R4" s="6">
        <f>G4/G3</f>
        <v>0.10821972534183399</v>
      </c>
      <c r="S4" s="6">
        <f>H4/H3</f>
        <v>0.14833877649830099</v>
      </c>
      <c r="T4" s="6">
        <f>I4/I3</f>
        <v>0.11529292102995201</v>
      </c>
      <c r="U4" s="6">
        <f t="shared" ref="U4:U7" si="1">AVERAGE(P4:T4)</f>
        <v>0.11040927183690299</v>
      </c>
    </row>
    <row r="5" spans="4:21">
      <c r="D5" s="1" t="s">
        <v>2625</v>
      </c>
      <c r="E5" s="2">
        <v>1551931.73</v>
      </c>
      <c r="F5" s="2">
        <v>2082663.44</v>
      </c>
      <c r="G5" s="2">
        <v>1660968.86</v>
      </c>
      <c r="H5" s="2">
        <v>1278843.21</v>
      </c>
      <c r="I5" s="2">
        <v>1181528.08</v>
      </c>
      <c r="J5" s="2"/>
      <c r="K5" s="2">
        <f>'[3]2022.8损益'!$D$8</f>
        <v>782815.87</v>
      </c>
      <c r="L5" s="2">
        <f t="shared" si="0"/>
        <v>1174223.8049999999</v>
      </c>
      <c r="P5" s="6"/>
    </row>
    <row r="6" spans="4:21">
      <c r="D6" s="1" t="s">
        <v>2626</v>
      </c>
      <c r="E6" s="2">
        <v>24661801.030000001</v>
      </c>
      <c r="F6" s="2">
        <v>27504072.109999999</v>
      </c>
      <c r="G6" s="2">
        <v>31336589.879999999</v>
      </c>
      <c r="H6" s="2">
        <v>13594397.289999999</v>
      </c>
      <c r="I6" s="2">
        <v>14325195.57</v>
      </c>
      <c r="J6" s="2"/>
      <c r="K6" s="2">
        <f>'[3]2022.8损益'!$D$7</f>
        <v>12345039.199999999</v>
      </c>
      <c r="L6" s="2">
        <f t="shared" si="0"/>
        <v>18517558.800000001</v>
      </c>
      <c r="P6" s="6">
        <f>E6/E3</f>
        <v>0.18000044145789201</v>
      </c>
      <c r="Q6" s="6">
        <f>F6/F3</f>
        <v>0.191189689573699</v>
      </c>
      <c r="R6" s="6">
        <f>G6/G3</f>
        <v>0.213005175971166</v>
      </c>
      <c r="S6" s="6">
        <f>H6/H3</f>
        <v>0.37627355899192</v>
      </c>
      <c r="T6" s="6">
        <f>I6/I3</f>
        <v>0.205729907095728</v>
      </c>
      <c r="U6" s="6">
        <f t="shared" si="1"/>
        <v>0.233239754618081</v>
      </c>
    </row>
    <row r="7" spans="4:21">
      <c r="D7" s="1" t="s">
        <v>2627</v>
      </c>
      <c r="E7" s="2">
        <v>35784230.450000003</v>
      </c>
      <c r="F7" s="2">
        <v>35721432.890000001</v>
      </c>
      <c r="G7" s="2">
        <v>50994142.039999999</v>
      </c>
      <c r="H7" s="2">
        <v>19284711.77</v>
      </c>
      <c r="I7" s="2">
        <v>24205109.34</v>
      </c>
      <c r="J7" s="2"/>
      <c r="K7" s="2">
        <f>'[3]2022.8损益'!$D$12</f>
        <v>14409245.880000001</v>
      </c>
      <c r="L7" s="2">
        <f t="shared" si="0"/>
        <v>21613868.82</v>
      </c>
      <c r="P7" s="6">
        <f>E7/E3</f>
        <v>0.26118032784367801</v>
      </c>
      <c r="Q7" s="6">
        <f>F7/F3</f>
        <v>0.24831121871890799</v>
      </c>
      <c r="R7" s="6">
        <f>G7/G3</f>
        <v>0.34662406599836498</v>
      </c>
      <c r="S7" s="6">
        <f>H7/H3</f>
        <v>0.53377336096900796</v>
      </c>
      <c r="T7" s="6">
        <f>I7/I3</f>
        <v>0.34761933066999201</v>
      </c>
      <c r="U7" s="6">
        <f t="shared" si="1"/>
        <v>0.34750166083999001</v>
      </c>
    </row>
    <row r="8" spans="4:21">
      <c r="D8" s="1" t="s">
        <v>2628</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2629</v>
      </c>
      <c r="E9" s="2"/>
      <c r="F9" s="2"/>
      <c r="G9" s="2"/>
      <c r="H9" s="2">
        <v>2103839.9300000002</v>
      </c>
      <c r="I9" s="2">
        <v>1559870.97</v>
      </c>
      <c r="J9" s="5">
        <f>I9/I3</f>
        <v>2.2401935678384801E-2</v>
      </c>
      <c r="K9" s="2"/>
      <c r="L9" s="2"/>
    </row>
    <row r="10" spans="4:21">
      <c r="E10" s="2"/>
      <c r="F10" s="2"/>
      <c r="G10" s="2"/>
      <c r="H10" s="2"/>
      <c r="I10" s="2"/>
      <c r="J10" s="2"/>
      <c r="K10" s="2"/>
      <c r="L10" s="2"/>
    </row>
    <row r="11" spans="4:21">
      <c r="D11" s="1"/>
      <c r="E11" s="2"/>
      <c r="F11" s="2"/>
      <c r="G11" s="2"/>
      <c r="H11" s="2"/>
      <c r="I11" s="2"/>
      <c r="J11" s="2"/>
      <c r="K11" s="2"/>
      <c r="L11" s="2"/>
    </row>
    <row r="12" spans="4:21">
      <c r="D12" s="1" t="s">
        <v>2630</v>
      </c>
      <c r="E12" t="s">
        <v>2631</v>
      </c>
      <c r="F12" s="2">
        <f>ROUND(E28*C28*365*F28,2)</f>
        <v>10946240.5</v>
      </c>
      <c r="G12" s="2">
        <f>ROUND(H28*C28*365*G28,2)</f>
        <v>10946240.5</v>
      </c>
      <c r="H12" s="2">
        <f>ROUND(I28*C28*365*J28,2)</f>
        <v>5898436.5</v>
      </c>
      <c r="I12" s="2">
        <f>ROUND(L28*C28*365*K28,2)</f>
        <v>7185368.0999999996</v>
      </c>
      <c r="J12" s="2"/>
      <c r="K12" s="2"/>
      <c r="L12" s="2"/>
    </row>
    <row r="13" spans="4:21">
      <c r="E13" t="s">
        <v>2632</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2633</v>
      </c>
      <c r="F14" s="2">
        <f>ROUND(E30*C30*365*F30,2)</f>
        <v>6588527.4000000004</v>
      </c>
      <c r="G14" s="2">
        <f t="shared" ref="G14:G19" si="4">ROUND(H30*C30*365*G30,2)</f>
        <v>6588527.4000000004</v>
      </c>
      <c r="H14" s="2">
        <f t="shared" si="2"/>
        <v>3378732</v>
      </c>
      <c r="I14" s="2">
        <f t="shared" si="3"/>
        <v>4730224.8</v>
      </c>
      <c r="J14" s="2"/>
      <c r="K14" s="2"/>
      <c r="L14" s="2"/>
    </row>
    <row r="15" spans="4:21">
      <c r="E15" t="s">
        <v>2634</v>
      </c>
      <c r="F15" s="2">
        <f t="shared" ref="F15:F19" si="5">ROUND(E31*C31*365*F31,2)</f>
        <v>2705788.8</v>
      </c>
      <c r="G15" s="2">
        <f t="shared" si="4"/>
        <v>2831932.8</v>
      </c>
      <c r="H15" s="2">
        <f t="shared" si="2"/>
        <v>1573296</v>
      </c>
      <c r="I15" s="2">
        <f t="shared" si="3"/>
        <v>2084617.2</v>
      </c>
      <c r="J15" s="2"/>
      <c r="K15" s="2"/>
      <c r="L15" s="2"/>
    </row>
    <row r="16" spans="4:21">
      <c r="E16" s="3" t="s">
        <v>2635</v>
      </c>
      <c r="F16" s="4">
        <f t="shared" si="5"/>
        <v>6114480</v>
      </c>
      <c r="G16" s="4">
        <f t="shared" si="4"/>
        <v>6114480</v>
      </c>
      <c r="H16" s="4">
        <f t="shared" si="2"/>
        <v>3210102</v>
      </c>
      <c r="I16" s="4">
        <f t="shared" si="3"/>
        <v>3821550</v>
      </c>
      <c r="J16" s="2"/>
      <c r="K16" s="2"/>
      <c r="L16" s="2"/>
    </row>
    <row r="17" spans="1:13">
      <c r="E17" s="3" t="s">
        <v>2636</v>
      </c>
      <c r="F17" s="4">
        <f t="shared" si="5"/>
        <v>1631112</v>
      </c>
      <c r="G17" s="4">
        <f t="shared" si="4"/>
        <v>1631112</v>
      </c>
      <c r="H17" s="4">
        <f t="shared" si="2"/>
        <v>932064</v>
      </c>
      <c r="I17" s="4">
        <f t="shared" si="3"/>
        <v>1048572</v>
      </c>
      <c r="J17" s="2"/>
      <c r="K17" s="2"/>
      <c r="L17" s="2"/>
    </row>
    <row r="18" spans="1:13">
      <c r="E18" s="3" t="s">
        <v>2637</v>
      </c>
      <c r="F18" s="4">
        <f t="shared" si="5"/>
        <v>3776436</v>
      </c>
      <c r="G18" s="4">
        <f t="shared" si="4"/>
        <v>3934116</v>
      </c>
      <c r="H18" s="4">
        <f t="shared" si="2"/>
        <v>2185620</v>
      </c>
      <c r="I18" s="4">
        <f t="shared" si="3"/>
        <v>2185620</v>
      </c>
      <c r="J18" s="2"/>
      <c r="K18" s="2"/>
      <c r="L18" s="2"/>
    </row>
    <row r="19" spans="1:13">
      <c r="E19" s="3" t="s">
        <v>2638</v>
      </c>
      <c r="F19" s="4">
        <f t="shared" si="5"/>
        <v>607944</v>
      </c>
      <c r="G19" s="4">
        <f t="shared" si="4"/>
        <v>607944</v>
      </c>
      <c r="H19" s="4">
        <f t="shared" si="2"/>
        <v>303972</v>
      </c>
      <c r="I19" s="4">
        <f t="shared" si="3"/>
        <v>587679.19999999995</v>
      </c>
      <c r="J19" s="2"/>
      <c r="K19" s="2"/>
      <c r="L19" s="2"/>
    </row>
    <row r="20" spans="1:13">
      <c r="E20" t="s">
        <v>2639</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v>
      </c>
      <c r="G23" s="2">
        <f>G3-SUM(G16:G19)</f>
        <v>134828913.30000001</v>
      </c>
      <c r="H23" s="2">
        <f>H3-SUM(H16:H19)</f>
        <v>29497268.25</v>
      </c>
      <c r="I23" s="2">
        <f>I3-SUM(I16:I19)</f>
        <v>61987658.560000002</v>
      </c>
      <c r="J23" s="2"/>
      <c r="K23" s="2"/>
      <c r="L23" s="2"/>
    </row>
    <row r="24" spans="1:13">
      <c r="E24" s="2"/>
      <c r="F24" s="2"/>
      <c r="G24" s="2"/>
      <c r="H24" s="2"/>
      <c r="I24" s="2">
        <f>AVERAGE(F23:I23)</f>
        <v>89510343.782499999</v>
      </c>
      <c r="J24" s="2"/>
      <c r="K24" s="2"/>
      <c r="L24" s="2"/>
    </row>
    <row r="25" spans="1:13">
      <c r="A25" t="s">
        <v>2640</v>
      </c>
      <c r="E25" s="2"/>
      <c r="F25" s="2"/>
      <c r="G25" s="2"/>
      <c r="H25" s="2"/>
      <c r="I25" s="2"/>
      <c r="J25" s="2"/>
      <c r="K25" s="2"/>
      <c r="L25" s="2"/>
    </row>
    <row r="26" spans="1:13">
      <c r="E26" s="2"/>
      <c r="F26" s="2"/>
      <c r="G26" s="2" t="s">
        <v>2641</v>
      </c>
      <c r="H26" s="2"/>
      <c r="I26" s="2"/>
      <c r="J26" s="2"/>
      <c r="K26" s="2"/>
      <c r="L26" s="2"/>
    </row>
    <row r="27" spans="1:13">
      <c r="A27" t="s">
        <v>2642</v>
      </c>
      <c r="B27" t="s">
        <v>2643</v>
      </c>
      <c r="C27" t="s">
        <v>2644</v>
      </c>
      <c r="D27" t="s">
        <v>2645</v>
      </c>
      <c r="E27" s="2" t="s">
        <v>2646</v>
      </c>
      <c r="F27" s="2" t="s">
        <v>2647</v>
      </c>
      <c r="G27" s="2" t="s">
        <v>2648</v>
      </c>
      <c r="H27" s="2" t="s">
        <v>2647</v>
      </c>
      <c r="I27" s="2" t="s">
        <v>2649</v>
      </c>
      <c r="J27" s="2" t="s">
        <v>2647</v>
      </c>
      <c r="K27" s="2" t="s">
        <v>2650</v>
      </c>
      <c r="L27" s="2" t="s">
        <v>2647</v>
      </c>
      <c r="M27" t="s">
        <v>2651</v>
      </c>
    </row>
    <row r="28" spans="1:13">
      <c r="A28" t="s">
        <v>2652</v>
      </c>
      <c r="B28" t="s">
        <v>2631</v>
      </c>
      <c r="C28">
        <v>59</v>
      </c>
      <c r="D28">
        <v>1180</v>
      </c>
      <c r="E28" s="2">
        <v>598</v>
      </c>
      <c r="F28" s="5">
        <v>0.85</v>
      </c>
      <c r="G28" s="2">
        <v>598</v>
      </c>
      <c r="H28" s="5">
        <v>0.85</v>
      </c>
      <c r="I28" s="2">
        <v>498</v>
      </c>
      <c r="J28" s="5">
        <v>0.55000000000000004</v>
      </c>
      <c r="K28" s="2">
        <v>498</v>
      </c>
      <c r="L28" s="5">
        <v>0.67</v>
      </c>
      <c r="M28" t="s">
        <v>2653</v>
      </c>
    </row>
    <row r="29" spans="1:13">
      <c r="B29" t="s">
        <v>2632</v>
      </c>
      <c r="C29">
        <v>288</v>
      </c>
      <c r="D29">
        <v>1180</v>
      </c>
      <c r="E29">
        <v>698</v>
      </c>
      <c r="F29" s="5">
        <v>0.85</v>
      </c>
      <c r="G29">
        <v>698</v>
      </c>
      <c r="H29" s="5">
        <v>0.85</v>
      </c>
      <c r="I29">
        <v>498</v>
      </c>
      <c r="J29" s="5">
        <v>0.56999999999999995</v>
      </c>
      <c r="K29">
        <v>498</v>
      </c>
      <c r="L29" s="5">
        <v>0.56999999999999995</v>
      </c>
      <c r="M29" t="s">
        <v>2654</v>
      </c>
    </row>
    <row r="30" spans="1:13">
      <c r="B30" t="s">
        <v>2633</v>
      </c>
      <c r="C30">
        <v>29</v>
      </c>
      <c r="D30">
        <v>1380</v>
      </c>
      <c r="E30">
        <v>798</v>
      </c>
      <c r="F30" s="5">
        <v>0.78</v>
      </c>
      <c r="G30">
        <v>798</v>
      </c>
      <c r="H30" s="5">
        <v>0.78</v>
      </c>
      <c r="I30">
        <v>798</v>
      </c>
      <c r="J30" s="5">
        <v>0.4</v>
      </c>
      <c r="K30">
        <v>798</v>
      </c>
      <c r="L30" s="5">
        <v>0.56000000000000005</v>
      </c>
      <c r="M30" t="s">
        <v>2655</v>
      </c>
    </row>
    <row r="31" spans="1:13">
      <c r="B31" t="s">
        <v>2634</v>
      </c>
      <c r="C31">
        <v>12</v>
      </c>
      <c r="D31">
        <v>1880</v>
      </c>
      <c r="E31">
        <v>858</v>
      </c>
      <c r="F31" s="5">
        <v>0.72</v>
      </c>
      <c r="G31">
        <v>898</v>
      </c>
      <c r="H31" s="5">
        <v>0.72</v>
      </c>
      <c r="I31">
        <v>898</v>
      </c>
      <c r="J31" s="5">
        <v>0.4</v>
      </c>
      <c r="K31">
        <v>898</v>
      </c>
      <c r="L31" s="5">
        <v>0.53</v>
      </c>
      <c r="M31" t="s">
        <v>2656</v>
      </c>
    </row>
    <row r="32" spans="1:13">
      <c r="B32" t="s">
        <v>2635</v>
      </c>
      <c r="C32">
        <v>30</v>
      </c>
      <c r="D32">
        <v>1580</v>
      </c>
      <c r="E32">
        <v>698</v>
      </c>
      <c r="F32" s="5">
        <v>0.8</v>
      </c>
      <c r="G32">
        <v>698</v>
      </c>
      <c r="H32" s="5">
        <v>0.8</v>
      </c>
      <c r="I32">
        <v>698</v>
      </c>
      <c r="J32" s="5">
        <v>0.42</v>
      </c>
      <c r="K32">
        <v>698</v>
      </c>
      <c r="L32" s="5">
        <v>0.5</v>
      </c>
      <c r="M32" t="s">
        <v>2657</v>
      </c>
    </row>
    <row r="33" spans="2:13">
      <c r="B33" t="s">
        <v>2636</v>
      </c>
      <c r="C33">
        <v>8</v>
      </c>
      <c r="D33">
        <v>1880</v>
      </c>
      <c r="E33">
        <v>798</v>
      </c>
      <c r="F33" s="5">
        <v>0.7</v>
      </c>
      <c r="G33">
        <v>798</v>
      </c>
      <c r="H33" s="5">
        <v>0.7</v>
      </c>
      <c r="I33">
        <v>798</v>
      </c>
      <c r="J33" s="5">
        <v>0.4</v>
      </c>
      <c r="K33">
        <v>798</v>
      </c>
      <c r="L33" s="5">
        <v>0.45</v>
      </c>
      <c r="M33" t="s">
        <v>2656</v>
      </c>
    </row>
    <row r="34" spans="2:13">
      <c r="B34" t="s">
        <v>2637</v>
      </c>
      <c r="C34">
        <v>15</v>
      </c>
      <c r="D34">
        <v>2580</v>
      </c>
      <c r="E34">
        <v>958</v>
      </c>
      <c r="F34" s="5">
        <v>0.72</v>
      </c>
      <c r="G34">
        <v>998</v>
      </c>
      <c r="H34" s="5">
        <v>0.72</v>
      </c>
      <c r="I34">
        <v>998</v>
      </c>
      <c r="J34" s="5">
        <v>0.4</v>
      </c>
      <c r="K34">
        <v>998</v>
      </c>
      <c r="L34" s="5">
        <v>0.4</v>
      </c>
      <c r="M34" t="s">
        <v>2658</v>
      </c>
    </row>
    <row r="35" spans="2:13">
      <c r="B35" t="s">
        <v>2638</v>
      </c>
      <c r="C35">
        <v>2</v>
      </c>
      <c r="D35">
        <v>4980</v>
      </c>
      <c r="E35">
        <v>1388</v>
      </c>
      <c r="F35" s="5">
        <v>0.6</v>
      </c>
      <c r="G35">
        <v>1388</v>
      </c>
      <c r="H35" s="5">
        <v>0.6</v>
      </c>
      <c r="I35">
        <v>1388</v>
      </c>
      <c r="J35" s="5">
        <v>0.3</v>
      </c>
      <c r="K35">
        <v>1388</v>
      </c>
      <c r="L35" s="5">
        <v>0.57999999999999996</v>
      </c>
      <c r="M35" t="s">
        <v>2659</v>
      </c>
    </row>
    <row r="36" spans="2:13">
      <c r="B36" t="s">
        <v>2639</v>
      </c>
      <c r="C36">
        <v>2</v>
      </c>
      <c r="E36">
        <v>98</v>
      </c>
      <c r="F36" s="5">
        <v>0.15</v>
      </c>
      <c r="G36">
        <v>98</v>
      </c>
      <c r="H36" s="5">
        <v>0.15</v>
      </c>
      <c r="I36">
        <v>98</v>
      </c>
      <c r="J36" s="5">
        <v>0.05</v>
      </c>
      <c r="K36">
        <v>98</v>
      </c>
      <c r="L36" s="5">
        <v>0.4</v>
      </c>
      <c r="M36" t="s">
        <v>2660</v>
      </c>
    </row>
    <row r="37" spans="2:13">
      <c r="B37" t="s">
        <v>478</v>
      </c>
      <c r="C37">
        <v>445</v>
      </c>
      <c r="G37">
        <f>(C28*G28+C29*G29+C30*G30+C31*G31)/(C28+C29+C30+C31)</f>
        <v>696.45360824742295</v>
      </c>
      <c r="K37">
        <f>(C28*K28+C29*K29+C30*K30+C31*K31)/(C28+C29+C30+C31)</f>
        <v>532.79381443298996</v>
      </c>
      <c r="L37" s="6">
        <f>(C28*L28+C29*L29+C30*L30+C31*L31)/(C28+C29+C30+C31)</f>
        <v>0.58322164948453603</v>
      </c>
    </row>
    <row r="41" spans="2:13">
      <c r="B41" t="s">
        <v>2661</v>
      </c>
      <c r="C41" t="s">
        <v>2662</v>
      </c>
      <c r="D41" t="s">
        <v>2663</v>
      </c>
      <c r="E41" t="s">
        <v>2664</v>
      </c>
    </row>
    <row r="42" spans="2:13">
      <c r="B42">
        <v>16</v>
      </c>
      <c r="C42" t="s">
        <v>2637</v>
      </c>
      <c r="D42">
        <v>2</v>
      </c>
      <c r="E42" t="s">
        <v>2658</v>
      </c>
      <c r="G42" t="s">
        <v>2637</v>
      </c>
      <c r="H42">
        <f>D42+D48+D53</f>
        <v>15</v>
      </c>
    </row>
    <row r="43" spans="2:13">
      <c r="C43" t="s">
        <v>2636</v>
      </c>
      <c r="D43">
        <v>2</v>
      </c>
      <c r="E43" t="s">
        <v>2656</v>
      </c>
      <c r="G43" t="s">
        <v>2636</v>
      </c>
      <c r="H43">
        <f>D43+D49+D54</f>
        <v>8</v>
      </c>
    </row>
    <row r="44" spans="2:13">
      <c r="C44" t="s">
        <v>2665</v>
      </c>
      <c r="D44">
        <v>4</v>
      </c>
      <c r="E44" t="s">
        <v>2657</v>
      </c>
      <c r="G44" t="s">
        <v>2665</v>
      </c>
      <c r="H44">
        <f>D44+D50+D55</f>
        <v>14</v>
      </c>
    </row>
    <row r="45" spans="2:13">
      <c r="C45" t="s">
        <v>2666</v>
      </c>
      <c r="D45">
        <v>3</v>
      </c>
      <c r="E45" t="s">
        <v>2657</v>
      </c>
      <c r="G45" t="s">
        <v>2666</v>
      </c>
      <c r="H45">
        <f>D45+D51+D56</f>
        <v>17</v>
      </c>
    </row>
    <row r="46" spans="2:13">
      <c r="C46" t="s">
        <v>2667</v>
      </c>
      <c r="D46">
        <v>2</v>
      </c>
      <c r="E46" t="s">
        <v>2659</v>
      </c>
      <c r="G46" t="s">
        <v>2667</v>
      </c>
      <c r="H46">
        <v>2</v>
      </c>
    </row>
    <row r="47" spans="2:13">
      <c r="C47" t="s">
        <v>481</v>
      </c>
      <c r="D47">
        <v>13</v>
      </c>
      <c r="H47">
        <f>SUM(H42:H46)</f>
        <v>56</v>
      </c>
    </row>
    <row r="48" spans="2:13">
      <c r="B48">
        <v>17</v>
      </c>
      <c r="C48" t="s">
        <v>2637</v>
      </c>
      <c r="D48">
        <v>7</v>
      </c>
      <c r="E48" t="s">
        <v>2658</v>
      </c>
    </row>
    <row r="49" spans="2:5">
      <c r="C49" t="s">
        <v>2636</v>
      </c>
      <c r="D49">
        <v>3</v>
      </c>
      <c r="E49" t="s">
        <v>2656</v>
      </c>
    </row>
    <row r="50" spans="2:5">
      <c r="C50" t="s">
        <v>2665</v>
      </c>
      <c r="D50">
        <v>5</v>
      </c>
      <c r="E50" t="s">
        <v>2657</v>
      </c>
    </row>
    <row r="51" spans="2:5">
      <c r="C51" t="s">
        <v>2666</v>
      </c>
      <c r="D51">
        <v>8</v>
      </c>
      <c r="E51" t="s">
        <v>2657</v>
      </c>
    </row>
    <row r="52" spans="2:5">
      <c r="C52" t="s">
        <v>481</v>
      </c>
      <c r="D52">
        <v>23</v>
      </c>
    </row>
    <row r="53" spans="2:5">
      <c r="B53">
        <v>19</v>
      </c>
      <c r="C53" t="s">
        <v>2637</v>
      </c>
      <c r="D53">
        <v>6</v>
      </c>
      <c r="E53" t="s">
        <v>2658</v>
      </c>
    </row>
    <row r="54" spans="2:5">
      <c r="C54" t="s">
        <v>2636</v>
      </c>
      <c r="D54">
        <v>3</v>
      </c>
      <c r="E54" t="s">
        <v>2656</v>
      </c>
    </row>
    <row r="55" spans="2:5">
      <c r="C55" t="s">
        <v>2665</v>
      </c>
      <c r="D55">
        <v>5</v>
      </c>
      <c r="E55" t="s">
        <v>2657</v>
      </c>
    </row>
    <row r="56" spans="2:5">
      <c r="C56" t="s">
        <v>2666</v>
      </c>
      <c r="D56">
        <v>6</v>
      </c>
      <c r="E56" t="s">
        <v>2657</v>
      </c>
    </row>
    <row r="57" spans="2:5">
      <c r="C57" t="s">
        <v>481</v>
      </c>
      <c r="D57">
        <v>20</v>
      </c>
    </row>
    <row r="58" spans="2:5">
      <c r="C58" t="s">
        <v>478</v>
      </c>
      <c r="D58">
        <v>56</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34" t="str">
        <f>IF(项目基本情况!B9="房地产市场价值","估价结果一览表","结果表-2")</f>
        <v>结果表-2</v>
      </c>
      <c r="B1" s="3234"/>
      <c r="C1" s="3234"/>
      <c r="D1" s="3234"/>
      <c r="E1" s="3234"/>
      <c r="F1" s="3234"/>
      <c r="G1" s="3234"/>
      <c r="H1" s="3234"/>
      <c r="I1" s="3234"/>
    </row>
    <row r="2" spans="1:9" ht="30" customHeight="1">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36"/>
      <c r="B3" s="3236"/>
      <c r="C3" s="3236"/>
      <c r="D3" s="3163" t="s">
        <v>110</v>
      </c>
      <c r="E3" s="3163" t="s">
        <v>111</v>
      </c>
      <c r="F3" s="3163" t="s">
        <v>110</v>
      </c>
      <c r="G3" s="3163" t="s">
        <v>111</v>
      </c>
      <c r="H3" s="3163" t="s">
        <v>110</v>
      </c>
      <c r="I3" s="3163" t="s">
        <v>111</v>
      </c>
    </row>
    <row r="4" spans="1:9" ht="15">
      <c r="A4" s="3164" t="str">
        <f>项目基本情况!S2</f>
        <v>北京市房地产</v>
      </c>
      <c r="B4" s="3163">
        <f>项目基本情况!C17</f>
        <v>29009.8</v>
      </c>
      <c r="C4" s="3163">
        <f>项目基本情况!C18</f>
        <v>8299.16</v>
      </c>
      <c r="D4" s="3163">
        <f ca="1">结果表!D118</f>
        <v>71855</v>
      </c>
      <c r="E4" s="3163">
        <f ca="1">结果表!E118</f>
        <v>24769</v>
      </c>
      <c r="F4" s="3163">
        <f ca="1">结果表!F118</f>
        <v>18415</v>
      </c>
      <c r="G4" s="3163">
        <f ca="1">结果表!G118</f>
        <v>6348</v>
      </c>
      <c r="H4" s="3163">
        <f ca="1">结果表!H118</f>
        <v>90270</v>
      </c>
      <c r="I4" s="3163">
        <f ca="1">结果表!I118</f>
        <v>31117</v>
      </c>
    </row>
    <row r="5" spans="1:9" ht="30" customHeight="1">
      <c r="A5" s="3236" t="s">
        <v>112</v>
      </c>
      <c r="B5" s="3236"/>
      <c r="C5" s="3236"/>
      <c r="D5" s="3237" t="str">
        <f ca="1">结果表!D119</f>
        <v>柒亿壹仟捌佰伍拾伍万元整</v>
      </c>
      <c r="E5" s="3237"/>
      <c r="F5" s="3237" t="str">
        <f ca="1">结果表!F119</f>
        <v>壹亿捌仟肆佰壹拾伍万元整</v>
      </c>
      <c r="G5" s="3237"/>
      <c r="H5" s="3237" t="str">
        <f ca="1">结果表!H119</f>
        <v>玖亿零贰佰柒拾万元整</v>
      </c>
      <c r="I5" s="3237"/>
    </row>
    <row r="6" spans="1:9" ht="15.75">
      <c r="A6" s="3238" t="str">
        <f>结果表!A120</f>
        <v>估价师知悉的法定优先受偿款</v>
      </c>
      <c r="B6" s="3238"/>
      <c r="C6" s="3238"/>
      <c r="D6" s="3238">
        <f>结果表!D120</f>
        <v>0</v>
      </c>
      <c r="E6" s="3238"/>
      <c r="F6" s="3238"/>
      <c r="G6" s="3238"/>
      <c r="H6" s="3238"/>
      <c r="I6" s="3238"/>
    </row>
    <row r="7" spans="1:9" ht="15">
      <c r="A7" s="3236" t="s">
        <v>112</v>
      </c>
      <c r="B7" s="3236"/>
      <c r="C7" s="3236"/>
      <c r="D7" s="3239" t="str">
        <f>结果表!D121</f>
        <v>零元整</v>
      </c>
      <c r="E7" s="3240"/>
      <c r="F7" s="3240"/>
      <c r="G7" s="3240"/>
      <c r="H7" s="3240"/>
      <c r="I7" s="3241"/>
    </row>
    <row r="8" spans="1:9" ht="15.75">
      <c r="A8" s="3238" t="str">
        <f>结果表!A122</f>
        <v>房地产抵押价值</v>
      </c>
      <c r="B8" s="3238"/>
      <c r="C8" s="3238"/>
      <c r="D8" s="3238">
        <f ca="1">结果表!D122</f>
        <v>90270</v>
      </c>
      <c r="E8" s="3238"/>
      <c r="F8" s="3238"/>
      <c r="G8" s="3238"/>
      <c r="H8" s="3238"/>
      <c r="I8" s="3238"/>
    </row>
    <row r="9" spans="1:9" ht="15">
      <c r="A9" s="3236" t="s">
        <v>112</v>
      </c>
      <c r="B9" s="3236"/>
      <c r="C9" s="3236"/>
      <c r="D9" s="3237" t="str">
        <f ca="1">结果表!D123</f>
        <v>玖亿零贰佰柒拾万元整</v>
      </c>
      <c r="E9" s="3237"/>
      <c r="F9" s="3237"/>
      <c r="G9" s="3237"/>
      <c r="H9" s="3237"/>
      <c r="I9" s="3237"/>
    </row>
    <row r="10" spans="1:9" ht="15.75">
      <c r="A10" s="3238" t="str">
        <f>结果表!A124</f>
        <v/>
      </c>
      <c r="B10" s="3238"/>
      <c r="C10" s="3238"/>
      <c r="D10" s="3238" t="str">
        <f>结果表!D124</f>
        <v>——</v>
      </c>
      <c r="E10" s="3238"/>
      <c r="F10" s="3238"/>
      <c r="G10" s="3238"/>
      <c r="H10" s="3238"/>
      <c r="I10" s="3238"/>
    </row>
    <row r="11" spans="1:9" ht="15">
      <c r="A11" s="3236" t="s">
        <v>112</v>
      </c>
      <c r="B11" s="3236"/>
      <c r="C11" s="3236"/>
      <c r="D11" s="3237" t="e">
        <f>结果表!D125</f>
        <v>#VALUE!</v>
      </c>
      <c r="E11" s="3237"/>
      <c r="F11" s="3237"/>
      <c r="G11" s="3237"/>
      <c r="H11" s="3237"/>
      <c r="I11" s="3237"/>
    </row>
    <row r="12" spans="1:9" ht="15.75">
      <c r="A12" s="3238" t="str">
        <f>结果表!A126</f>
        <v/>
      </c>
      <c r="B12" s="3238"/>
      <c r="C12" s="3238"/>
      <c r="D12" s="3238" t="str">
        <f>结果表!D126</f>
        <v>——</v>
      </c>
      <c r="E12" s="3238"/>
      <c r="F12" s="3238"/>
      <c r="G12" s="3238"/>
      <c r="H12" s="3238"/>
      <c r="I12" s="3238"/>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8.75">
      <c r="A16" s="3165"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45" t="s">
        <v>114</v>
      </c>
      <c r="B1" s="3245"/>
      <c r="C1" s="3245"/>
      <c r="D1" s="3245"/>
    </row>
    <row r="2" spans="1:4" ht="18">
      <c r="A2" s="3246" t="s">
        <v>115</v>
      </c>
      <c r="B2" s="3246"/>
      <c r="C2" s="3246"/>
      <c r="D2" s="3246"/>
    </row>
    <row r="3" spans="1:4" ht="18.75">
      <c r="A3" s="3152" t="s">
        <v>116</v>
      </c>
      <c r="B3" s="3152" t="s">
        <v>117</v>
      </c>
      <c r="C3" s="3152" t="s">
        <v>118</v>
      </c>
      <c r="D3" s="3152" t="s">
        <v>119</v>
      </c>
    </row>
    <row r="4" spans="1:4" ht="56.25" customHeight="1">
      <c r="A4" s="3153" t="str">
        <f>项目基本情况!B4</f>
        <v>郑燚</v>
      </c>
      <c r="B4" s="3154">
        <f ca="1">项目基本情况!C4</f>
        <v>1120070131</v>
      </c>
      <c r="C4" s="3155"/>
      <c r="D4" s="3156" t="s">
        <v>120</v>
      </c>
    </row>
    <row r="5" spans="1:4" ht="56.25" customHeight="1">
      <c r="A5" s="3153" t="str">
        <f>项目基本情况!D4</f>
        <v>崔锴</v>
      </c>
      <c r="B5" s="3154">
        <f ca="1">项目基本情况!E4</f>
        <v>0</v>
      </c>
      <c r="C5" s="3157"/>
      <c r="D5" s="3156" t="s">
        <v>120</v>
      </c>
    </row>
    <row r="6" spans="1:4" ht="18">
      <c r="A6" s="3246" t="s">
        <v>121</v>
      </c>
      <c r="B6" s="3246"/>
      <c r="C6" s="3246"/>
      <c r="D6" s="3246"/>
    </row>
    <row r="7" spans="1:4" ht="18.75">
      <c r="A7" s="3152" t="s">
        <v>116</v>
      </c>
      <c r="B7" s="3154" t="s">
        <v>122</v>
      </c>
      <c r="C7" s="3152" t="s">
        <v>118</v>
      </c>
      <c r="D7" s="3152" t="s">
        <v>119</v>
      </c>
    </row>
    <row r="8" spans="1:4" ht="56.25" customHeight="1">
      <c r="A8" s="3158" t="s">
        <v>123</v>
      </c>
      <c r="B8" s="3158" t="s">
        <v>124</v>
      </c>
      <c r="C8" s="3155"/>
      <c r="D8" s="3156" t="s">
        <v>120</v>
      </c>
    </row>
    <row r="9" spans="1:4">
      <c r="A9" s="3159"/>
      <c r="B9" s="3159"/>
      <c r="C9" s="3159"/>
      <c r="D9" s="3159"/>
    </row>
    <row r="10" spans="1:4" ht="18.75">
      <c r="A10" s="3151" t="s">
        <v>125</v>
      </c>
      <c r="B10" s="3159"/>
      <c r="C10" s="3159"/>
      <c r="D10" s="3159"/>
    </row>
    <row r="11" spans="1:4" ht="30" customHeight="1">
      <c r="A11" s="3247"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8" t="str">
        <f>IF(项目基本情况!B8="抵押","4.本次评估估价师所知悉的法定优先受偿款情况说明如下：","——")</f>
        <v>4.本次评估估价师所知悉的法定优先受偿款情况说明如下：</v>
      </c>
      <c r="B14" s="3249"/>
      <c r="C14" s="3249"/>
      <c r="D14" s="3249"/>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0" t="s">
        <v>127</v>
      </c>
      <c r="B16" s="3250"/>
      <c r="C16" s="3250"/>
      <c r="D16" s="3250"/>
    </row>
    <row r="17" spans="1:4" ht="144" customHeight="1">
      <c r="A17" s="3250" t="s">
        <v>128</v>
      </c>
      <c r="B17" s="3250"/>
      <c r="C17" s="3250"/>
      <c r="D17" s="3250"/>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60"/>
      <c r="B23" s="1606"/>
      <c r="C23" s="1606"/>
      <c r="D23" s="1606"/>
    </row>
    <row r="24" spans="1:4">
      <c r="A24" s="3160"/>
      <c r="B24" s="1606"/>
      <c r="C24" s="1606"/>
      <c r="D24" s="1606"/>
    </row>
    <row r="25" spans="1:4" ht="18.75">
      <c r="A25" s="3161" t="s">
        <v>130</v>
      </c>
    </row>
    <row r="26" spans="1:4" ht="18">
      <c r="A26" s="3162"/>
    </row>
    <row r="27" spans="1:4" ht="18.75">
      <c r="A27" s="3162" t="s">
        <v>131</v>
      </c>
    </row>
    <row r="30" spans="1:4" ht="18.75">
      <c r="D30" s="3161" t="s">
        <v>132</v>
      </c>
    </row>
    <row r="31" spans="1:4" ht="13.5" customHeight="1">
      <c r="C31" s="3251">
        <v>42551</v>
      </c>
      <c r="D31" s="32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0" ht="18.75">
      <c r="A1" s="3148" t="s">
        <v>133</v>
      </c>
      <c r="B1" s="3149"/>
      <c r="C1" s="3149"/>
      <c r="D1" s="3149"/>
      <c r="E1" s="3149"/>
      <c r="F1" s="3149"/>
      <c r="G1" s="3149"/>
      <c r="H1" s="3149"/>
      <c r="I1" s="3149"/>
      <c r="J1" s="3149"/>
    </row>
    <row r="2" spans="1:10" ht="18.75">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0" customWidth="1"/>
    <col min="2" max="16384" width="14.5" style="3081"/>
  </cols>
  <sheetData>
    <row r="1" spans="1:7" s="3129" customFormat="1" ht="18.75">
      <c r="A1" s="3131" t="s">
        <v>134</v>
      </c>
    </row>
    <row r="3" spans="1:7">
      <c r="A3" s="3132" t="s">
        <v>135</v>
      </c>
      <c r="B3" s="3081" t="s">
        <v>136</v>
      </c>
      <c r="G3" s="3146"/>
    </row>
    <row r="4" spans="1:7">
      <c r="G4" s="3146"/>
    </row>
    <row r="5" spans="1:7">
      <c r="A5" s="3133" t="s">
        <v>137</v>
      </c>
      <c r="B5" s="3081" t="s">
        <v>138</v>
      </c>
      <c r="G5" s="3146"/>
    </row>
    <row r="6" spans="1:7">
      <c r="G6" s="3146"/>
    </row>
    <row r="7" spans="1:7">
      <c r="A7" s="3134" t="s">
        <v>139</v>
      </c>
      <c r="B7" s="3081" t="s">
        <v>140</v>
      </c>
      <c r="G7" s="3146"/>
    </row>
    <row r="8" spans="1:7">
      <c r="G8" s="3146"/>
    </row>
    <row r="9" spans="1:7">
      <c r="A9" s="3135" t="s">
        <v>141</v>
      </c>
      <c r="B9" s="3081" t="s">
        <v>142</v>
      </c>
    </row>
    <row r="11" spans="1:7">
      <c r="A11" s="3136" t="s">
        <v>143</v>
      </c>
      <c r="B11" s="3137" t="s">
        <v>144</v>
      </c>
    </row>
    <row r="13" spans="1:7">
      <c r="A13" s="3138" t="s">
        <v>145</v>
      </c>
    </row>
    <row r="15" spans="1:7" ht="13.5">
      <c r="A15" s="3256" t="s">
        <v>146</v>
      </c>
      <c r="B15" s="3261" t="s">
        <v>147</v>
      </c>
      <c r="C15" s="3255"/>
    </row>
    <row r="16" spans="1:7" ht="13.5">
      <c r="A16" s="3257"/>
      <c r="B16" s="3261" t="s">
        <v>148</v>
      </c>
      <c r="C16" s="3255"/>
    </row>
    <row r="17" spans="1:3" ht="13.5">
      <c r="A17" s="3257"/>
      <c r="B17" s="3260" t="s">
        <v>149</v>
      </c>
      <c r="C17" s="3139" t="s">
        <v>146</v>
      </c>
    </row>
    <row r="18" spans="1:3" ht="13.5">
      <c r="A18" s="3257"/>
      <c r="B18" s="3260"/>
      <c r="C18" s="3139" t="s">
        <v>150</v>
      </c>
    </row>
    <row r="19" spans="1:3" ht="13.5">
      <c r="A19" s="3257"/>
      <c r="B19" s="3260"/>
      <c r="C19" s="3139" t="s">
        <v>151</v>
      </c>
    </row>
    <row r="20" spans="1:3" ht="13.5">
      <c r="A20" s="3258"/>
      <c r="B20" s="3254" t="s">
        <v>152</v>
      </c>
      <c r="C20" s="3255"/>
    </row>
    <row r="21" spans="1:3" ht="13.5">
      <c r="A21" s="3140" t="s">
        <v>153</v>
      </c>
      <c r="B21" s="3141"/>
      <c r="C21" s="3142"/>
    </row>
    <row r="22" spans="1:3" ht="13.5">
      <c r="A22" s="3259" t="s">
        <v>154</v>
      </c>
      <c r="B22" s="3254" t="s">
        <v>155</v>
      </c>
      <c r="C22" s="3255"/>
    </row>
    <row r="23" spans="1:3" ht="13.5">
      <c r="A23" s="3259"/>
      <c r="B23" s="3254" t="s">
        <v>156</v>
      </c>
      <c r="C23" s="3255"/>
    </row>
    <row r="24" spans="1:3" ht="13.5">
      <c r="A24" s="3259"/>
      <c r="B24" s="3254" t="s">
        <v>157</v>
      </c>
      <c r="C24" s="3255"/>
    </row>
    <row r="25" spans="1:3" ht="13.5">
      <c r="A25" s="3259"/>
      <c r="B25" s="3260" t="s">
        <v>158</v>
      </c>
      <c r="C25" s="3139" t="s">
        <v>159</v>
      </c>
    </row>
    <row r="26" spans="1:3" ht="13.5">
      <c r="A26" s="3259"/>
      <c r="B26" s="3260"/>
      <c r="C26" s="3139" t="s">
        <v>160</v>
      </c>
    </row>
    <row r="27" spans="1:3" ht="13.5">
      <c r="A27" s="3259"/>
      <c r="B27" s="3260"/>
      <c r="C27" s="3139" t="s">
        <v>161</v>
      </c>
    </row>
    <row r="28" spans="1:3" ht="13.5">
      <c r="A28" s="3259"/>
      <c r="B28" s="3260"/>
      <c r="C28" s="3139" t="s">
        <v>162</v>
      </c>
    </row>
    <row r="29" spans="1:3" ht="13.5">
      <c r="A29" s="3259"/>
      <c r="B29" s="3260"/>
      <c r="C29" s="3139" t="s">
        <v>163</v>
      </c>
    </row>
    <row r="30" spans="1:3" ht="13.5">
      <c r="A30" s="3259"/>
      <c r="B30" s="3260"/>
      <c r="C30" s="3139" t="s">
        <v>164</v>
      </c>
    </row>
    <row r="31" spans="1:3" ht="13.5">
      <c r="A31" s="3259"/>
      <c r="B31" s="3260"/>
      <c r="C31" s="3139" t="s">
        <v>165</v>
      </c>
    </row>
    <row r="32" spans="1:3" ht="13.5">
      <c r="A32" s="3259"/>
      <c r="B32" s="3260"/>
      <c r="C32" s="3139" t="s">
        <v>166</v>
      </c>
    </row>
    <row r="33" spans="1:3" ht="13.5">
      <c r="A33" s="3259"/>
      <c r="B33" s="3260"/>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25" defaultRowHeight="24" customHeight="1"/>
  <cols>
    <col min="1" max="1" width="24.625" style="3100" customWidth="1"/>
    <col min="2" max="2" width="38.625" style="3100" customWidth="1"/>
    <col min="3" max="3" width="26" style="3100" customWidth="1"/>
    <col min="4" max="4" width="35" style="3100" hidden="1" customWidth="1"/>
    <col min="5" max="5" width="30.125" style="3100" customWidth="1"/>
    <col min="6" max="6" width="35.5" style="3100" customWidth="1"/>
    <col min="7" max="7" width="31" style="3100" customWidth="1"/>
    <col min="8" max="8" width="37.5" style="3100" hidden="1" customWidth="1"/>
    <col min="9" max="16384" width="22.625" style="3100"/>
  </cols>
  <sheetData>
    <row r="1" spans="1:8" ht="24" customHeight="1">
      <c r="A1" s="3101"/>
      <c r="B1" s="3101"/>
      <c r="C1" s="3101"/>
      <c r="D1" s="3101"/>
      <c r="E1" s="3101"/>
      <c r="F1" s="3101"/>
      <c r="G1" s="3101"/>
      <c r="H1" s="3101"/>
    </row>
    <row r="2" spans="1:8" ht="24" customHeight="1">
      <c r="A2" s="3102" t="s">
        <v>175</v>
      </c>
      <c r="B2" s="3103">
        <f ca="1">TODAY()</f>
        <v>44832</v>
      </c>
      <c r="C2" s="3104" t="s">
        <v>176</v>
      </c>
      <c r="D2" s="3104"/>
      <c r="E2" s="3104"/>
      <c r="F2" s="3101"/>
      <c r="G2" s="3101"/>
      <c r="H2" s="3101"/>
    </row>
    <row r="3" spans="1:8" ht="24" customHeight="1">
      <c r="A3" s="3105" t="s">
        <v>177</v>
      </c>
      <c r="B3" s="3106" t="s">
        <v>178</v>
      </c>
      <c r="C3" s="3106" t="s">
        <v>179</v>
      </c>
      <c r="D3" s="3107" t="s">
        <v>180</v>
      </c>
      <c r="E3" s="3119" t="s">
        <v>181</v>
      </c>
      <c r="F3" s="3108" t="s">
        <v>182</v>
      </c>
      <c r="G3" s="3106" t="s">
        <v>179</v>
      </c>
      <c r="H3" s="3107" t="s">
        <v>183</v>
      </c>
    </row>
    <row r="4" spans="1:8" ht="24" customHeight="1">
      <c r="A4" s="3108" t="s">
        <v>184</v>
      </c>
      <c r="B4" s="3108">
        <f ca="1">IF(C4&lt;B2,"已过期",1119970066)</f>
        <v>1119970066</v>
      </c>
      <c r="C4" s="3109">
        <v>44876</v>
      </c>
      <c r="D4" s="3110" t="str">
        <f ca="1">A4&amp;"（注册号："&amp;B4&amp;"）"</f>
        <v>梁津（注册号：1119970066）</v>
      </c>
      <c r="E4" s="3120" t="s">
        <v>184</v>
      </c>
      <c r="F4" s="3108">
        <f ca="1">IF(G4&lt;B2,"已过期",96010014)</f>
        <v>96010014</v>
      </c>
      <c r="G4" s="3114">
        <v>47118</v>
      </c>
      <c r="H4" s="3121" t="str">
        <f ca="1">E4&amp;"（注册号："&amp;F4&amp;"）"</f>
        <v>梁津（注册号：96010014）</v>
      </c>
    </row>
    <row r="5" spans="1:8" ht="24" customHeight="1">
      <c r="A5" s="3108" t="s">
        <v>185</v>
      </c>
      <c r="B5" s="3108">
        <f ca="1">IF(C5&lt;B2,"已过期",1119970111)</f>
        <v>1119970111</v>
      </c>
      <c r="C5" s="3109">
        <v>44876</v>
      </c>
      <c r="D5" s="3110" t="str">
        <f t="shared" ref="D5:D16" ca="1" si="0">A5&amp;"（注册号："&amp;B5&amp;"）"</f>
        <v>叶凌（注册号：1119970111）</v>
      </c>
      <c r="E5" s="3120" t="s">
        <v>185</v>
      </c>
      <c r="F5" s="3108">
        <f ca="1">IF(G5&lt;B2,"已过期",94010078)</f>
        <v>94010078</v>
      </c>
      <c r="G5" s="3114">
        <v>46387</v>
      </c>
      <c r="H5" s="3121"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20" t="s">
        <v>186</v>
      </c>
      <c r="F6" s="3108">
        <f ca="1">IF(G6&lt;B2,"已过期",2002110030)</f>
        <v>2002110030</v>
      </c>
      <c r="G6" s="3114">
        <v>46387</v>
      </c>
      <c r="H6" s="3121" t="str">
        <f t="shared" ca="1" si="1"/>
        <v>王鹏（注册号：2002110030）</v>
      </c>
    </row>
    <row r="7" spans="1:8" ht="24" customHeight="1">
      <c r="A7" s="3108" t="s">
        <v>187</v>
      </c>
      <c r="B7" s="3108">
        <f ca="1">IF(C7&lt;B2,"已过期",1120000080)</f>
        <v>1120000080</v>
      </c>
      <c r="C7" s="3109">
        <v>44876</v>
      </c>
      <c r="D7" s="3110" t="str">
        <f t="shared" ca="1" si="0"/>
        <v>欧红伟（注册号：1120000080）</v>
      </c>
      <c r="E7" s="3120" t="s">
        <v>187</v>
      </c>
      <c r="F7" s="3108">
        <f ca="1">IF(G7&lt;B2,"已过期",2000110082)</f>
        <v>2000110082</v>
      </c>
      <c r="G7" s="3114">
        <v>46387</v>
      </c>
      <c r="H7" s="3121" t="str">
        <f t="shared" ca="1" si="1"/>
        <v>欧红伟（注册号：2000110082）</v>
      </c>
    </row>
    <row r="8" spans="1:8" ht="24" customHeight="1">
      <c r="A8" s="3108" t="s">
        <v>188</v>
      </c>
      <c r="B8" s="3108">
        <f ca="1">IF(C8&lt;B2,"已过期",1419970001)</f>
        <v>1419970001</v>
      </c>
      <c r="C8" s="3109">
        <v>44899</v>
      </c>
      <c r="D8" s="3110" t="str">
        <f t="shared" ca="1" si="0"/>
        <v>吴薇（注册号：1419970001）</v>
      </c>
      <c r="E8" s="3120" t="s">
        <v>188</v>
      </c>
      <c r="F8" s="3108">
        <f ca="1">IF(G8&lt;B2,"已过期",2002110125)</f>
        <v>2002110125</v>
      </c>
      <c r="G8" s="3114">
        <v>47118</v>
      </c>
      <c r="H8" s="3121" t="str">
        <f t="shared" ca="1" si="1"/>
        <v>吴薇（注册号：2002110125）</v>
      </c>
    </row>
    <row r="9" spans="1:8" ht="24" customHeight="1">
      <c r="A9" s="3108" t="s">
        <v>189</v>
      </c>
      <c r="B9" s="3108">
        <f ca="1">IF(C9&lt;B2,"已过期",1120060040)</f>
        <v>1120060040</v>
      </c>
      <c r="C9" s="3111">
        <v>45592</v>
      </c>
      <c r="D9" s="3110" t="str">
        <f t="shared" ca="1" si="0"/>
        <v>陈颖（注册号：1120060040）</v>
      </c>
      <c r="E9" s="3120" t="s">
        <v>189</v>
      </c>
      <c r="F9" s="3108">
        <f ca="1">IF(G9&lt;B2,"已过期",2004110096)</f>
        <v>2004110096</v>
      </c>
      <c r="G9" s="3114">
        <v>47118</v>
      </c>
      <c r="H9" s="3121" t="str">
        <f t="shared" ca="1" si="1"/>
        <v>陈颖（注册号：2004110096）</v>
      </c>
    </row>
    <row r="10" spans="1:8" ht="24" customHeight="1">
      <c r="A10" s="3108" t="s">
        <v>190</v>
      </c>
      <c r="B10" s="3108" t="str">
        <f ca="1">IF(C10&lt;B2,"已过期",1120100036)</f>
        <v>已过期</v>
      </c>
      <c r="C10" s="3111">
        <v>44675</v>
      </c>
      <c r="D10" s="3110" t="str">
        <f t="shared" ca="1" si="0"/>
        <v>崔锴（注册号：已过期）</v>
      </c>
      <c r="E10" s="3120" t="s">
        <v>190</v>
      </c>
      <c r="F10" s="3108">
        <f ca="1">IF(G10&lt;B2,"已过期",2010110070)</f>
        <v>2010110070</v>
      </c>
      <c r="G10" s="3114">
        <v>47907</v>
      </c>
      <c r="H10" s="3121" t="str">
        <f t="shared" ca="1" si="1"/>
        <v>崔锴（注册号：2010110070）</v>
      </c>
    </row>
    <row r="11" spans="1:8" ht="24" customHeight="1">
      <c r="A11" s="3108" t="s">
        <v>191</v>
      </c>
      <c r="B11" s="3108">
        <f ca="1">IF(C11&lt;B2,"已过期",1120070131)</f>
        <v>1120070131</v>
      </c>
      <c r="C11" s="3109">
        <v>44849</v>
      </c>
      <c r="D11" s="3110" t="str">
        <f t="shared" ca="1" si="0"/>
        <v>郑燚（注册号：1120070131）</v>
      </c>
      <c r="E11" s="3120" t="s">
        <v>191</v>
      </c>
      <c r="F11" s="3108">
        <f ca="1">IF(G11&lt;B2,"已过期",2014110011)</f>
        <v>2014110011</v>
      </c>
      <c r="G11" s="3114">
        <v>49302</v>
      </c>
      <c r="H11" s="3121" t="str">
        <f t="shared" ca="1" si="1"/>
        <v>郑燚（注册号：2014110011）</v>
      </c>
    </row>
    <row r="12" spans="1:8" ht="24" customHeight="1">
      <c r="A12" s="3108" t="s">
        <v>192</v>
      </c>
      <c r="B12" s="3108">
        <f ca="1">IF(C12&lt;B2,"已过期",1120040230)</f>
        <v>1120040230</v>
      </c>
      <c r="C12" s="3111">
        <v>44864</v>
      </c>
      <c r="D12" s="3110" t="str">
        <f t="shared" ca="1" si="0"/>
        <v>苏海（注册号：1120040230）</v>
      </c>
      <c r="E12" s="3120" t="s">
        <v>192</v>
      </c>
      <c r="F12" s="3108">
        <f ca="1">IF(G12&lt;B2,"已过期",98030020)</f>
        <v>98030020</v>
      </c>
      <c r="G12" s="3114">
        <v>47118</v>
      </c>
      <c r="H12" s="3121"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20" t="s">
        <v>193</v>
      </c>
      <c r="F13" s="3108">
        <f ca="1">IF(G13&lt;B2,"已过期",2000110137)</f>
        <v>2000110137</v>
      </c>
      <c r="G13" s="3114">
        <v>46387</v>
      </c>
      <c r="H13" s="3121" t="str">
        <f t="shared" ca="1" si="1"/>
        <v>刘敬东（注册号：2000110137）</v>
      </c>
    </row>
    <row r="14" spans="1:8" ht="24" customHeight="1">
      <c r="A14" s="3108" t="s">
        <v>194</v>
      </c>
      <c r="B14" s="3108">
        <f ca="1">IF(C14&lt;B2,"已过期",1119980106)</f>
        <v>1119980106</v>
      </c>
      <c r="C14" s="3111">
        <v>44969</v>
      </c>
      <c r="D14" s="3110" t="str">
        <f t="shared" ca="1" si="0"/>
        <v>刘俊财（注册号：1119980106）</v>
      </c>
      <c r="E14" s="3120" t="s">
        <v>194</v>
      </c>
      <c r="F14" s="3108">
        <f ca="1">IF(G14&lt;B2,"已过期",96010063)</f>
        <v>96010063</v>
      </c>
      <c r="G14" s="3114">
        <v>47483</v>
      </c>
      <c r="H14" s="3121" t="str">
        <f t="shared" ca="1" si="1"/>
        <v>刘俊财（注册号：96010063）</v>
      </c>
    </row>
    <row r="15" spans="1:8" ht="24" customHeight="1">
      <c r="A15" s="3108" t="s">
        <v>195</v>
      </c>
      <c r="B15" s="3108">
        <v>1120210056</v>
      </c>
      <c r="C15" s="3111">
        <v>45410</v>
      </c>
      <c r="D15" s="3110" t="str">
        <f t="shared" si="0"/>
        <v>宁小鳗（注册号：1120210056）</v>
      </c>
      <c r="E15" s="3120" t="s">
        <v>196</v>
      </c>
      <c r="F15" s="3108">
        <f ca="1">IF(G15&lt;B2,"已过期",2011110090)</f>
        <v>2011110090</v>
      </c>
      <c r="G15" s="3114">
        <v>48302</v>
      </c>
      <c r="H15" s="3121" t="str">
        <f t="shared" ca="1" si="1"/>
        <v>赵雯（注册号：2011110090）</v>
      </c>
    </row>
    <row r="16" spans="1:8" s="3098" customFormat="1" ht="24" customHeight="1">
      <c r="A16" s="3108"/>
      <c r="B16" s="3108"/>
      <c r="C16" s="3108"/>
      <c r="D16" s="3110" t="str">
        <f t="shared" si="0"/>
        <v>（注册号：）</v>
      </c>
      <c r="E16" s="3120"/>
      <c r="F16" s="3108"/>
      <c r="G16" s="3108"/>
      <c r="H16" s="3122"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07"/>
      <c r="E18" s="3264" t="s">
        <v>199</v>
      </c>
      <c r="F18" s="3263"/>
      <c r="G18" s="3263"/>
    </row>
    <row r="19" spans="1:8" s="3099" customFormat="1" ht="24" customHeight="1">
      <c r="A19" s="3112" t="s">
        <v>200</v>
      </c>
      <c r="B19" s="3106" t="s">
        <v>201</v>
      </c>
      <c r="C19" s="3106" t="s">
        <v>179</v>
      </c>
      <c r="D19" s="3107"/>
      <c r="E19" s="3120" t="s">
        <v>200</v>
      </c>
      <c r="F19" s="3106" t="s">
        <v>201</v>
      </c>
      <c r="G19" s="3106" t="s">
        <v>179</v>
      </c>
    </row>
    <row r="20" spans="1:8" s="3099" customFormat="1" ht="24" customHeight="1">
      <c r="A20" s="3113" t="s">
        <v>202</v>
      </c>
      <c r="B20" s="3113" t="s">
        <v>203</v>
      </c>
      <c r="C20" s="3114">
        <v>44820</v>
      </c>
      <c r="D20" s="3115"/>
      <c r="E20" s="3123" t="s">
        <v>204</v>
      </c>
      <c r="F20" s="3124" t="s">
        <v>205</v>
      </c>
      <c r="G20" s="3125">
        <v>44926</v>
      </c>
    </row>
    <row r="21" spans="1:8" s="3099" customFormat="1" ht="24" customHeight="1">
      <c r="A21" s="3113"/>
      <c r="B21" s="3113"/>
      <c r="C21" s="3116"/>
      <c r="D21" s="3117"/>
      <c r="E21" s="3123"/>
      <c r="F21" s="3124"/>
      <c r="G21" s="3125"/>
    </row>
    <row r="22" spans="1:8" ht="24" customHeight="1">
      <c r="C22" s="3118"/>
      <c r="D22" s="3118"/>
      <c r="E22" s="3126"/>
      <c r="F22" s="3127"/>
      <c r="G22" s="3128"/>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2017-03-01T17:15:00Z</cp:lastPrinted>
  <dcterms:created xsi:type="dcterms:W3CDTF">2015-07-13T15:17:00Z</dcterms:created>
  <dcterms:modified xsi:type="dcterms:W3CDTF">2022-09-28T05:07:07Z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