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25" yWindow="615" windowWidth="14805" windowHeight="8010" tabRatio="875" firstSheet="19" activeTab="4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 (2)" sheetId="70" state="hidden" r:id="rId33"/>
    <sheet name="不动产收益法 (3)" sheetId="7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典型户型修正 (2)" sheetId="72" state="hidden" r:id="rId43"/>
    <sheet name="典型户型修正 (3)" sheetId="73" state="hidden" r:id="rId44"/>
    <sheet name="面积表" sheetId="68" r:id="rId45"/>
    <sheet name="土地案例" sheetId="69" r:id="rId46"/>
    <sheet name="Sheet1" sheetId="75"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面积表!$A$6:$O$8</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 localSheetId="43">'典型户型修正 (3)'!$5:$5</definedName>
    <definedName name="一修多修正项2">典型户型修正!$5:$5</definedName>
    <definedName name="一修多修正项3" localSheetId="42">'典型户型修正 (2)'!$7:$7</definedName>
    <definedName name="一修多修正项3" localSheetId="43">'典型户型修正 (3)'!$7:$7</definedName>
    <definedName name="一修多修正项3">典型户型修正!$7:$7</definedName>
    <definedName name="一修多修正项4" localSheetId="42">'典型户型修正 (2)'!$9:$9</definedName>
    <definedName name="一修多修正项4" localSheetId="43">'典型户型修正 (3)'!$9:$9</definedName>
    <definedName name="一修多修正项4">典型户型修正!$9:$9</definedName>
    <definedName name="一修多修正项5" localSheetId="42">'典型户型修正 (2)'!$11:$11</definedName>
    <definedName name="一修多修正项5" localSheetId="43">'典型户型修正 (3)'!$11:$11</definedName>
    <definedName name="一修多修正项5">典型户型修正!$11:$11</definedName>
    <definedName name="一修多修正项6" localSheetId="42">'典型户型修正 (2)'!$13:$13</definedName>
    <definedName name="一修多修正项6" localSheetId="43">'典型户型修正 (3)'!$13:$13</definedName>
    <definedName name="一修多修正项6">典型户型修正!$13:$13</definedName>
    <definedName name="一修多修正项7" localSheetId="42">'典型户型修正 (2)'!$15:$15</definedName>
    <definedName name="一修多修正项7" localSheetId="43">'典型户型修正 (3)'!$15:$15</definedName>
    <definedName name="一修多修正项7">典型户型修正!$15:$15</definedName>
    <definedName name="一修多修正项8" localSheetId="42">'典型户型修正 (2)'!$17:$17</definedName>
    <definedName name="一修多修正项8" localSheetId="43">'典型户型修正 (3)'!$17:$17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7" i="66" l="1"/>
  <c r="B16" i="66"/>
  <c r="D83" i="39"/>
  <c r="E83" i="39"/>
  <c r="F83" i="39"/>
  <c r="G83" i="39"/>
  <c r="F13" i="39"/>
  <c r="AA13" i="39"/>
  <c r="H13" i="39"/>
  <c r="AB13" i="39"/>
  <c r="J13" i="39"/>
  <c r="AC13" i="39"/>
  <c r="F6" i="15"/>
  <c r="F8" i="15"/>
  <c r="G7" i="68"/>
  <c r="I13" i="3"/>
  <c r="F19" i="6"/>
  <c r="E19" i="6"/>
  <c r="K6" i="1"/>
  <c r="F7" i="15"/>
  <c r="F9" i="15"/>
  <c r="C6" i="15"/>
  <c r="N4" i="65"/>
  <c r="C4" i="65"/>
  <c r="B39" i="1"/>
  <c r="F11" i="15"/>
  <c r="C10" i="15"/>
  <c r="C5" i="15"/>
  <c r="C32" i="15"/>
  <c r="C33" i="15"/>
  <c r="A3" i="3"/>
  <c r="BB13" i="3"/>
  <c r="BA13" i="3"/>
  <c r="AZ13" i="3"/>
  <c r="AZ5" i="3"/>
  <c r="H13" i="3"/>
  <c r="G13" i="3"/>
  <c r="G5" i="3"/>
  <c r="B3" i="3"/>
  <c r="AY6" i="3"/>
  <c r="D3" i="6"/>
  <c r="E3" i="6"/>
  <c r="D19" i="6"/>
  <c r="BA5" i="3"/>
  <c r="E27" i="6"/>
  <c r="K19" i="6"/>
  <c r="L19" i="6"/>
  <c r="M19" i="6"/>
  <c r="I19" i="6"/>
  <c r="H19" i="6"/>
  <c r="R19" i="6"/>
  <c r="R6" i="1"/>
  <c r="F35" i="15"/>
  <c r="C34" i="15"/>
  <c r="C31" i="15"/>
  <c r="M6" i="1"/>
  <c r="K14" i="1"/>
  <c r="M14" i="1"/>
  <c r="S6" i="1"/>
  <c r="S7" i="1"/>
  <c r="S8" i="1"/>
  <c r="S9" i="1"/>
  <c r="S10" i="1"/>
  <c r="S11" i="1"/>
  <c r="S12" i="1"/>
  <c r="S13" i="1"/>
  <c r="S16" i="1"/>
  <c r="T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B3" i="15"/>
  <c r="C8" i="12"/>
  <c r="C9" i="12"/>
  <c r="C10" i="12"/>
  <c r="F6" i="70"/>
  <c r="F8" i="70"/>
  <c r="F7" i="70"/>
  <c r="F9" i="70"/>
  <c r="C6" i="70"/>
  <c r="F11" i="70"/>
  <c r="C10" i="70"/>
  <c r="C5" i="70"/>
  <c r="C32" i="70"/>
  <c r="C33" i="70"/>
  <c r="F35" i="70"/>
  <c r="C34" i="70"/>
  <c r="C31" i="70"/>
  <c r="C14" i="70"/>
  <c r="C19" i="70"/>
  <c r="C20" i="70"/>
  <c r="F24" i="70"/>
  <c r="C23" i="70"/>
  <c r="F26" i="70"/>
  <c r="C26" i="70"/>
  <c r="C24" i="70"/>
  <c r="C27" i="70"/>
  <c r="C29" i="70"/>
  <c r="F36" i="70"/>
  <c r="C36" i="70"/>
  <c r="F13" i="70"/>
  <c r="C13" i="70"/>
  <c r="F37" i="70"/>
  <c r="C37" i="70"/>
  <c r="F38" i="70"/>
  <c r="C38" i="70"/>
  <c r="C30" i="70"/>
  <c r="C39" i="70"/>
  <c r="F42" i="70"/>
  <c r="F40" i="70"/>
  <c r="F41" i="70"/>
  <c r="C40" i="70"/>
  <c r="M6" i="70"/>
  <c r="M8" i="70"/>
  <c r="M7" i="70"/>
  <c r="M9" i="70"/>
  <c r="J6" i="70"/>
  <c r="M11" i="70"/>
  <c r="J10" i="70"/>
  <c r="J5" i="70"/>
  <c r="J26" i="70"/>
  <c r="J29" i="70"/>
  <c r="B2" i="70"/>
  <c r="F43" i="70"/>
  <c r="B3" i="70"/>
  <c r="D8" i="12"/>
  <c r="D9" i="12"/>
  <c r="D10" i="12"/>
  <c r="F6" i="71"/>
  <c r="F8" i="71"/>
  <c r="F7" i="71"/>
  <c r="F9" i="71"/>
  <c r="C6" i="71"/>
  <c r="F11" i="71"/>
  <c r="C10" i="71"/>
  <c r="C5" i="71"/>
  <c r="C32" i="71"/>
  <c r="C33" i="71"/>
  <c r="F35" i="71"/>
  <c r="C34" i="71"/>
  <c r="C31" i="71"/>
  <c r="C14" i="71"/>
  <c r="C19" i="71"/>
  <c r="C20" i="71"/>
  <c r="F24" i="71"/>
  <c r="C23" i="71"/>
  <c r="F26" i="71"/>
  <c r="C26" i="71"/>
  <c r="C24" i="71"/>
  <c r="C27" i="71"/>
  <c r="C29" i="71"/>
  <c r="F36" i="71"/>
  <c r="C36" i="71"/>
  <c r="F13" i="71"/>
  <c r="C13" i="71"/>
  <c r="F37" i="71"/>
  <c r="C37" i="71"/>
  <c r="F38" i="71"/>
  <c r="C38" i="71"/>
  <c r="C30" i="71"/>
  <c r="C39" i="71"/>
  <c r="F42" i="71"/>
  <c r="F40" i="71"/>
  <c r="F41" i="71"/>
  <c r="C40" i="71"/>
  <c r="M6" i="71"/>
  <c r="M8" i="71"/>
  <c r="M7" i="71"/>
  <c r="M9" i="71"/>
  <c r="J6" i="71"/>
  <c r="M11" i="71"/>
  <c r="J10" i="71"/>
  <c r="J5" i="71"/>
  <c r="J26" i="71"/>
  <c r="J29" i="71"/>
  <c r="B2" i="71"/>
  <c r="F43" i="71"/>
  <c r="B3" i="71"/>
  <c r="E8" i="12"/>
  <c r="E9" i="12"/>
  <c r="E10" i="12"/>
  <c r="C6" i="12"/>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F19" i="39"/>
  <c r="AA19" i="39"/>
  <c r="F23" i="39"/>
  <c r="AA23" i="39"/>
  <c r="H19" i="39"/>
  <c r="AB19" i="39"/>
  <c r="H23" i="39"/>
  <c r="AB23" i="39"/>
  <c r="J19" i="39"/>
  <c r="AC19" i="39"/>
  <c r="J23" i="39"/>
  <c r="AC23" i="39"/>
  <c r="M40" i="68"/>
  <c r="N40" i="68"/>
  <c r="O40" i="68"/>
  <c r="K40" i="68"/>
  <c r="U6" i="1"/>
  <c r="C17" i="9"/>
  <c r="D17" i="9"/>
  <c r="C18" i="9"/>
  <c r="D18" i="9"/>
  <c r="L38" i="9"/>
  <c r="B14" i="66"/>
  <c r="B15" i="66"/>
  <c r="E39" i="68"/>
  <c r="C15" i="66"/>
  <c r="J15" i="66"/>
  <c r="E40" i="68"/>
  <c r="K38" i="9"/>
  <c r="C14" i="66"/>
  <c r="C16" i="66"/>
  <c r="J16" i="66"/>
  <c r="E41" i="68"/>
  <c r="C17" i="66"/>
  <c r="J17" i="66"/>
  <c r="J14" i="66"/>
  <c r="E7" i="39"/>
  <c r="E40" i="39"/>
  <c r="E9" i="39"/>
  <c r="D97" i="39"/>
  <c r="E97" i="39"/>
  <c r="D93" i="39"/>
  <c r="E93" i="39"/>
  <c r="D101" i="39"/>
  <c r="E101" i="39"/>
  <c r="F27" i="39"/>
  <c r="AA27"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4" i="3"/>
  <c r="G14" i="3"/>
  <c r="H15" i="3"/>
  <c r="G15" i="3"/>
  <c r="BQ5" i="3"/>
  <c r="BS5" i="3"/>
  <c r="F28" i="6"/>
  <c r="BR5" i="3"/>
  <c r="BT5" i="3"/>
  <c r="G28" i="6"/>
  <c r="E28" i="6"/>
  <c r="F21" i="15"/>
  <c r="E19" i="4"/>
  <c r="F6" i="1"/>
  <c r="F21" i="70"/>
  <c r="F21" i="71"/>
  <c r="F24" i="12"/>
  <c r="B22" i="31"/>
  <c r="C25" i="31"/>
  <c r="C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M41" i="68"/>
  <c r="N41" i="68"/>
  <c r="O41" i="68"/>
  <c r="K41" i="68"/>
  <c r="M42" i="68"/>
  <c r="N42" i="68"/>
  <c r="O42" i="68"/>
  <c r="K42" i="68"/>
  <c r="B3" i="12"/>
  <c r="D20" i="9"/>
  <c r="A26" i="31"/>
  <c r="A25" i="31"/>
  <c r="A24" i="31"/>
  <c r="U7" i="1"/>
  <c r="I40" i="39"/>
  <c r="G40" i="39"/>
  <c r="U8" i="1"/>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62" i="69"/>
  <c r="P63" i="69"/>
  <c r="P64" i="69"/>
  <c r="P65" i="69"/>
  <c r="P2" i="69"/>
  <c r="R524" i="73"/>
  <c r="S524" i="73"/>
  <c r="S22" i="73"/>
  <c r="Q524" i="73"/>
  <c r="O524" i="73"/>
  <c r="M524" i="73"/>
  <c r="K524" i="73"/>
  <c r="I524" i="73"/>
  <c r="G524" i="73"/>
  <c r="E524" i="73"/>
  <c r="C524" i="73"/>
  <c r="S523" i="73"/>
  <c r="R523" i="73"/>
  <c r="Q523" i="73"/>
  <c r="O523" i="73"/>
  <c r="M523" i="73"/>
  <c r="K523" i="73"/>
  <c r="I523" i="73"/>
  <c r="G523" i="73"/>
  <c r="E523" i="73"/>
  <c r="C523" i="73"/>
  <c r="S522" i="73"/>
  <c r="R522" i="73"/>
  <c r="Q522" i="73"/>
  <c r="O522" i="73"/>
  <c r="M522" i="73"/>
  <c r="K522" i="73"/>
  <c r="I522" i="73"/>
  <c r="G522" i="73"/>
  <c r="E522" i="73"/>
  <c r="C522" i="73"/>
  <c r="S521" i="73"/>
  <c r="R521" i="73"/>
  <c r="Q521" i="73"/>
  <c r="O521" i="73"/>
  <c r="M521" i="73"/>
  <c r="K521" i="73"/>
  <c r="I521" i="73"/>
  <c r="G521" i="73"/>
  <c r="E521" i="73"/>
  <c r="C521" i="73"/>
  <c r="S520" i="73"/>
  <c r="R520" i="73"/>
  <c r="Q520" i="73"/>
  <c r="O520" i="73"/>
  <c r="M520" i="73"/>
  <c r="K520" i="73"/>
  <c r="I520" i="73"/>
  <c r="G520" i="73"/>
  <c r="E520" i="73"/>
  <c r="C520" i="73"/>
  <c r="S519" i="73"/>
  <c r="R519" i="73"/>
  <c r="Q519" i="73"/>
  <c r="O519" i="73"/>
  <c r="M519" i="73"/>
  <c r="K519" i="73"/>
  <c r="I519" i="73"/>
  <c r="G519" i="73"/>
  <c r="E519" i="73"/>
  <c r="C519" i="73"/>
  <c r="S518" i="73"/>
  <c r="R518" i="73"/>
  <c r="Q518" i="73"/>
  <c r="O518" i="73"/>
  <c r="M518" i="73"/>
  <c r="K518" i="73"/>
  <c r="I518" i="73"/>
  <c r="G518" i="73"/>
  <c r="E518" i="73"/>
  <c r="C518" i="73"/>
  <c r="S517" i="73"/>
  <c r="R517" i="73"/>
  <c r="Q517" i="73"/>
  <c r="O517" i="73"/>
  <c r="M517" i="73"/>
  <c r="K517" i="73"/>
  <c r="I517" i="73"/>
  <c r="G517" i="73"/>
  <c r="E517" i="73"/>
  <c r="C517" i="73"/>
  <c r="S516" i="73"/>
  <c r="R516" i="73"/>
  <c r="Q516" i="73"/>
  <c r="O516" i="73"/>
  <c r="M516" i="73"/>
  <c r="K516" i="73"/>
  <c r="I516" i="73"/>
  <c r="G516" i="73"/>
  <c r="E516" i="73"/>
  <c r="C516" i="73"/>
  <c r="S515" i="73"/>
  <c r="R515" i="73"/>
  <c r="Q515" i="73"/>
  <c r="O515" i="73"/>
  <c r="M515" i="73"/>
  <c r="K515" i="73"/>
  <c r="I515" i="73"/>
  <c r="G515" i="73"/>
  <c r="E515" i="73"/>
  <c r="C515" i="73"/>
  <c r="S514" i="73"/>
  <c r="R514" i="73"/>
  <c r="Q514" i="73"/>
  <c r="O514" i="73"/>
  <c r="M514" i="73"/>
  <c r="K514" i="73"/>
  <c r="I514" i="73"/>
  <c r="G514" i="73"/>
  <c r="E514" i="73"/>
  <c r="C514" i="73"/>
  <c r="S513" i="73"/>
  <c r="R513" i="73"/>
  <c r="Q513" i="73"/>
  <c r="O513" i="73"/>
  <c r="M513" i="73"/>
  <c r="K513" i="73"/>
  <c r="I513" i="73"/>
  <c r="G513" i="73"/>
  <c r="E513" i="73"/>
  <c r="C513" i="73"/>
  <c r="S512" i="73"/>
  <c r="R512" i="73"/>
  <c r="Q512" i="73"/>
  <c r="O512" i="73"/>
  <c r="M512" i="73"/>
  <c r="K512" i="73"/>
  <c r="I512" i="73"/>
  <c r="G512" i="73"/>
  <c r="E512" i="73"/>
  <c r="C512" i="73"/>
  <c r="S511" i="73"/>
  <c r="R511" i="73"/>
  <c r="Q511" i="73"/>
  <c r="O511" i="73"/>
  <c r="M511" i="73"/>
  <c r="K511" i="73"/>
  <c r="I511" i="73"/>
  <c r="G511" i="73"/>
  <c r="E511" i="73"/>
  <c r="C511" i="73"/>
  <c r="S510" i="73"/>
  <c r="R510" i="73"/>
  <c r="Q510" i="73"/>
  <c r="O510" i="73"/>
  <c r="M510" i="73"/>
  <c r="K510" i="73"/>
  <c r="I510" i="73"/>
  <c r="G510" i="73"/>
  <c r="E510" i="73"/>
  <c r="C510" i="73"/>
  <c r="S509" i="73"/>
  <c r="R509" i="73"/>
  <c r="Q509" i="73"/>
  <c r="O509" i="73"/>
  <c r="M509" i="73"/>
  <c r="K509" i="73"/>
  <c r="I509" i="73"/>
  <c r="G509" i="73"/>
  <c r="E509" i="73"/>
  <c r="C509" i="73"/>
  <c r="S508" i="73"/>
  <c r="R508" i="73"/>
  <c r="Q508" i="73"/>
  <c r="O508" i="73"/>
  <c r="M508" i="73"/>
  <c r="K508" i="73"/>
  <c r="I508" i="73"/>
  <c r="G508" i="73"/>
  <c r="E508" i="73"/>
  <c r="C508" i="73"/>
  <c r="S507" i="73"/>
  <c r="R507" i="73"/>
  <c r="Q507" i="73"/>
  <c r="O507" i="73"/>
  <c r="M507" i="73"/>
  <c r="K507" i="73"/>
  <c r="I507" i="73"/>
  <c r="G507" i="73"/>
  <c r="E507" i="73"/>
  <c r="C507" i="73"/>
  <c r="S506" i="73"/>
  <c r="R506" i="73"/>
  <c r="Q506" i="73"/>
  <c r="O506" i="73"/>
  <c r="M506" i="73"/>
  <c r="K506" i="73"/>
  <c r="I506" i="73"/>
  <c r="G506" i="73"/>
  <c r="E506" i="73"/>
  <c r="C506" i="73"/>
  <c r="S505" i="73"/>
  <c r="R505" i="73"/>
  <c r="Q505" i="73"/>
  <c r="O505" i="73"/>
  <c r="M505" i="73"/>
  <c r="K505" i="73"/>
  <c r="I505" i="73"/>
  <c r="G505" i="73"/>
  <c r="E505" i="73"/>
  <c r="C505" i="73"/>
  <c r="S504" i="73"/>
  <c r="R504" i="73"/>
  <c r="Q504" i="73"/>
  <c r="O504" i="73"/>
  <c r="M504" i="73"/>
  <c r="K504" i="73"/>
  <c r="I504" i="73"/>
  <c r="G504" i="73"/>
  <c r="E504" i="73"/>
  <c r="C504" i="73"/>
  <c r="S503" i="73"/>
  <c r="R503" i="73"/>
  <c r="Q503" i="73"/>
  <c r="O503" i="73"/>
  <c r="M503" i="73"/>
  <c r="K503" i="73"/>
  <c r="I503" i="73"/>
  <c r="G503" i="73"/>
  <c r="E503" i="73"/>
  <c r="C503" i="73"/>
  <c r="S502" i="73"/>
  <c r="R502" i="73"/>
  <c r="Q502" i="73"/>
  <c r="O502" i="73"/>
  <c r="M502" i="73"/>
  <c r="K502" i="73"/>
  <c r="I502" i="73"/>
  <c r="G502" i="73"/>
  <c r="E502" i="73"/>
  <c r="C502" i="73"/>
  <c r="S501" i="73"/>
  <c r="R501" i="73"/>
  <c r="Q501" i="73"/>
  <c r="O501" i="73"/>
  <c r="M501" i="73"/>
  <c r="K501" i="73"/>
  <c r="I501" i="73"/>
  <c r="G501" i="73"/>
  <c r="E501" i="73"/>
  <c r="C501" i="73"/>
  <c r="S500" i="73"/>
  <c r="R500" i="73"/>
  <c r="Q500" i="73"/>
  <c r="O500" i="73"/>
  <c r="M500" i="73"/>
  <c r="K500" i="73"/>
  <c r="I500" i="73"/>
  <c r="G500" i="73"/>
  <c r="E500" i="73"/>
  <c r="C500" i="73"/>
  <c r="S499" i="73"/>
  <c r="R499" i="73"/>
  <c r="Q499" i="73"/>
  <c r="O499" i="73"/>
  <c r="M499" i="73"/>
  <c r="K499" i="73"/>
  <c r="I499" i="73"/>
  <c r="G499" i="73"/>
  <c r="E499" i="73"/>
  <c r="C499" i="73"/>
  <c r="S498" i="73"/>
  <c r="R498" i="73"/>
  <c r="Q498" i="73"/>
  <c r="O498" i="73"/>
  <c r="M498" i="73"/>
  <c r="K498" i="73"/>
  <c r="I498" i="73"/>
  <c r="G498" i="73"/>
  <c r="E498" i="73"/>
  <c r="C498" i="73"/>
  <c r="S497" i="73"/>
  <c r="R497" i="73"/>
  <c r="Q497" i="73"/>
  <c r="O497" i="73"/>
  <c r="M497" i="73"/>
  <c r="K497" i="73"/>
  <c r="I497" i="73"/>
  <c r="G497" i="73"/>
  <c r="E497" i="73"/>
  <c r="C497" i="73"/>
  <c r="S496" i="73"/>
  <c r="R496" i="73"/>
  <c r="Q496" i="73"/>
  <c r="O496" i="73"/>
  <c r="M496" i="73"/>
  <c r="K496" i="73"/>
  <c r="I496" i="73"/>
  <c r="G496" i="73"/>
  <c r="E496" i="73"/>
  <c r="C496" i="73"/>
  <c r="S495" i="73"/>
  <c r="R495" i="73"/>
  <c r="Q495" i="73"/>
  <c r="O495" i="73"/>
  <c r="M495" i="73"/>
  <c r="K495" i="73"/>
  <c r="I495" i="73"/>
  <c r="G495" i="73"/>
  <c r="E495" i="73"/>
  <c r="C495" i="73"/>
  <c r="S494" i="73"/>
  <c r="R494" i="73"/>
  <c r="Q494" i="73"/>
  <c r="O494" i="73"/>
  <c r="M494" i="73"/>
  <c r="K494" i="73"/>
  <c r="I494" i="73"/>
  <c r="G494" i="73"/>
  <c r="E494" i="73"/>
  <c r="C494" i="73"/>
  <c r="S493" i="73"/>
  <c r="R493" i="73"/>
  <c r="Q493" i="73"/>
  <c r="O493" i="73"/>
  <c r="M493" i="73"/>
  <c r="K493" i="73"/>
  <c r="I493" i="73"/>
  <c r="G493" i="73"/>
  <c r="E493" i="73"/>
  <c r="C493" i="73"/>
  <c r="S492" i="73"/>
  <c r="R492" i="73"/>
  <c r="Q492" i="73"/>
  <c r="O492" i="73"/>
  <c r="M492" i="73"/>
  <c r="K492" i="73"/>
  <c r="I492" i="73"/>
  <c r="G492" i="73"/>
  <c r="E492" i="73"/>
  <c r="C492" i="73"/>
  <c r="S491" i="73"/>
  <c r="R491" i="73"/>
  <c r="Q491" i="73"/>
  <c r="O491" i="73"/>
  <c r="M491" i="73"/>
  <c r="K491" i="73"/>
  <c r="I491" i="73"/>
  <c r="G491" i="73"/>
  <c r="E491" i="73"/>
  <c r="C491" i="73"/>
  <c r="S490" i="73"/>
  <c r="R490" i="73"/>
  <c r="Q490" i="73"/>
  <c r="O490" i="73"/>
  <c r="M490" i="73"/>
  <c r="K490" i="73"/>
  <c r="I490" i="73"/>
  <c r="G490" i="73"/>
  <c r="E490" i="73"/>
  <c r="C490" i="73"/>
  <c r="S489" i="73"/>
  <c r="R489" i="73"/>
  <c r="Q489" i="73"/>
  <c r="O489" i="73"/>
  <c r="M489" i="73"/>
  <c r="K489" i="73"/>
  <c r="I489" i="73"/>
  <c r="G489" i="73"/>
  <c r="E489" i="73"/>
  <c r="C489" i="73"/>
  <c r="S488" i="73"/>
  <c r="R488" i="73"/>
  <c r="Q488" i="73"/>
  <c r="O488" i="73"/>
  <c r="M488" i="73"/>
  <c r="K488" i="73"/>
  <c r="I488" i="73"/>
  <c r="G488" i="73"/>
  <c r="E488" i="73"/>
  <c r="C488" i="73"/>
  <c r="S487" i="73"/>
  <c r="R487" i="73"/>
  <c r="Q487" i="73"/>
  <c r="O487" i="73"/>
  <c r="M487" i="73"/>
  <c r="K487" i="73"/>
  <c r="I487" i="73"/>
  <c r="G487" i="73"/>
  <c r="E487" i="73"/>
  <c r="C487" i="73"/>
  <c r="S486" i="73"/>
  <c r="R486" i="73"/>
  <c r="Q486" i="73"/>
  <c r="O486" i="73"/>
  <c r="M486" i="73"/>
  <c r="K486" i="73"/>
  <c r="I486" i="73"/>
  <c r="G486" i="73"/>
  <c r="E486" i="73"/>
  <c r="C486" i="73"/>
  <c r="S485" i="73"/>
  <c r="R485" i="73"/>
  <c r="Q485" i="73"/>
  <c r="O485" i="73"/>
  <c r="M485" i="73"/>
  <c r="K485" i="73"/>
  <c r="I485" i="73"/>
  <c r="G485" i="73"/>
  <c r="E485" i="73"/>
  <c r="C485" i="73"/>
  <c r="S484" i="73"/>
  <c r="R484" i="73"/>
  <c r="Q484" i="73"/>
  <c r="O484" i="73"/>
  <c r="M484" i="73"/>
  <c r="K484" i="73"/>
  <c r="I484" i="73"/>
  <c r="G484" i="73"/>
  <c r="E484" i="73"/>
  <c r="C484" i="73"/>
  <c r="S483" i="73"/>
  <c r="R483" i="73"/>
  <c r="Q483" i="73"/>
  <c r="O483" i="73"/>
  <c r="M483" i="73"/>
  <c r="K483" i="73"/>
  <c r="I483" i="73"/>
  <c r="G483" i="73"/>
  <c r="E483" i="73"/>
  <c r="C483" i="73"/>
  <c r="S482" i="73"/>
  <c r="R482" i="73"/>
  <c r="Q482" i="73"/>
  <c r="O482" i="73"/>
  <c r="M482" i="73"/>
  <c r="K482" i="73"/>
  <c r="I482" i="73"/>
  <c r="G482" i="73"/>
  <c r="E482" i="73"/>
  <c r="C482" i="73"/>
  <c r="S481" i="73"/>
  <c r="R481" i="73"/>
  <c r="Q481" i="73"/>
  <c r="O481" i="73"/>
  <c r="M481" i="73"/>
  <c r="K481" i="73"/>
  <c r="I481" i="73"/>
  <c r="G481" i="73"/>
  <c r="E481" i="73"/>
  <c r="C481" i="73"/>
  <c r="S480" i="73"/>
  <c r="R480" i="73"/>
  <c r="Q480" i="73"/>
  <c r="O480" i="73"/>
  <c r="M480" i="73"/>
  <c r="K480" i="73"/>
  <c r="I480" i="73"/>
  <c r="G480" i="73"/>
  <c r="E480" i="73"/>
  <c r="C480" i="73"/>
  <c r="S479" i="73"/>
  <c r="R479" i="73"/>
  <c r="Q479" i="73"/>
  <c r="O479" i="73"/>
  <c r="M479" i="73"/>
  <c r="K479" i="73"/>
  <c r="I479" i="73"/>
  <c r="G479" i="73"/>
  <c r="E479" i="73"/>
  <c r="C479" i="73"/>
  <c r="S478" i="73"/>
  <c r="R478" i="73"/>
  <c r="Q478" i="73"/>
  <c r="O478" i="73"/>
  <c r="M478" i="73"/>
  <c r="K478" i="73"/>
  <c r="I478" i="73"/>
  <c r="G478" i="73"/>
  <c r="E478" i="73"/>
  <c r="C478" i="73"/>
  <c r="S477" i="73"/>
  <c r="R477" i="73"/>
  <c r="Q477" i="73"/>
  <c r="O477" i="73"/>
  <c r="M477" i="73"/>
  <c r="K477" i="73"/>
  <c r="I477" i="73"/>
  <c r="G477" i="73"/>
  <c r="E477" i="73"/>
  <c r="C477" i="73"/>
  <c r="S476" i="73"/>
  <c r="R476" i="73"/>
  <c r="Q476" i="73"/>
  <c r="O476" i="73"/>
  <c r="M476" i="73"/>
  <c r="K476" i="73"/>
  <c r="I476" i="73"/>
  <c r="G476" i="73"/>
  <c r="E476" i="73"/>
  <c r="C476" i="73"/>
  <c r="S475" i="73"/>
  <c r="R475" i="73"/>
  <c r="Q475" i="73"/>
  <c r="O475" i="73"/>
  <c r="M475" i="73"/>
  <c r="K475" i="73"/>
  <c r="I475" i="73"/>
  <c r="G475" i="73"/>
  <c r="E475" i="73"/>
  <c r="C475" i="73"/>
  <c r="S474" i="73"/>
  <c r="R474" i="73"/>
  <c r="Q474" i="73"/>
  <c r="O474" i="73"/>
  <c r="M474" i="73"/>
  <c r="K474" i="73"/>
  <c r="I474" i="73"/>
  <c r="G474" i="73"/>
  <c r="E474" i="73"/>
  <c r="C474" i="73"/>
  <c r="S473" i="73"/>
  <c r="R473" i="73"/>
  <c r="Q473" i="73"/>
  <c r="O473" i="73"/>
  <c r="M473" i="73"/>
  <c r="K473" i="73"/>
  <c r="I473" i="73"/>
  <c r="G473" i="73"/>
  <c r="E473" i="73"/>
  <c r="C473" i="73"/>
  <c r="S472" i="73"/>
  <c r="R472" i="73"/>
  <c r="Q472" i="73"/>
  <c r="O472" i="73"/>
  <c r="M472" i="73"/>
  <c r="K472" i="73"/>
  <c r="I472" i="73"/>
  <c r="G472" i="73"/>
  <c r="E472" i="73"/>
  <c r="C472" i="73"/>
  <c r="S471" i="73"/>
  <c r="R471" i="73"/>
  <c r="Q471" i="73"/>
  <c r="O471" i="73"/>
  <c r="M471" i="73"/>
  <c r="K471" i="73"/>
  <c r="I471" i="73"/>
  <c r="G471" i="73"/>
  <c r="E471" i="73"/>
  <c r="C471" i="73"/>
  <c r="S470" i="73"/>
  <c r="R470" i="73"/>
  <c r="Q470" i="73"/>
  <c r="O470" i="73"/>
  <c r="M470" i="73"/>
  <c r="K470" i="73"/>
  <c r="I470" i="73"/>
  <c r="G470" i="73"/>
  <c r="E470" i="73"/>
  <c r="C470" i="73"/>
  <c r="S469" i="73"/>
  <c r="R469" i="73"/>
  <c r="Q469" i="73"/>
  <c r="O469" i="73"/>
  <c r="M469" i="73"/>
  <c r="K469" i="73"/>
  <c r="I469" i="73"/>
  <c r="G469" i="73"/>
  <c r="E469" i="73"/>
  <c r="C469" i="73"/>
  <c r="S468" i="73"/>
  <c r="R468" i="73"/>
  <c r="Q468" i="73"/>
  <c r="O468" i="73"/>
  <c r="M468" i="73"/>
  <c r="K468" i="73"/>
  <c r="I468" i="73"/>
  <c r="G468" i="73"/>
  <c r="E468" i="73"/>
  <c r="C468" i="73"/>
  <c r="S467" i="73"/>
  <c r="R467" i="73"/>
  <c r="Q467" i="73"/>
  <c r="O467" i="73"/>
  <c r="M467" i="73"/>
  <c r="K467" i="73"/>
  <c r="I467" i="73"/>
  <c r="G467" i="73"/>
  <c r="E467" i="73"/>
  <c r="C467" i="73"/>
  <c r="S466" i="73"/>
  <c r="R466" i="73"/>
  <c r="Q466" i="73"/>
  <c r="O466" i="73"/>
  <c r="M466" i="73"/>
  <c r="K466" i="73"/>
  <c r="I466" i="73"/>
  <c r="G466" i="73"/>
  <c r="E466" i="73"/>
  <c r="C466" i="73"/>
  <c r="S465" i="73"/>
  <c r="R465" i="73"/>
  <c r="Q465" i="73"/>
  <c r="O465" i="73"/>
  <c r="M465" i="73"/>
  <c r="K465" i="73"/>
  <c r="I465" i="73"/>
  <c r="G465" i="73"/>
  <c r="E465" i="73"/>
  <c r="C465" i="73"/>
  <c r="S464" i="73"/>
  <c r="R464" i="73"/>
  <c r="Q464" i="73"/>
  <c r="O464" i="73"/>
  <c r="M464" i="73"/>
  <c r="K464" i="73"/>
  <c r="I464" i="73"/>
  <c r="G464" i="73"/>
  <c r="E464" i="73"/>
  <c r="C464" i="73"/>
  <c r="S463" i="73"/>
  <c r="R463" i="73"/>
  <c r="Q463" i="73"/>
  <c r="O463" i="73"/>
  <c r="M463" i="73"/>
  <c r="K463" i="73"/>
  <c r="I463" i="73"/>
  <c r="G463" i="73"/>
  <c r="E463" i="73"/>
  <c r="C463" i="73"/>
  <c r="S462" i="73"/>
  <c r="R462" i="73"/>
  <c r="Q462" i="73"/>
  <c r="O462" i="73"/>
  <c r="M462" i="73"/>
  <c r="K462" i="73"/>
  <c r="I462" i="73"/>
  <c r="G462" i="73"/>
  <c r="E462" i="73"/>
  <c r="C462" i="73"/>
  <c r="S461" i="73"/>
  <c r="R461" i="73"/>
  <c r="Q461" i="73"/>
  <c r="O461" i="73"/>
  <c r="M461" i="73"/>
  <c r="K461" i="73"/>
  <c r="I461" i="73"/>
  <c r="G461" i="73"/>
  <c r="E461" i="73"/>
  <c r="C461" i="73"/>
  <c r="S460" i="73"/>
  <c r="R460" i="73"/>
  <c r="Q460" i="73"/>
  <c r="O460" i="73"/>
  <c r="M460" i="73"/>
  <c r="K460" i="73"/>
  <c r="I460" i="73"/>
  <c r="G460" i="73"/>
  <c r="E460" i="73"/>
  <c r="C460" i="73"/>
  <c r="S459" i="73"/>
  <c r="R459" i="73"/>
  <c r="Q459" i="73"/>
  <c r="O459" i="73"/>
  <c r="M459" i="73"/>
  <c r="K459" i="73"/>
  <c r="I459" i="73"/>
  <c r="G459" i="73"/>
  <c r="E459" i="73"/>
  <c r="C459" i="73"/>
  <c r="S458" i="73"/>
  <c r="R458" i="73"/>
  <c r="Q458" i="73"/>
  <c r="O458" i="73"/>
  <c r="M458" i="73"/>
  <c r="K458" i="73"/>
  <c r="I458" i="73"/>
  <c r="G458" i="73"/>
  <c r="E458" i="73"/>
  <c r="C458" i="73"/>
  <c r="S457" i="73"/>
  <c r="R457" i="73"/>
  <c r="Q457" i="73"/>
  <c r="O457" i="73"/>
  <c r="M457" i="73"/>
  <c r="K457" i="73"/>
  <c r="I457" i="73"/>
  <c r="G457" i="73"/>
  <c r="E457" i="73"/>
  <c r="C457" i="73"/>
  <c r="S456" i="73"/>
  <c r="R456" i="73"/>
  <c r="Q456" i="73"/>
  <c r="O456" i="73"/>
  <c r="M456" i="73"/>
  <c r="K456" i="73"/>
  <c r="I456" i="73"/>
  <c r="G456" i="73"/>
  <c r="E456" i="73"/>
  <c r="C456" i="73"/>
  <c r="S455" i="73"/>
  <c r="R455" i="73"/>
  <c r="Q455" i="73"/>
  <c r="O455" i="73"/>
  <c r="M455" i="73"/>
  <c r="K455" i="73"/>
  <c r="I455" i="73"/>
  <c r="G455" i="73"/>
  <c r="E455" i="73"/>
  <c r="C455" i="73"/>
  <c r="S454" i="73"/>
  <c r="R454" i="73"/>
  <c r="Q454" i="73"/>
  <c r="O454" i="73"/>
  <c r="M454" i="73"/>
  <c r="K454" i="73"/>
  <c r="I454" i="73"/>
  <c r="G454" i="73"/>
  <c r="E454" i="73"/>
  <c r="C454" i="73"/>
  <c r="S453" i="73"/>
  <c r="R453" i="73"/>
  <c r="Q453" i="73"/>
  <c r="O453" i="73"/>
  <c r="M453" i="73"/>
  <c r="K453" i="73"/>
  <c r="I453" i="73"/>
  <c r="G453" i="73"/>
  <c r="E453" i="73"/>
  <c r="C453" i="73"/>
  <c r="S452" i="73"/>
  <c r="R452" i="73"/>
  <c r="Q452" i="73"/>
  <c r="O452" i="73"/>
  <c r="M452" i="73"/>
  <c r="K452" i="73"/>
  <c r="I452" i="73"/>
  <c r="G452" i="73"/>
  <c r="E452" i="73"/>
  <c r="C452" i="73"/>
  <c r="S451" i="73"/>
  <c r="R451" i="73"/>
  <c r="Q451" i="73"/>
  <c r="O451" i="73"/>
  <c r="M451" i="73"/>
  <c r="K451" i="73"/>
  <c r="I451" i="73"/>
  <c r="G451" i="73"/>
  <c r="E451" i="73"/>
  <c r="C451" i="73"/>
  <c r="S450" i="73"/>
  <c r="R450" i="73"/>
  <c r="Q450" i="73"/>
  <c r="O450" i="73"/>
  <c r="M450" i="73"/>
  <c r="K450" i="73"/>
  <c r="I450" i="73"/>
  <c r="G450" i="73"/>
  <c r="E450" i="73"/>
  <c r="C450" i="73"/>
  <c r="S449" i="73"/>
  <c r="R449" i="73"/>
  <c r="Q449" i="73"/>
  <c r="O449" i="73"/>
  <c r="M449" i="73"/>
  <c r="K449" i="73"/>
  <c r="I449" i="73"/>
  <c r="G449" i="73"/>
  <c r="E449" i="73"/>
  <c r="C449" i="73"/>
  <c r="S448" i="73"/>
  <c r="R448" i="73"/>
  <c r="Q448" i="73"/>
  <c r="O448" i="73"/>
  <c r="M448" i="73"/>
  <c r="K448" i="73"/>
  <c r="I448" i="73"/>
  <c r="G448" i="73"/>
  <c r="E448" i="73"/>
  <c r="C448" i="73"/>
  <c r="S447" i="73"/>
  <c r="R447" i="73"/>
  <c r="Q447" i="73"/>
  <c r="O447" i="73"/>
  <c r="M447" i="73"/>
  <c r="K447" i="73"/>
  <c r="I447" i="73"/>
  <c r="G447" i="73"/>
  <c r="E447" i="73"/>
  <c r="C447" i="73"/>
  <c r="S446" i="73"/>
  <c r="R446" i="73"/>
  <c r="Q446" i="73"/>
  <c r="O446" i="73"/>
  <c r="M446" i="73"/>
  <c r="K446" i="73"/>
  <c r="I446" i="73"/>
  <c r="G446" i="73"/>
  <c r="E446" i="73"/>
  <c r="C446" i="73"/>
  <c r="S445" i="73"/>
  <c r="R445" i="73"/>
  <c r="Q445" i="73"/>
  <c r="O445" i="73"/>
  <c r="M445" i="73"/>
  <c r="K445" i="73"/>
  <c r="I445" i="73"/>
  <c r="G445" i="73"/>
  <c r="E445" i="73"/>
  <c r="C445" i="73"/>
  <c r="S444" i="73"/>
  <c r="R444" i="73"/>
  <c r="Q444" i="73"/>
  <c r="O444" i="73"/>
  <c r="M444" i="73"/>
  <c r="K444" i="73"/>
  <c r="I444" i="73"/>
  <c r="G444" i="73"/>
  <c r="E444" i="73"/>
  <c r="C444" i="73"/>
  <c r="S443" i="73"/>
  <c r="R443" i="73"/>
  <c r="Q443" i="73"/>
  <c r="O443" i="73"/>
  <c r="M443" i="73"/>
  <c r="K443" i="73"/>
  <c r="I443" i="73"/>
  <c r="G443" i="73"/>
  <c r="E443" i="73"/>
  <c r="C443" i="73"/>
  <c r="S442" i="73"/>
  <c r="R442" i="73"/>
  <c r="Q442" i="73"/>
  <c r="O442" i="73"/>
  <c r="M442" i="73"/>
  <c r="K442" i="73"/>
  <c r="I442" i="73"/>
  <c r="G442" i="73"/>
  <c r="E442" i="73"/>
  <c r="C442" i="73"/>
  <c r="S441" i="73"/>
  <c r="R441" i="73"/>
  <c r="Q441" i="73"/>
  <c r="O441" i="73"/>
  <c r="M441" i="73"/>
  <c r="K441" i="73"/>
  <c r="I441" i="73"/>
  <c r="G441" i="73"/>
  <c r="E441" i="73"/>
  <c r="C441" i="73"/>
  <c r="S440" i="73"/>
  <c r="R440" i="73"/>
  <c r="Q440" i="73"/>
  <c r="O440" i="73"/>
  <c r="M440" i="73"/>
  <c r="K440" i="73"/>
  <c r="I440" i="73"/>
  <c r="G440" i="73"/>
  <c r="E440" i="73"/>
  <c r="C440" i="73"/>
  <c r="S439" i="73"/>
  <c r="R439" i="73"/>
  <c r="Q439" i="73"/>
  <c r="O439" i="73"/>
  <c r="M439" i="73"/>
  <c r="K439" i="73"/>
  <c r="I439" i="73"/>
  <c r="G439" i="73"/>
  <c r="E439" i="73"/>
  <c r="C439" i="73"/>
  <c r="S438" i="73"/>
  <c r="R438" i="73"/>
  <c r="Q438" i="73"/>
  <c r="O438" i="73"/>
  <c r="M438" i="73"/>
  <c r="K438" i="73"/>
  <c r="I438" i="73"/>
  <c r="G438" i="73"/>
  <c r="E438" i="73"/>
  <c r="C438" i="73"/>
  <c r="S437" i="73"/>
  <c r="R437" i="73"/>
  <c r="Q437" i="73"/>
  <c r="O437" i="73"/>
  <c r="M437" i="73"/>
  <c r="K437" i="73"/>
  <c r="I437" i="73"/>
  <c r="G437" i="73"/>
  <c r="E437" i="73"/>
  <c r="C437" i="73"/>
  <c r="S436" i="73"/>
  <c r="R436" i="73"/>
  <c r="Q436" i="73"/>
  <c r="O436" i="73"/>
  <c r="M436" i="73"/>
  <c r="K436" i="73"/>
  <c r="I436" i="73"/>
  <c r="G436" i="73"/>
  <c r="E436" i="73"/>
  <c r="C436" i="73"/>
  <c r="S435" i="73"/>
  <c r="R435" i="73"/>
  <c r="Q435" i="73"/>
  <c r="O435" i="73"/>
  <c r="M435" i="73"/>
  <c r="K435" i="73"/>
  <c r="I435" i="73"/>
  <c r="G435" i="73"/>
  <c r="E435" i="73"/>
  <c r="C435" i="73"/>
  <c r="S434" i="73"/>
  <c r="R434" i="73"/>
  <c r="Q434" i="73"/>
  <c r="O434" i="73"/>
  <c r="M434" i="73"/>
  <c r="K434" i="73"/>
  <c r="I434" i="73"/>
  <c r="G434" i="73"/>
  <c r="E434" i="73"/>
  <c r="C434" i="73"/>
  <c r="S433" i="73"/>
  <c r="R433" i="73"/>
  <c r="Q433" i="73"/>
  <c r="O433" i="73"/>
  <c r="M433" i="73"/>
  <c r="K433" i="73"/>
  <c r="I433" i="73"/>
  <c r="G433" i="73"/>
  <c r="E433" i="73"/>
  <c r="C433" i="73"/>
  <c r="S432" i="73"/>
  <c r="R432" i="73"/>
  <c r="Q432" i="73"/>
  <c r="O432" i="73"/>
  <c r="M432" i="73"/>
  <c r="K432" i="73"/>
  <c r="I432" i="73"/>
  <c r="G432" i="73"/>
  <c r="E432" i="73"/>
  <c r="C432" i="73"/>
  <c r="S431" i="73"/>
  <c r="R431" i="73"/>
  <c r="Q431" i="73"/>
  <c r="O431" i="73"/>
  <c r="M431" i="73"/>
  <c r="K431" i="73"/>
  <c r="I431" i="73"/>
  <c r="G431" i="73"/>
  <c r="E431" i="73"/>
  <c r="C431" i="73"/>
  <c r="S430" i="73"/>
  <c r="R430" i="73"/>
  <c r="Q430" i="73"/>
  <c r="O430" i="73"/>
  <c r="M430" i="73"/>
  <c r="K430" i="73"/>
  <c r="I430" i="73"/>
  <c r="G430" i="73"/>
  <c r="E430" i="73"/>
  <c r="C430" i="73"/>
  <c r="S429" i="73"/>
  <c r="R429" i="73"/>
  <c r="Q429" i="73"/>
  <c r="O429" i="73"/>
  <c r="M429" i="73"/>
  <c r="K429" i="73"/>
  <c r="I429" i="73"/>
  <c r="G429" i="73"/>
  <c r="E429" i="73"/>
  <c r="C429" i="73"/>
  <c r="S428" i="73"/>
  <c r="R428" i="73"/>
  <c r="Q428" i="73"/>
  <c r="O428" i="73"/>
  <c r="M428" i="73"/>
  <c r="K428" i="73"/>
  <c r="I428" i="73"/>
  <c r="G428" i="73"/>
  <c r="E428" i="73"/>
  <c r="C428" i="73"/>
  <c r="S427" i="73"/>
  <c r="R427" i="73"/>
  <c r="Q427" i="73"/>
  <c r="O427" i="73"/>
  <c r="M427" i="73"/>
  <c r="K427" i="73"/>
  <c r="I427" i="73"/>
  <c r="G427" i="73"/>
  <c r="E427" i="73"/>
  <c r="C427" i="73"/>
  <c r="S426" i="73"/>
  <c r="R426" i="73"/>
  <c r="Q426" i="73"/>
  <c r="O426" i="73"/>
  <c r="M426" i="73"/>
  <c r="K426" i="73"/>
  <c r="I426" i="73"/>
  <c r="G426" i="73"/>
  <c r="E426" i="73"/>
  <c r="C426" i="73"/>
  <c r="S425" i="73"/>
  <c r="R425" i="73"/>
  <c r="Q425" i="73"/>
  <c r="O425" i="73"/>
  <c r="M425" i="73"/>
  <c r="K425" i="73"/>
  <c r="I425" i="73"/>
  <c r="G425" i="73"/>
  <c r="E425" i="73"/>
  <c r="C425" i="73"/>
  <c r="S424" i="73"/>
  <c r="R424" i="73"/>
  <c r="Q424" i="73"/>
  <c r="O424" i="73"/>
  <c r="M424" i="73"/>
  <c r="K424" i="73"/>
  <c r="I424" i="73"/>
  <c r="G424" i="73"/>
  <c r="E424" i="73"/>
  <c r="C424" i="73"/>
  <c r="S423" i="73"/>
  <c r="R423" i="73"/>
  <c r="Q423" i="73"/>
  <c r="O423" i="73"/>
  <c r="M423" i="73"/>
  <c r="K423" i="73"/>
  <c r="I423" i="73"/>
  <c r="G423" i="73"/>
  <c r="E423" i="73"/>
  <c r="C423" i="73"/>
  <c r="S422" i="73"/>
  <c r="R422" i="73"/>
  <c r="Q422" i="73"/>
  <c r="O422" i="73"/>
  <c r="M422" i="73"/>
  <c r="K422" i="73"/>
  <c r="I422" i="73"/>
  <c r="G422" i="73"/>
  <c r="E422" i="73"/>
  <c r="C422" i="73"/>
  <c r="S421" i="73"/>
  <c r="R421" i="73"/>
  <c r="Q421" i="73"/>
  <c r="O421" i="73"/>
  <c r="M421" i="73"/>
  <c r="K421" i="73"/>
  <c r="I421" i="73"/>
  <c r="G421" i="73"/>
  <c r="E421" i="73"/>
  <c r="C421" i="73"/>
  <c r="S420" i="73"/>
  <c r="R420" i="73"/>
  <c r="Q420" i="73"/>
  <c r="O420" i="73"/>
  <c r="M420" i="73"/>
  <c r="K420" i="73"/>
  <c r="I420" i="73"/>
  <c r="G420" i="73"/>
  <c r="E420" i="73"/>
  <c r="C420" i="73"/>
  <c r="S419" i="73"/>
  <c r="R419" i="73"/>
  <c r="Q419" i="73"/>
  <c r="O419" i="73"/>
  <c r="M419" i="73"/>
  <c r="K419" i="73"/>
  <c r="I419" i="73"/>
  <c r="G419" i="73"/>
  <c r="E419" i="73"/>
  <c r="C419" i="73"/>
  <c r="S418" i="73"/>
  <c r="R418" i="73"/>
  <c r="Q418" i="73"/>
  <c r="O418" i="73"/>
  <c r="M418" i="73"/>
  <c r="K418" i="73"/>
  <c r="I418" i="73"/>
  <c r="G418" i="73"/>
  <c r="E418" i="73"/>
  <c r="C418" i="73"/>
  <c r="S417" i="73"/>
  <c r="R417" i="73"/>
  <c r="Q417" i="73"/>
  <c r="O417" i="73"/>
  <c r="M417" i="73"/>
  <c r="K417" i="73"/>
  <c r="I417" i="73"/>
  <c r="G417" i="73"/>
  <c r="E417" i="73"/>
  <c r="C417" i="73"/>
  <c r="S416" i="73"/>
  <c r="R416" i="73"/>
  <c r="Q416" i="73"/>
  <c r="O416" i="73"/>
  <c r="M416" i="73"/>
  <c r="K416" i="73"/>
  <c r="I416" i="73"/>
  <c r="G416" i="73"/>
  <c r="E416" i="73"/>
  <c r="C416" i="73"/>
  <c r="S415" i="73"/>
  <c r="R415" i="73"/>
  <c r="Q415" i="73"/>
  <c r="O415" i="73"/>
  <c r="M415" i="73"/>
  <c r="K415" i="73"/>
  <c r="I415" i="73"/>
  <c r="G415" i="73"/>
  <c r="E415" i="73"/>
  <c r="C415" i="73"/>
  <c r="S414" i="73"/>
  <c r="R414" i="73"/>
  <c r="Q414" i="73"/>
  <c r="O414" i="73"/>
  <c r="M414" i="73"/>
  <c r="K414" i="73"/>
  <c r="I414" i="73"/>
  <c r="G414" i="73"/>
  <c r="E414" i="73"/>
  <c r="C414" i="73"/>
  <c r="S413" i="73"/>
  <c r="R413" i="73"/>
  <c r="Q413" i="73"/>
  <c r="O413" i="73"/>
  <c r="M413" i="73"/>
  <c r="K413" i="73"/>
  <c r="I413" i="73"/>
  <c r="G413" i="73"/>
  <c r="E413" i="73"/>
  <c r="C413" i="73"/>
  <c r="S412" i="73"/>
  <c r="R412" i="73"/>
  <c r="Q412" i="73"/>
  <c r="O412" i="73"/>
  <c r="M412" i="73"/>
  <c r="K412" i="73"/>
  <c r="I412" i="73"/>
  <c r="G412" i="73"/>
  <c r="E412" i="73"/>
  <c r="C412" i="73"/>
  <c r="S411" i="73"/>
  <c r="R411" i="73"/>
  <c r="Q411" i="73"/>
  <c r="O411" i="73"/>
  <c r="M411" i="73"/>
  <c r="K411" i="73"/>
  <c r="I411" i="73"/>
  <c r="G411" i="73"/>
  <c r="E411" i="73"/>
  <c r="C411" i="73"/>
  <c r="S410" i="73"/>
  <c r="R410" i="73"/>
  <c r="Q410" i="73"/>
  <c r="O410" i="73"/>
  <c r="M410" i="73"/>
  <c r="K410" i="73"/>
  <c r="I410" i="73"/>
  <c r="G410" i="73"/>
  <c r="E410" i="73"/>
  <c r="C410" i="73"/>
  <c r="S409" i="73"/>
  <c r="R409" i="73"/>
  <c r="Q409" i="73"/>
  <c r="O409" i="73"/>
  <c r="M409" i="73"/>
  <c r="K409" i="73"/>
  <c r="I409" i="73"/>
  <c r="G409" i="73"/>
  <c r="E409" i="73"/>
  <c r="C409" i="73"/>
  <c r="S408" i="73"/>
  <c r="R408" i="73"/>
  <c r="Q408" i="73"/>
  <c r="O408" i="73"/>
  <c r="M408" i="73"/>
  <c r="K408" i="73"/>
  <c r="I408" i="73"/>
  <c r="G408" i="73"/>
  <c r="E408" i="73"/>
  <c r="C408" i="73"/>
  <c r="S407" i="73"/>
  <c r="R407" i="73"/>
  <c r="Q407" i="73"/>
  <c r="O407" i="73"/>
  <c r="M407" i="73"/>
  <c r="K407" i="73"/>
  <c r="I407" i="73"/>
  <c r="G407" i="73"/>
  <c r="E407" i="73"/>
  <c r="C407" i="73"/>
  <c r="S406" i="73"/>
  <c r="R406" i="73"/>
  <c r="Q406" i="73"/>
  <c r="O406" i="73"/>
  <c r="M406" i="73"/>
  <c r="K406" i="73"/>
  <c r="I406" i="73"/>
  <c r="G406" i="73"/>
  <c r="E406" i="73"/>
  <c r="C406" i="73"/>
  <c r="S405" i="73"/>
  <c r="R405" i="73"/>
  <c r="Q405" i="73"/>
  <c r="O405" i="73"/>
  <c r="M405" i="73"/>
  <c r="K405" i="73"/>
  <c r="I405" i="73"/>
  <c r="G405" i="73"/>
  <c r="E405" i="73"/>
  <c r="C405" i="73"/>
  <c r="S404" i="73"/>
  <c r="R404" i="73"/>
  <c r="Q404" i="73"/>
  <c r="O404" i="73"/>
  <c r="M404" i="73"/>
  <c r="K404" i="73"/>
  <c r="I404" i="73"/>
  <c r="G404" i="73"/>
  <c r="E404" i="73"/>
  <c r="C404" i="73"/>
  <c r="S403" i="73"/>
  <c r="R403" i="73"/>
  <c r="Q403" i="73"/>
  <c r="O403" i="73"/>
  <c r="M403" i="73"/>
  <c r="K403" i="73"/>
  <c r="I403" i="73"/>
  <c r="G403" i="73"/>
  <c r="E403" i="73"/>
  <c r="C403" i="73"/>
  <c r="S402" i="73"/>
  <c r="R402" i="73"/>
  <c r="Q402" i="73"/>
  <c r="O402" i="73"/>
  <c r="M402" i="73"/>
  <c r="K402" i="73"/>
  <c r="I402" i="73"/>
  <c r="G402" i="73"/>
  <c r="E402" i="73"/>
  <c r="C402" i="73"/>
  <c r="S401" i="73"/>
  <c r="R401" i="73"/>
  <c r="Q401" i="73"/>
  <c r="O401" i="73"/>
  <c r="M401" i="73"/>
  <c r="K401" i="73"/>
  <c r="I401" i="73"/>
  <c r="G401" i="73"/>
  <c r="E401" i="73"/>
  <c r="C401" i="73"/>
  <c r="S400" i="73"/>
  <c r="R400" i="73"/>
  <c r="Q400" i="73"/>
  <c r="O400" i="73"/>
  <c r="M400" i="73"/>
  <c r="K400" i="73"/>
  <c r="I400" i="73"/>
  <c r="G400" i="73"/>
  <c r="E400" i="73"/>
  <c r="C400" i="73"/>
  <c r="S399" i="73"/>
  <c r="R399" i="73"/>
  <c r="Q399" i="73"/>
  <c r="O399" i="73"/>
  <c r="M399" i="73"/>
  <c r="K399" i="73"/>
  <c r="I399" i="73"/>
  <c r="G399" i="73"/>
  <c r="E399" i="73"/>
  <c r="C399" i="73"/>
  <c r="S398" i="73"/>
  <c r="R398" i="73"/>
  <c r="Q398" i="73"/>
  <c r="O398" i="73"/>
  <c r="M398" i="73"/>
  <c r="K398" i="73"/>
  <c r="I398" i="73"/>
  <c r="G398" i="73"/>
  <c r="E398" i="73"/>
  <c r="C398" i="73"/>
  <c r="S397" i="73"/>
  <c r="R397" i="73"/>
  <c r="Q397" i="73"/>
  <c r="O397" i="73"/>
  <c r="M397" i="73"/>
  <c r="K397" i="73"/>
  <c r="I397" i="73"/>
  <c r="G397" i="73"/>
  <c r="E397" i="73"/>
  <c r="C397" i="73"/>
  <c r="S396" i="73"/>
  <c r="R396" i="73"/>
  <c r="Q396" i="73"/>
  <c r="O396" i="73"/>
  <c r="M396" i="73"/>
  <c r="K396" i="73"/>
  <c r="I396" i="73"/>
  <c r="G396" i="73"/>
  <c r="E396" i="73"/>
  <c r="C396" i="73"/>
  <c r="S395" i="73"/>
  <c r="R395" i="73"/>
  <c r="Q395" i="73"/>
  <c r="O395" i="73"/>
  <c r="M395" i="73"/>
  <c r="K395" i="73"/>
  <c r="I395" i="73"/>
  <c r="G395" i="73"/>
  <c r="E395" i="73"/>
  <c r="C395" i="73"/>
  <c r="S394" i="73"/>
  <c r="R394" i="73"/>
  <c r="Q394" i="73"/>
  <c r="O394" i="73"/>
  <c r="M394" i="73"/>
  <c r="K394" i="73"/>
  <c r="I394" i="73"/>
  <c r="G394" i="73"/>
  <c r="E394" i="73"/>
  <c r="C394" i="73"/>
  <c r="S393" i="73"/>
  <c r="R393" i="73"/>
  <c r="Q393" i="73"/>
  <c r="O393" i="73"/>
  <c r="M393" i="73"/>
  <c r="K393" i="73"/>
  <c r="I393" i="73"/>
  <c r="G393" i="73"/>
  <c r="E393" i="73"/>
  <c r="C393" i="73"/>
  <c r="S392" i="73"/>
  <c r="R392" i="73"/>
  <c r="Q392" i="73"/>
  <c r="O392" i="73"/>
  <c r="M392" i="73"/>
  <c r="K392" i="73"/>
  <c r="I392" i="73"/>
  <c r="G392" i="73"/>
  <c r="E392" i="73"/>
  <c r="C392" i="73"/>
  <c r="S391" i="73"/>
  <c r="R391" i="73"/>
  <c r="Q391" i="73"/>
  <c r="O391" i="73"/>
  <c r="M391" i="73"/>
  <c r="K391" i="73"/>
  <c r="I391" i="73"/>
  <c r="G391" i="73"/>
  <c r="E391" i="73"/>
  <c r="C391" i="73"/>
  <c r="S390" i="73"/>
  <c r="R390" i="73"/>
  <c r="Q390" i="73"/>
  <c r="O390" i="73"/>
  <c r="M390" i="73"/>
  <c r="K390" i="73"/>
  <c r="I390" i="73"/>
  <c r="G390" i="73"/>
  <c r="E390" i="73"/>
  <c r="C390" i="73"/>
  <c r="S389" i="73"/>
  <c r="R389" i="73"/>
  <c r="Q389" i="73"/>
  <c r="O389" i="73"/>
  <c r="M389" i="73"/>
  <c r="K389" i="73"/>
  <c r="I389" i="73"/>
  <c r="G389" i="73"/>
  <c r="E389" i="73"/>
  <c r="C389" i="73"/>
  <c r="S388" i="73"/>
  <c r="R388" i="73"/>
  <c r="Q388" i="73"/>
  <c r="O388" i="73"/>
  <c r="M388" i="73"/>
  <c r="K388" i="73"/>
  <c r="I388" i="73"/>
  <c r="G388" i="73"/>
  <c r="E388" i="73"/>
  <c r="C388" i="73"/>
  <c r="S387" i="73"/>
  <c r="R387" i="73"/>
  <c r="Q387" i="73"/>
  <c r="O387" i="73"/>
  <c r="M387" i="73"/>
  <c r="K387" i="73"/>
  <c r="I387" i="73"/>
  <c r="G387" i="73"/>
  <c r="E387" i="73"/>
  <c r="C387" i="73"/>
  <c r="S386" i="73"/>
  <c r="R386" i="73"/>
  <c r="Q386" i="73"/>
  <c r="O386" i="73"/>
  <c r="M386" i="73"/>
  <c r="K386" i="73"/>
  <c r="I386" i="73"/>
  <c r="G386" i="73"/>
  <c r="E386" i="73"/>
  <c r="C386" i="73"/>
  <c r="S385" i="73"/>
  <c r="R385" i="73"/>
  <c r="Q385" i="73"/>
  <c r="O385" i="73"/>
  <c r="M385" i="73"/>
  <c r="K385" i="73"/>
  <c r="I385" i="73"/>
  <c r="G385" i="73"/>
  <c r="E385" i="73"/>
  <c r="C385" i="73"/>
  <c r="S384" i="73"/>
  <c r="R384" i="73"/>
  <c r="Q384" i="73"/>
  <c r="O384" i="73"/>
  <c r="M384" i="73"/>
  <c r="K384" i="73"/>
  <c r="I384" i="73"/>
  <c r="G384" i="73"/>
  <c r="E384" i="73"/>
  <c r="C384" i="73"/>
  <c r="S383" i="73"/>
  <c r="R383" i="73"/>
  <c r="Q383" i="73"/>
  <c r="O383" i="73"/>
  <c r="M383" i="73"/>
  <c r="K383" i="73"/>
  <c r="I383" i="73"/>
  <c r="G383" i="73"/>
  <c r="E383" i="73"/>
  <c r="C383" i="73"/>
  <c r="S382" i="73"/>
  <c r="R382" i="73"/>
  <c r="Q382" i="73"/>
  <c r="O382" i="73"/>
  <c r="M382" i="73"/>
  <c r="K382" i="73"/>
  <c r="I382" i="73"/>
  <c r="G382" i="73"/>
  <c r="E382" i="73"/>
  <c r="C382" i="73"/>
  <c r="S381" i="73"/>
  <c r="R381" i="73"/>
  <c r="Q381" i="73"/>
  <c r="O381" i="73"/>
  <c r="M381" i="73"/>
  <c r="K381" i="73"/>
  <c r="I381" i="73"/>
  <c r="G381" i="73"/>
  <c r="E381" i="73"/>
  <c r="C381" i="73"/>
  <c r="S380" i="73"/>
  <c r="R380" i="73"/>
  <c r="Q380" i="73"/>
  <c r="O380" i="73"/>
  <c r="M380" i="73"/>
  <c r="K380" i="73"/>
  <c r="I380" i="73"/>
  <c r="G380" i="73"/>
  <c r="E380" i="73"/>
  <c r="C380" i="73"/>
  <c r="S379" i="73"/>
  <c r="R379" i="73"/>
  <c r="Q379" i="73"/>
  <c r="O379" i="73"/>
  <c r="M379" i="73"/>
  <c r="K379" i="73"/>
  <c r="I379" i="73"/>
  <c r="G379" i="73"/>
  <c r="E379" i="73"/>
  <c r="C379" i="73"/>
  <c r="S378" i="73"/>
  <c r="R378" i="73"/>
  <c r="Q378" i="73"/>
  <c r="O378" i="73"/>
  <c r="M378" i="73"/>
  <c r="K378" i="73"/>
  <c r="I378" i="73"/>
  <c r="G378" i="73"/>
  <c r="E378" i="73"/>
  <c r="C378" i="73"/>
  <c r="S377" i="73"/>
  <c r="R377" i="73"/>
  <c r="Q377" i="73"/>
  <c r="O377" i="73"/>
  <c r="M377" i="73"/>
  <c r="K377" i="73"/>
  <c r="I377" i="73"/>
  <c r="G377" i="73"/>
  <c r="E377" i="73"/>
  <c r="C377" i="73"/>
  <c r="S376" i="73"/>
  <c r="R376" i="73"/>
  <c r="Q376" i="73"/>
  <c r="O376" i="73"/>
  <c r="M376" i="73"/>
  <c r="K376" i="73"/>
  <c r="I376" i="73"/>
  <c r="G376" i="73"/>
  <c r="E376" i="73"/>
  <c r="C376" i="73"/>
  <c r="S375" i="73"/>
  <c r="R375" i="73"/>
  <c r="Q375" i="73"/>
  <c r="O375" i="73"/>
  <c r="M375" i="73"/>
  <c r="K375" i="73"/>
  <c r="I375" i="73"/>
  <c r="G375" i="73"/>
  <c r="E375" i="73"/>
  <c r="C375" i="73"/>
  <c r="S374" i="73"/>
  <c r="R374" i="73"/>
  <c r="Q374" i="73"/>
  <c r="O374" i="73"/>
  <c r="M374" i="73"/>
  <c r="K374" i="73"/>
  <c r="I374" i="73"/>
  <c r="G374" i="73"/>
  <c r="E374" i="73"/>
  <c r="C374" i="73"/>
  <c r="S373" i="73"/>
  <c r="R373" i="73"/>
  <c r="Q373" i="73"/>
  <c r="O373" i="73"/>
  <c r="M373" i="73"/>
  <c r="K373" i="73"/>
  <c r="I373" i="73"/>
  <c r="G373" i="73"/>
  <c r="E373" i="73"/>
  <c r="C373" i="73"/>
  <c r="S372" i="73"/>
  <c r="R372" i="73"/>
  <c r="Q372" i="73"/>
  <c r="O372" i="73"/>
  <c r="M372" i="73"/>
  <c r="K372" i="73"/>
  <c r="I372" i="73"/>
  <c r="G372" i="73"/>
  <c r="E372" i="73"/>
  <c r="C372" i="73"/>
  <c r="S371" i="73"/>
  <c r="R371" i="73"/>
  <c r="Q371" i="73"/>
  <c r="O371" i="73"/>
  <c r="M371" i="73"/>
  <c r="K371" i="73"/>
  <c r="I371" i="73"/>
  <c r="G371" i="73"/>
  <c r="E371" i="73"/>
  <c r="C371" i="73"/>
  <c r="S370" i="73"/>
  <c r="R370" i="73"/>
  <c r="Q370" i="73"/>
  <c r="O370" i="73"/>
  <c r="M370" i="73"/>
  <c r="K370" i="73"/>
  <c r="I370" i="73"/>
  <c r="G370" i="73"/>
  <c r="E370" i="73"/>
  <c r="C370" i="73"/>
  <c r="S369" i="73"/>
  <c r="R369" i="73"/>
  <c r="Q369" i="73"/>
  <c r="O369" i="73"/>
  <c r="M369" i="73"/>
  <c r="K369" i="73"/>
  <c r="I369" i="73"/>
  <c r="G369" i="73"/>
  <c r="E369" i="73"/>
  <c r="C369" i="73"/>
  <c r="S368" i="73"/>
  <c r="R368" i="73"/>
  <c r="Q368" i="73"/>
  <c r="O368" i="73"/>
  <c r="M368" i="73"/>
  <c r="K368" i="73"/>
  <c r="I368" i="73"/>
  <c r="G368" i="73"/>
  <c r="E368" i="73"/>
  <c r="C368" i="73"/>
  <c r="S367" i="73"/>
  <c r="R367" i="73"/>
  <c r="Q367" i="73"/>
  <c r="O367" i="73"/>
  <c r="M367" i="73"/>
  <c r="K367" i="73"/>
  <c r="I367" i="73"/>
  <c r="G367" i="73"/>
  <c r="E367" i="73"/>
  <c r="C367" i="73"/>
  <c r="S366" i="73"/>
  <c r="R366" i="73"/>
  <c r="Q366" i="73"/>
  <c r="O366" i="73"/>
  <c r="M366" i="73"/>
  <c r="K366" i="73"/>
  <c r="I366" i="73"/>
  <c r="G366" i="73"/>
  <c r="E366" i="73"/>
  <c r="C366" i="73"/>
  <c r="S365" i="73"/>
  <c r="R365" i="73"/>
  <c r="Q365" i="73"/>
  <c r="O365" i="73"/>
  <c r="M365" i="73"/>
  <c r="K365" i="73"/>
  <c r="I365" i="73"/>
  <c r="G365" i="73"/>
  <c r="E365" i="73"/>
  <c r="C365" i="73"/>
  <c r="S364" i="73"/>
  <c r="R364" i="73"/>
  <c r="Q364" i="73"/>
  <c r="O364" i="73"/>
  <c r="M364" i="73"/>
  <c r="K364" i="73"/>
  <c r="I364" i="73"/>
  <c r="G364" i="73"/>
  <c r="E364" i="73"/>
  <c r="C364" i="73"/>
  <c r="S363" i="73"/>
  <c r="R363" i="73"/>
  <c r="Q363" i="73"/>
  <c r="O363" i="73"/>
  <c r="M363" i="73"/>
  <c r="K363" i="73"/>
  <c r="I363" i="73"/>
  <c r="G363" i="73"/>
  <c r="E363" i="73"/>
  <c r="C363" i="73"/>
  <c r="S362" i="73"/>
  <c r="R362" i="73"/>
  <c r="Q362" i="73"/>
  <c r="O362" i="73"/>
  <c r="M362" i="73"/>
  <c r="K362" i="73"/>
  <c r="I362" i="73"/>
  <c r="G362" i="73"/>
  <c r="E362" i="73"/>
  <c r="C362" i="73"/>
  <c r="S361" i="73"/>
  <c r="R361" i="73"/>
  <c r="Q361" i="73"/>
  <c r="O361" i="73"/>
  <c r="M361" i="73"/>
  <c r="K361" i="73"/>
  <c r="I361" i="73"/>
  <c r="G361" i="73"/>
  <c r="E361" i="73"/>
  <c r="C361" i="73"/>
  <c r="S360" i="73"/>
  <c r="R360" i="73"/>
  <c r="Q360" i="73"/>
  <c r="O360" i="73"/>
  <c r="M360" i="73"/>
  <c r="K360" i="73"/>
  <c r="I360" i="73"/>
  <c r="G360" i="73"/>
  <c r="E360" i="73"/>
  <c r="C360" i="73"/>
  <c r="S359" i="73"/>
  <c r="R359" i="73"/>
  <c r="Q359" i="73"/>
  <c r="O359" i="73"/>
  <c r="M359" i="73"/>
  <c r="K359" i="73"/>
  <c r="I359" i="73"/>
  <c r="G359" i="73"/>
  <c r="E359" i="73"/>
  <c r="C359" i="73"/>
  <c r="S358" i="73"/>
  <c r="R358" i="73"/>
  <c r="Q358" i="73"/>
  <c r="O358" i="73"/>
  <c r="M358" i="73"/>
  <c r="K358" i="73"/>
  <c r="I358" i="73"/>
  <c r="G358" i="73"/>
  <c r="E358" i="73"/>
  <c r="C358" i="73"/>
  <c r="S357" i="73"/>
  <c r="R357" i="73"/>
  <c r="Q357" i="73"/>
  <c r="O357" i="73"/>
  <c r="M357" i="73"/>
  <c r="K357" i="73"/>
  <c r="I357" i="73"/>
  <c r="G357" i="73"/>
  <c r="E357" i="73"/>
  <c r="C357" i="73"/>
  <c r="S356" i="73"/>
  <c r="R356" i="73"/>
  <c r="Q356" i="73"/>
  <c r="O356" i="73"/>
  <c r="M356" i="73"/>
  <c r="K356" i="73"/>
  <c r="I356" i="73"/>
  <c r="G356" i="73"/>
  <c r="E356" i="73"/>
  <c r="C356" i="73"/>
  <c r="S355" i="73"/>
  <c r="R355" i="73"/>
  <c r="Q355" i="73"/>
  <c r="O355" i="73"/>
  <c r="M355" i="73"/>
  <c r="K355" i="73"/>
  <c r="I355" i="73"/>
  <c r="G355" i="73"/>
  <c r="E355" i="73"/>
  <c r="C355" i="73"/>
  <c r="S354" i="73"/>
  <c r="R354" i="73"/>
  <c r="Q354" i="73"/>
  <c r="O354" i="73"/>
  <c r="M354" i="73"/>
  <c r="K354" i="73"/>
  <c r="I354" i="73"/>
  <c r="G354" i="73"/>
  <c r="E354" i="73"/>
  <c r="C354" i="73"/>
  <c r="S353" i="73"/>
  <c r="R353" i="73"/>
  <c r="Q353" i="73"/>
  <c r="O353" i="73"/>
  <c r="M353" i="73"/>
  <c r="K353" i="73"/>
  <c r="I353" i="73"/>
  <c r="G353" i="73"/>
  <c r="E353" i="73"/>
  <c r="C353" i="73"/>
  <c r="S352" i="73"/>
  <c r="R352" i="73"/>
  <c r="Q352" i="73"/>
  <c r="O352" i="73"/>
  <c r="M352" i="73"/>
  <c r="K352" i="73"/>
  <c r="I352" i="73"/>
  <c r="G352" i="73"/>
  <c r="E352" i="73"/>
  <c r="C352" i="73"/>
  <c r="S351" i="73"/>
  <c r="R351" i="73"/>
  <c r="Q351" i="73"/>
  <c r="O351" i="73"/>
  <c r="M351" i="73"/>
  <c r="K351" i="73"/>
  <c r="I351" i="73"/>
  <c r="G351" i="73"/>
  <c r="E351" i="73"/>
  <c r="C351" i="73"/>
  <c r="S350" i="73"/>
  <c r="R350" i="73"/>
  <c r="Q350" i="73"/>
  <c r="O350" i="73"/>
  <c r="M350" i="73"/>
  <c r="K350" i="73"/>
  <c r="I350" i="73"/>
  <c r="G350" i="73"/>
  <c r="E350" i="73"/>
  <c r="C350" i="73"/>
  <c r="S349" i="73"/>
  <c r="R349" i="73"/>
  <c r="Q349" i="73"/>
  <c r="O349" i="73"/>
  <c r="M349" i="73"/>
  <c r="K349" i="73"/>
  <c r="I349" i="73"/>
  <c r="G349" i="73"/>
  <c r="E349" i="73"/>
  <c r="C349" i="73"/>
  <c r="S348" i="73"/>
  <c r="R348" i="73"/>
  <c r="Q348" i="73"/>
  <c r="O348" i="73"/>
  <c r="M348" i="73"/>
  <c r="K348" i="73"/>
  <c r="I348" i="73"/>
  <c r="G348" i="73"/>
  <c r="E348" i="73"/>
  <c r="C348" i="73"/>
  <c r="S347" i="73"/>
  <c r="R347" i="73"/>
  <c r="Q347" i="73"/>
  <c r="O347" i="73"/>
  <c r="M347" i="73"/>
  <c r="K347" i="73"/>
  <c r="I347" i="73"/>
  <c r="G347" i="73"/>
  <c r="E347" i="73"/>
  <c r="C347" i="73"/>
  <c r="S346" i="73"/>
  <c r="R346" i="73"/>
  <c r="Q346" i="73"/>
  <c r="O346" i="73"/>
  <c r="M346" i="73"/>
  <c r="K346" i="73"/>
  <c r="I346" i="73"/>
  <c r="G346" i="73"/>
  <c r="E346" i="73"/>
  <c r="C346" i="73"/>
  <c r="S345" i="73"/>
  <c r="R345" i="73"/>
  <c r="Q345" i="73"/>
  <c r="O345" i="73"/>
  <c r="M345" i="73"/>
  <c r="K345" i="73"/>
  <c r="I345" i="73"/>
  <c r="G345" i="73"/>
  <c r="E345" i="73"/>
  <c r="C345" i="73"/>
  <c r="S344" i="73"/>
  <c r="R344" i="73"/>
  <c r="Q344" i="73"/>
  <c r="O344" i="73"/>
  <c r="M344" i="73"/>
  <c r="K344" i="73"/>
  <c r="I344" i="73"/>
  <c r="G344" i="73"/>
  <c r="E344" i="73"/>
  <c r="C344" i="73"/>
  <c r="S343" i="73"/>
  <c r="R343" i="73"/>
  <c r="Q343" i="73"/>
  <c r="O343" i="73"/>
  <c r="M343" i="73"/>
  <c r="K343" i="73"/>
  <c r="I343" i="73"/>
  <c r="G343" i="73"/>
  <c r="E343" i="73"/>
  <c r="C343" i="73"/>
  <c r="S342" i="73"/>
  <c r="R342" i="73"/>
  <c r="Q342" i="73"/>
  <c r="O342" i="73"/>
  <c r="M342" i="73"/>
  <c r="K342" i="73"/>
  <c r="I342" i="73"/>
  <c r="G342" i="73"/>
  <c r="E342" i="73"/>
  <c r="C342" i="73"/>
  <c r="S341" i="73"/>
  <c r="R341" i="73"/>
  <c r="Q341" i="73"/>
  <c r="O341" i="73"/>
  <c r="M341" i="73"/>
  <c r="K341" i="73"/>
  <c r="I341" i="73"/>
  <c r="G341" i="73"/>
  <c r="E341" i="73"/>
  <c r="C341" i="73"/>
  <c r="S340" i="73"/>
  <c r="R340" i="73"/>
  <c r="Q340" i="73"/>
  <c r="O340" i="73"/>
  <c r="M340" i="73"/>
  <c r="K340" i="73"/>
  <c r="I340" i="73"/>
  <c r="G340" i="73"/>
  <c r="E340" i="73"/>
  <c r="C340" i="73"/>
  <c r="S339" i="73"/>
  <c r="R339" i="73"/>
  <c r="Q339" i="73"/>
  <c r="O339" i="73"/>
  <c r="M339" i="73"/>
  <c r="K339" i="73"/>
  <c r="I339" i="73"/>
  <c r="G339" i="73"/>
  <c r="E339" i="73"/>
  <c r="C339" i="73"/>
  <c r="S338" i="73"/>
  <c r="R338" i="73"/>
  <c r="Q338" i="73"/>
  <c r="O338" i="73"/>
  <c r="M338" i="73"/>
  <c r="K338" i="73"/>
  <c r="I338" i="73"/>
  <c r="G338" i="73"/>
  <c r="E338" i="73"/>
  <c r="C338" i="73"/>
  <c r="S337" i="73"/>
  <c r="R337" i="73"/>
  <c r="Q337" i="73"/>
  <c r="O337" i="73"/>
  <c r="M337" i="73"/>
  <c r="K337" i="73"/>
  <c r="I337" i="73"/>
  <c r="G337" i="73"/>
  <c r="E337" i="73"/>
  <c r="C337" i="73"/>
  <c r="S336" i="73"/>
  <c r="R336" i="73"/>
  <c r="Q336" i="73"/>
  <c r="O336" i="73"/>
  <c r="M336" i="73"/>
  <c r="K336" i="73"/>
  <c r="I336" i="73"/>
  <c r="G336" i="73"/>
  <c r="E336" i="73"/>
  <c r="C336" i="73"/>
  <c r="S335" i="73"/>
  <c r="R335" i="73"/>
  <c r="Q335" i="73"/>
  <c r="O335" i="73"/>
  <c r="M335" i="73"/>
  <c r="K335" i="73"/>
  <c r="I335" i="73"/>
  <c r="G335" i="73"/>
  <c r="E335" i="73"/>
  <c r="C335" i="73"/>
  <c r="S334" i="73"/>
  <c r="R334" i="73"/>
  <c r="Q334" i="73"/>
  <c r="O334" i="73"/>
  <c r="M334" i="73"/>
  <c r="K334" i="73"/>
  <c r="I334" i="73"/>
  <c r="G334" i="73"/>
  <c r="E334" i="73"/>
  <c r="C334" i="73"/>
  <c r="S333" i="73"/>
  <c r="R333" i="73"/>
  <c r="Q333" i="73"/>
  <c r="O333" i="73"/>
  <c r="M333" i="73"/>
  <c r="K333" i="73"/>
  <c r="I333" i="73"/>
  <c r="G333" i="73"/>
  <c r="E333" i="73"/>
  <c r="C333" i="73"/>
  <c r="S332" i="73"/>
  <c r="R332" i="73"/>
  <c r="Q332" i="73"/>
  <c r="O332" i="73"/>
  <c r="M332" i="73"/>
  <c r="K332" i="73"/>
  <c r="I332" i="73"/>
  <c r="G332" i="73"/>
  <c r="E332" i="73"/>
  <c r="C332" i="73"/>
  <c r="S331" i="73"/>
  <c r="R331" i="73"/>
  <c r="Q331" i="73"/>
  <c r="O331" i="73"/>
  <c r="M331" i="73"/>
  <c r="K331" i="73"/>
  <c r="I331" i="73"/>
  <c r="G331" i="73"/>
  <c r="E331" i="73"/>
  <c r="C331" i="73"/>
  <c r="S330" i="73"/>
  <c r="R330" i="73"/>
  <c r="Q330" i="73"/>
  <c r="O330" i="73"/>
  <c r="M330" i="73"/>
  <c r="K330" i="73"/>
  <c r="I330" i="73"/>
  <c r="G330" i="73"/>
  <c r="E330" i="73"/>
  <c r="C330" i="73"/>
  <c r="S329" i="73"/>
  <c r="R329" i="73"/>
  <c r="Q329" i="73"/>
  <c r="O329" i="73"/>
  <c r="M329" i="73"/>
  <c r="K329" i="73"/>
  <c r="I329" i="73"/>
  <c r="G329" i="73"/>
  <c r="E329" i="73"/>
  <c r="C329" i="73"/>
  <c r="S328" i="73"/>
  <c r="R328" i="73"/>
  <c r="Q328" i="73"/>
  <c r="O328" i="73"/>
  <c r="M328" i="73"/>
  <c r="K328" i="73"/>
  <c r="I328" i="73"/>
  <c r="G328" i="73"/>
  <c r="E328" i="73"/>
  <c r="C328" i="73"/>
  <c r="S327" i="73"/>
  <c r="R327" i="73"/>
  <c r="Q327" i="73"/>
  <c r="O327" i="73"/>
  <c r="M327" i="73"/>
  <c r="K327" i="73"/>
  <c r="I327" i="73"/>
  <c r="G327" i="73"/>
  <c r="E327" i="73"/>
  <c r="C327" i="73"/>
  <c r="S326" i="73"/>
  <c r="R326" i="73"/>
  <c r="Q326" i="73"/>
  <c r="O326" i="73"/>
  <c r="M326" i="73"/>
  <c r="K326" i="73"/>
  <c r="I326" i="73"/>
  <c r="G326" i="73"/>
  <c r="E326" i="73"/>
  <c r="C326" i="73"/>
  <c r="S325" i="73"/>
  <c r="R325" i="73"/>
  <c r="Q325" i="73"/>
  <c r="O325" i="73"/>
  <c r="M325" i="73"/>
  <c r="K325" i="73"/>
  <c r="I325" i="73"/>
  <c r="G325" i="73"/>
  <c r="E325" i="73"/>
  <c r="C325" i="73"/>
  <c r="S324" i="73"/>
  <c r="R324" i="73"/>
  <c r="Q324" i="73"/>
  <c r="O324" i="73"/>
  <c r="M324" i="73"/>
  <c r="K324" i="73"/>
  <c r="I324" i="73"/>
  <c r="G324" i="73"/>
  <c r="E324" i="73"/>
  <c r="C324" i="73"/>
  <c r="S323" i="73"/>
  <c r="R323" i="73"/>
  <c r="Q323" i="73"/>
  <c r="O323" i="73"/>
  <c r="M323" i="73"/>
  <c r="K323" i="73"/>
  <c r="I323" i="73"/>
  <c r="G323" i="73"/>
  <c r="E323" i="73"/>
  <c r="C323" i="73"/>
  <c r="S322" i="73"/>
  <c r="R322" i="73"/>
  <c r="Q322" i="73"/>
  <c r="O322" i="73"/>
  <c r="M322" i="73"/>
  <c r="K322" i="73"/>
  <c r="I322" i="73"/>
  <c r="G322" i="73"/>
  <c r="E322" i="73"/>
  <c r="C322" i="73"/>
  <c r="S321" i="73"/>
  <c r="R321" i="73"/>
  <c r="Q321" i="73"/>
  <c r="O321" i="73"/>
  <c r="M321" i="73"/>
  <c r="K321" i="73"/>
  <c r="I321" i="73"/>
  <c r="G321" i="73"/>
  <c r="E321" i="73"/>
  <c r="C321" i="73"/>
  <c r="S320" i="73"/>
  <c r="R320" i="73"/>
  <c r="Q320" i="73"/>
  <c r="O320" i="73"/>
  <c r="M320" i="73"/>
  <c r="K320" i="73"/>
  <c r="I320" i="73"/>
  <c r="G320" i="73"/>
  <c r="E320" i="73"/>
  <c r="C320" i="73"/>
  <c r="S319" i="73"/>
  <c r="R319" i="73"/>
  <c r="Q319" i="73"/>
  <c r="O319" i="73"/>
  <c r="M319" i="73"/>
  <c r="K319" i="73"/>
  <c r="I319" i="73"/>
  <c r="G319" i="73"/>
  <c r="E319" i="73"/>
  <c r="C319" i="73"/>
  <c r="S318" i="73"/>
  <c r="R318" i="73"/>
  <c r="Q318" i="73"/>
  <c r="O318" i="73"/>
  <c r="M318" i="73"/>
  <c r="K318" i="73"/>
  <c r="I318" i="73"/>
  <c r="G318" i="73"/>
  <c r="E318" i="73"/>
  <c r="C318" i="73"/>
  <c r="S317" i="73"/>
  <c r="R317" i="73"/>
  <c r="Q317" i="73"/>
  <c r="O317" i="73"/>
  <c r="M317" i="73"/>
  <c r="K317" i="73"/>
  <c r="I317" i="73"/>
  <c r="G317" i="73"/>
  <c r="E317" i="73"/>
  <c r="C317" i="73"/>
  <c r="S316" i="73"/>
  <c r="R316" i="73"/>
  <c r="Q316" i="73"/>
  <c r="O316" i="73"/>
  <c r="M316" i="73"/>
  <c r="K316" i="73"/>
  <c r="I316" i="73"/>
  <c r="G316" i="73"/>
  <c r="E316" i="73"/>
  <c r="C316" i="73"/>
  <c r="S315" i="73"/>
  <c r="R315" i="73"/>
  <c r="Q315" i="73"/>
  <c r="O315" i="73"/>
  <c r="M315" i="73"/>
  <c r="K315" i="73"/>
  <c r="I315" i="73"/>
  <c r="G315" i="73"/>
  <c r="E315" i="73"/>
  <c r="C315" i="73"/>
  <c r="S314" i="73"/>
  <c r="R314" i="73"/>
  <c r="Q314" i="73"/>
  <c r="O314" i="73"/>
  <c r="M314" i="73"/>
  <c r="K314" i="73"/>
  <c r="I314" i="73"/>
  <c r="G314" i="73"/>
  <c r="E314" i="73"/>
  <c r="C314" i="73"/>
  <c r="S313" i="73"/>
  <c r="R313" i="73"/>
  <c r="Q313" i="73"/>
  <c r="O313" i="73"/>
  <c r="M313" i="73"/>
  <c r="K313" i="73"/>
  <c r="I313" i="73"/>
  <c r="G313" i="73"/>
  <c r="E313" i="73"/>
  <c r="C313" i="73"/>
  <c r="S312" i="73"/>
  <c r="R312" i="73"/>
  <c r="Q312" i="73"/>
  <c r="O312" i="73"/>
  <c r="M312" i="73"/>
  <c r="K312" i="73"/>
  <c r="I312" i="73"/>
  <c r="G312" i="73"/>
  <c r="E312" i="73"/>
  <c r="C312" i="73"/>
  <c r="S311" i="73"/>
  <c r="R311" i="73"/>
  <c r="Q311" i="73"/>
  <c r="O311" i="73"/>
  <c r="M311" i="73"/>
  <c r="K311" i="73"/>
  <c r="I311" i="73"/>
  <c r="G311" i="73"/>
  <c r="E311" i="73"/>
  <c r="C311" i="73"/>
  <c r="S310" i="73"/>
  <c r="R310" i="73"/>
  <c r="Q310" i="73"/>
  <c r="O310" i="73"/>
  <c r="M310" i="73"/>
  <c r="K310" i="73"/>
  <c r="I310" i="73"/>
  <c r="G310" i="73"/>
  <c r="E310" i="73"/>
  <c r="C310" i="73"/>
  <c r="S309" i="73"/>
  <c r="R309" i="73"/>
  <c r="Q309" i="73"/>
  <c r="O309" i="73"/>
  <c r="M309" i="73"/>
  <c r="K309" i="73"/>
  <c r="I309" i="73"/>
  <c r="G309" i="73"/>
  <c r="E309" i="73"/>
  <c r="C309" i="73"/>
  <c r="S308" i="73"/>
  <c r="R308" i="73"/>
  <c r="Q308" i="73"/>
  <c r="O308" i="73"/>
  <c r="M308" i="73"/>
  <c r="K308" i="73"/>
  <c r="I308" i="73"/>
  <c r="G308" i="73"/>
  <c r="E308" i="73"/>
  <c r="C308" i="73"/>
  <c r="S307" i="73"/>
  <c r="R307" i="73"/>
  <c r="Q307" i="73"/>
  <c r="O307" i="73"/>
  <c r="M307" i="73"/>
  <c r="K307" i="73"/>
  <c r="I307" i="73"/>
  <c r="G307" i="73"/>
  <c r="E307" i="73"/>
  <c r="C307" i="73"/>
  <c r="S306" i="73"/>
  <c r="R306" i="73"/>
  <c r="Q306" i="73"/>
  <c r="O306" i="73"/>
  <c r="M306" i="73"/>
  <c r="K306" i="73"/>
  <c r="I306" i="73"/>
  <c r="G306" i="73"/>
  <c r="E306" i="73"/>
  <c r="C306" i="73"/>
  <c r="S305" i="73"/>
  <c r="R305" i="73"/>
  <c r="Q305" i="73"/>
  <c r="O305" i="73"/>
  <c r="M305" i="73"/>
  <c r="K305" i="73"/>
  <c r="I305" i="73"/>
  <c r="G305" i="73"/>
  <c r="E305" i="73"/>
  <c r="C305" i="73"/>
  <c r="S304" i="73"/>
  <c r="R304" i="73"/>
  <c r="Q304" i="73"/>
  <c r="O304" i="73"/>
  <c r="M304" i="73"/>
  <c r="K304" i="73"/>
  <c r="I304" i="73"/>
  <c r="G304" i="73"/>
  <c r="E304" i="73"/>
  <c r="C304" i="73"/>
  <c r="S303" i="73"/>
  <c r="R303" i="73"/>
  <c r="Q303" i="73"/>
  <c r="O303" i="73"/>
  <c r="M303" i="73"/>
  <c r="K303" i="73"/>
  <c r="I303" i="73"/>
  <c r="G303" i="73"/>
  <c r="E303" i="73"/>
  <c r="C303" i="73"/>
  <c r="S302" i="73"/>
  <c r="R302" i="73"/>
  <c r="Q302" i="73"/>
  <c r="O302" i="73"/>
  <c r="M302" i="73"/>
  <c r="K302" i="73"/>
  <c r="I302" i="73"/>
  <c r="G302" i="73"/>
  <c r="E302" i="73"/>
  <c r="C302" i="73"/>
  <c r="S301" i="73"/>
  <c r="R301" i="73"/>
  <c r="Q301" i="73"/>
  <c r="O301" i="73"/>
  <c r="M301" i="73"/>
  <c r="K301" i="73"/>
  <c r="I301" i="73"/>
  <c r="G301" i="73"/>
  <c r="E301" i="73"/>
  <c r="C301" i="73"/>
  <c r="S300" i="73"/>
  <c r="R300" i="73"/>
  <c r="Q300" i="73"/>
  <c r="O300" i="73"/>
  <c r="M300" i="73"/>
  <c r="K300" i="73"/>
  <c r="I300" i="73"/>
  <c r="G300" i="73"/>
  <c r="E300" i="73"/>
  <c r="C300" i="73"/>
  <c r="S299" i="73"/>
  <c r="R299" i="73"/>
  <c r="Q299" i="73"/>
  <c r="O299" i="73"/>
  <c r="M299" i="73"/>
  <c r="K299" i="73"/>
  <c r="I299" i="73"/>
  <c r="G299" i="73"/>
  <c r="E299" i="73"/>
  <c r="C299" i="73"/>
  <c r="S298" i="73"/>
  <c r="R298" i="73"/>
  <c r="Q298" i="73"/>
  <c r="O298" i="73"/>
  <c r="M298" i="73"/>
  <c r="K298" i="73"/>
  <c r="I298" i="73"/>
  <c r="G298" i="73"/>
  <c r="E298" i="73"/>
  <c r="C298" i="73"/>
  <c r="S297" i="73"/>
  <c r="R297" i="73"/>
  <c r="Q297" i="73"/>
  <c r="O297" i="73"/>
  <c r="M297" i="73"/>
  <c r="K297" i="73"/>
  <c r="I297" i="73"/>
  <c r="G297" i="73"/>
  <c r="E297" i="73"/>
  <c r="C297" i="73"/>
  <c r="S296" i="73"/>
  <c r="R296" i="73"/>
  <c r="Q296" i="73"/>
  <c r="O296" i="73"/>
  <c r="M296" i="73"/>
  <c r="K296" i="73"/>
  <c r="I296" i="73"/>
  <c r="G296" i="73"/>
  <c r="E296" i="73"/>
  <c r="C296" i="73"/>
  <c r="S295" i="73"/>
  <c r="R295" i="73"/>
  <c r="Q295" i="73"/>
  <c r="O295" i="73"/>
  <c r="M295" i="73"/>
  <c r="K295" i="73"/>
  <c r="I295" i="73"/>
  <c r="G295" i="73"/>
  <c r="E295" i="73"/>
  <c r="C295" i="73"/>
  <c r="S294" i="73"/>
  <c r="R294" i="73"/>
  <c r="Q294" i="73"/>
  <c r="O294" i="73"/>
  <c r="M294" i="73"/>
  <c r="K294" i="73"/>
  <c r="I294" i="73"/>
  <c r="G294" i="73"/>
  <c r="E294" i="73"/>
  <c r="C294" i="73"/>
  <c r="S293" i="73"/>
  <c r="R293" i="73"/>
  <c r="Q293" i="73"/>
  <c r="O293" i="73"/>
  <c r="M293" i="73"/>
  <c r="K293" i="73"/>
  <c r="I293" i="73"/>
  <c r="G293" i="73"/>
  <c r="E293" i="73"/>
  <c r="C293" i="73"/>
  <c r="S292" i="73"/>
  <c r="R292" i="73"/>
  <c r="Q292" i="73"/>
  <c r="O292" i="73"/>
  <c r="M292" i="73"/>
  <c r="K292" i="73"/>
  <c r="I292" i="73"/>
  <c r="G292" i="73"/>
  <c r="E292" i="73"/>
  <c r="C292" i="73"/>
  <c r="S291" i="73"/>
  <c r="R291" i="73"/>
  <c r="Q291" i="73"/>
  <c r="O291" i="73"/>
  <c r="M291" i="73"/>
  <c r="K291" i="73"/>
  <c r="I291" i="73"/>
  <c r="G291" i="73"/>
  <c r="E291" i="73"/>
  <c r="C291" i="73"/>
  <c r="S290" i="73"/>
  <c r="R290" i="73"/>
  <c r="Q290" i="73"/>
  <c r="O290" i="73"/>
  <c r="M290" i="73"/>
  <c r="K290" i="73"/>
  <c r="I290" i="73"/>
  <c r="G290" i="73"/>
  <c r="E290" i="73"/>
  <c r="C290" i="73"/>
  <c r="S289" i="73"/>
  <c r="R289" i="73"/>
  <c r="Q289" i="73"/>
  <c r="O289" i="73"/>
  <c r="M289" i="73"/>
  <c r="K289" i="73"/>
  <c r="I289" i="73"/>
  <c r="G289" i="73"/>
  <c r="E289" i="73"/>
  <c r="C289" i="73"/>
  <c r="S288" i="73"/>
  <c r="R288" i="73"/>
  <c r="Q288" i="73"/>
  <c r="O288" i="73"/>
  <c r="M288" i="73"/>
  <c r="K288" i="73"/>
  <c r="I288" i="73"/>
  <c r="G288" i="73"/>
  <c r="E288" i="73"/>
  <c r="C288" i="73"/>
  <c r="S287" i="73"/>
  <c r="R287" i="73"/>
  <c r="Q287" i="73"/>
  <c r="O287" i="73"/>
  <c r="M287" i="73"/>
  <c r="K287" i="73"/>
  <c r="I287" i="73"/>
  <c r="G287" i="73"/>
  <c r="E287" i="73"/>
  <c r="C287" i="73"/>
  <c r="S286" i="73"/>
  <c r="R286" i="73"/>
  <c r="Q286" i="73"/>
  <c r="O286" i="73"/>
  <c r="M286" i="73"/>
  <c r="K286" i="73"/>
  <c r="I286" i="73"/>
  <c r="G286" i="73"/>
  <c r="E286" i="73"/>
  <c r="C286" i="73"/>
  <c r="S285" i="73"/>
  <c r="R285" i="73"/>
  <c r="Q285" i="73"/>
  <c r="O285" i="73"/>
  <c r="M285" i="73"/>
  <c r="K285" i="73"/>
  <c r="I285" i="73"/>
  <c r="G285" i="73"/>
  <c r="E285" i="73"/>
  <c r="C285" i="73"/>
  <c r="S284" i="73"/>
  <c r="R284" i="73"/>
  <c r="Q284" i="73"/>
  <c r="O284" i="73"/>
  <c r="M284" i="73"/>
  <c r="K284" i="73"/>
  <c r="I284" i="73"/>
  <c r="G284" i="73"/>
  <c r="E284" i="73"/>
  <c r="C284" i="73"/>
  <c r="S283" i="73"/>
  <c r="R283" i="73"/>
  <c r="Q283" i="73"/>
  <c r="O283" i="73"/>
  <c r="M283" i="73"/>
  <c r="K283" i="73"/>
  <c r="I283" i="73"/>
  <c r="G283" i="73"/>
  <c r="E283" i="73"/>
  <c r="C283" i="73"/>
  <c r="S282" i="73"/>
  <c r="R282" i="73"/>
  <c r="Q282" i="73"/>
  <c r="O282" i="73"/>
  <c r="M282" i="73"/>
  <c r="K282" i="73"/>
  <c r="I282" i="73"/>
  <c r="G282" i="73"/>
  <c r="E282" i="73"/>
  <c r="C282" i="73"/>
  <c r="S281" i="73"/>
  <c r="R281" i="73"/>
  <c r="Q281" i="73"/>
  <c r="O281" i="73"/>
  <c r="M281" i="73"/>
  <c r="K281" i="73"/>
  <c r="I281" i="73"/>
  <c r="G281" i="73"/>
  <c r="E281" i="73"/>
  <c r="C281" i="73"/>
  <c r="S280" i="73"/>
  <c r="R280" i="73"/>
  <c r="Q280" i="73"/>
  <c r="O280" i="73"/>
  <c r="M280" i="73"/>
  <c r="K280" i="73"/>
  <c r="I280" i="73"/>
  <c r="G280" i="73"/>
  <c r="E280" i="73"/>
  <c r="C280" i="73"/>
  <c r="S279" i="73"/>
  <c r="R279" i="73"/>
  <c r="Q279" i="73"/>
  <c r="O279" i="73"/>
  <c r="M279" i="73"/>
  <c r="K279" i="73"/>
  <c r="I279" i="73"/>
  <c r="G279" i="73"/>
  <c r="E279" i="73"/>
  <c r="C279" i="73"/>
  <c r="S278" i="73"/>
  <c r="R278" i="73"/>
  <c r="Q278" i="73"/>
  <c r="O278" i="73"/>
  <c r="M278" i="73"/>
  <c r="K278" i="73"/>
  <c r="I278" i="73"/>
  <c r="G278" i="73"/>
  <c r="E278" i="73"/>
  <c r="C278" i="73"/>
  <c r="S277" i="73"/>
  <c r="R277" i="73"/>
  <c r="Q277" i="73"/>
  <c r="O277" i="73"/>
  <c r="M277" i="73"/>
  <c r="K277" i="73"/>
  <c r="I277" i="73"/>
  <c r="G277" i="73"/>
  <c r="E277" i="73"/>
  <c r="C277" i="73"/>
  <c r="S276" i="73"/>
  <c r="R276" i="73"/>
  <c r="Q276" i="73"/>
  <c r="O276" i="73"/>
  <c r="M276" i="73"/>
  <c r="K276" i="73"/>
  <c r="I276" i="73"/>
  <c r="G276" i="73"/>
  <c r="E276" i="73"/>
  <c r="C276" i="73"/>
  <c r="S275" i="73"/>
  <c r="R275" i="73"/>
  <c r="Q275" i="73"/>
  <c r="O275" i="73"/>
  <c r="M275" i="73"/>
  <c r="K275" i="73"/>
  <c r="I275" i="73"/>
  <c r="G275" i="73"/>
  <c r="E275" i="73"/>
  <c r="C275" i="73"/>
  <c r="S274" i="73"/>
  <c r="R274" i="73"/>
  <c r="Q274" i="73"/>
  <c r="O274" i="73"/>
  <c r="M274" i="73"/>
  <c r="K274" i="73"/>
  <c r="I274" i="73"/>
  <c r="G274" i="73"/>
  <c r="E274" i="73"/>
  <c r="C274" i="73"/>
  <c r="S273" i="73"/>
  <c r="R273" i="73"/>
  <c r="Q273" i="73"/>
  <c r="O273" i="73"/>
  <c r="M273" i="73"/>
  <c r="K273" i="73"/>
  <c r="I273" i="73"/>
  <c r="G273" i="73"/>
  <c r="E273" i="73"/>
  <c r="C273" i="73"/>
  <c r="S272" i="73"/>
  <c r="R272" i="73"/>
  <c r="Q272" i="73"/>
  <c r="O272" i="73"/>
  <c r="M272" i="73"/>
  <c r="K272" i="73"/>
  <c r="I272" i="73"/>
  <c r="G272" i="73"/>
  <c r="E272" i="73"/>
  <c r="C272" i="73"/>
  <c r="S271" i="73"/>
  <c r="R271" i="73"/>
  <c r="Q271" i="73"/>
  <c r="O271" i="73"/>
  <c r="M271" i="73"/>
  <c r="K271" i="73"/>
  <c r="I271" i="73"/>
  <c r="G271" i="73"/>
  <c r="E271" i="73"/>
  <c r="C271" i="73"/>
  <c r="S270" i="73"/>
  <c r="R270" i="73"/>
  <c r="Q270" i="73"/>
  <c r="O270" i="73"/>
  <c r="M270" i="73"/>
  <c r="K270" i="73"/>
  <c r="I270" i="73"/>
  <c r="G270" i="73"/>
  <c r="E270" i="73"/>
  <c r="C270" i="73"/>
  <c r="S269" i="73"/>
  <c r="R269" i="73"/>
  <c r="Q269" i="73"/>
  <c r="O269" i="73"/>
  <c r="M269" i="73"/>
  <c r="K269" i="73"/>
  <c r="I269" i="73"/>
  <c r="G269" i="73"/>
  <c r="E269" i="73"/>
  <c r="C269" i="73"/>
  <c r="S268" i="73"/>
  <c r="R268" i="73"/>
  <c r="Q268" i="73"/>
  <c r="O268" i="73"/>
  <c r="M268" i="73"/>
  <c r="K268" i="73"/>
  <c r="I268" i="73"/>
  <c r="G268" i="73"/>
  <c r="E268" i="73"/>
  <c r="C268" i="73"/>
  <c r="S267" i="73"/>
  <c r="R267" i="73"/>
  <c r="Q267" i="73"/>
  <c r="O267" i="73"/>
  <c r="M267" i="73"/>
  <c r="K267" i="73"/>
  <c r="I267" i="73"/>
  <c r="G267" i="73"/>
  <c r="E267" i="73"/>
  <c r="C267" i="73"/>
  <c r="S266" i="73"/>
  <c r="R266" i="73"/>
  <c r="Q266" i="73"/>
  <c r="O266" i="73"/>
  <c r="M266" i="73"/>
  <c r="K266" i="73"/>
  <c r="I266" i="73"/>
  <c r="G266" i="73"/>
  <c r="E266" i="73"/>
  <c r="C266" i="73"/>
  <c r="S265" i="73"/>
  <c r="R265" i="73"/>
  <c r="Q265" i="73"/>
  <c r="O265" i="73"/>
  <c r="M265" i="73"/>
  <c r="K265" i="73"/>
  <c r="I265" i="73"/>
  <c r="G265" i="73"/>
  <c r="E265" i="73"/>
  <c r="C265" i="73"/>
  <c r="S264" i="73"/>
  <c r="R264" i="73"/>
  <c r="Q264" i="73"/>
  <c r="O264" i="73"/>
  <c r="M264" i="73"/>
  <c r="K264" i="73"/>
  <c r="I264" i="73"/>
  <c r="G264" i="73"/>
  <c r="E264" i="73"/>
  <c r="C264" i="73"/>
  <c r="S263" i="73"/>
  <c r="R263" i="73"/>
  <c r="Q263" i="73"/>
  <c r="O263" i="73"/>
  <c r="M263" i="73"/>
  <c r="K263" i="73"/>
  <c r="I263" i="73"/>
  <c r="G263" i="73"/>
  <c r="E263" i="73"/>
  <c r="C263" i="73"/>
  <c r="S262" i="73"/>
  <c r="R262" i="73"/>
  <c r="Q262" i="73"/>
  <c r="O262" i="73"/>
  <c r="M262" i="73"/>
  <c r="K262" i="73"/>
  <c r="I262" i="73"/>
  <c r="G262" i="73"/>
  <c r="E262" i="73"/>
  <c r="C262" i="73"/>
  <c r="S261" i="73"/>
  <c r="R261" i="73"/>
  <c r="Q261" i="73"/>
  <c r="O261" i="73"/>
  <c r="M261" i="73"/>
  <c r="K261" i="73"/>
  <c r="I261" i="73"/>
  <c r="G261" i="73"/>
  <c r="E261" i="73"/>
  <c r="C261" i="73"/>
  <c r="S260" i="73"/>
  <c r="R260" i="73"/>
  <c r="Q260" i="73"/>
  <c r="O260" i="73"/>
  <c r="M260" i="73"/>
  <c r="K260" i="73"/>
  <c r="I260" i="73"/>
  <c r="G260" i="73"/>
  <c r="E260" i="73"/>
  <c r="C260" i="73"/>
  <c r="S259" i="73"/>
  <c r="R259" i="73"/>
  <c r="Q259" i="73"/>
  <c r="O259" i="73"/>
  <c r="M259" i="73"/>
  <c r="K259" i="73"/>
  <c r="I259" i="73"/>
  <c r="G259" i="73"/>
  <c r="E259" i="73"/>
  <c r="C259" i="73"/>
  <c r="S258" i="73"/>
  <c r="R258" i="73"/>
  <c r="Q258" i="73"/>
  <c r="O258" i="73"/>
  <c r="M258" i="73"/>
  <c r="K258" i="73"/>
  <c r="I258" i="73"/>
  <c r="G258" i="73"/>
  <c r="E258" i="73"/>
  <c r="C258" i="73"/>
  <c r="S257" i="73"/>
  <c r="R257" i="73"/>
  <c r="Q257" i="73"/>
  <c r="O257" i="73"/>
  <c r="M257" i="73"/>
  <c r="K257" i="73"/>
  <c r="I257" i="73"/>
  <c r="G257" i="73"/>
  <c r="E257" i="73"/>
  <c r="C257" i="73"/>
  <c r="S256" i="73"/>
  <c r="R256" i="73"/>
  <c r="Q256" i="73"/>
  <c r="O256" i="73"/>
  <c r="M256" i="73"/>
  <c r="K256" i="73"/>
  <c r="I256" i="73"/>
  <c r="G256" i="73"/>
  <c r="E256" i="73"/>
  <c r="C256" i="73"/>
  <c r="S255" i="73"/>
  <c r="R255" i="73"/>
  <c r="Q255" i="73"/>
  <c r="O255" i="73"/>
  <c r="M255" i="73"/>
  <c r="K255" i="73"/>
  <c r="I255" i="73"/>
  <c r="G255" i="73"/>
  <c r="E255" i="73"/>
  <c r="C255" i="73"/>
  <c r="S254" i="73"/>
  <c r="R254" i="73"/>
  <c r="Q254" i="73"/>
  <c r="O254" i="73"/>
  <c r="M254" i="73"/>
  <c r="K254" i="73"/>
  <c r="I254" i="73"/>
  <c r="G254" i="73"/>
  <c r="E254" i="73"/>
  <c r="C254" i="73"/>
  <c r="S253" i="73"/>
  <c r="R253" i="73"/>
  <c r="Q253" i="73"/>
  <c r="O253" i="73"/>
  <c r="M253" i="73"/>
  <c r="K253" i="73"/>
  <c r="I253" i="73"/>
  <c r="G253" i="73"/>
  <c r="E253" i="73"/>
  <c r="C253" i="73"/>
  <c r="S252" i="73"/>
  <c r="R252" i="73"/>
  <c r="Q252" i="73"/>
  <c r="O252" i="73"/>
  <c r="M252" i="73"/>
  <c r="K252" i="73"/>
  <c r="I252" i="73"/>
  <c r="G252" i="73"/>
  <c r="E252" i="73"/>
  <c r="C252" i="73"/>
  <c r="S251" i="73"/>
  <c r="R251" i="73"/>
  <c r="Q251" i="73"/>
  <c r="O251" i="73"/>
  <c r="M251" i="73"/>
  <c r="K251" i="73"/>
  <c r="I251" i="73"/>
  <c r="G251" i="73"/>
  <c r="E251" i="73"/>
  <c r="C251" i="73"/>
  <c r="S250" i="73"/>
  <c r="R250" i="73"/>
  <c r="Q250" i="73"/>
  <c r="O250" i="73"/>
  <c r="M250" i="73"/>
  <c r="K250" i="73"/>
  <c r="I250" i="73"/>
  <c r="G250" i="73"/>
  <c r="E250" i="73"/>
  <c r="C250" i="73"/>
  <c r="S249" i="73"/>
  <c r="R249" i="73"/>
  <c r="Q249" i="73"/>
  <c r="O249" i="73"/>
  <c r="M249" i="73"/>
  <c r="K249" i="73"/>
  <c r="I249" i="73"/>
  <c r="G249" i="73"/>
  <c r="E249" i="73"/>
  <c r="C249" i="73"/>
  <c r="S248" i="73"/>
  <c r="R248" i="73"/>
  <c r="Q248" i="73"/>
  <c r="O248" i="73"/>
  <c r="M248" i="73"/>
  <c r="K248" i="73"/>
  <c r="I248" i="73"/>
  <c r="G248" i="73"/>
  <c r="E248" i="73"/>
  <c r="C248" i="73"/>
  <c r="S247" i="73"/>
  <c r="R247" i="73"/>
  <c r="Q247" i="73"/>
  <c r="O247" i="73"/>
  <c r="M247" i="73"/>
  <c r="K247" i="73"/>
  <c r="I247" i="73"/>
  <c r="G247" i="73"/>
  <c r="E247" i="73"/>
  <c r="C247" i="73"/>
  <c r="S246" i="73"/>
  <c r="R246" i="73"/>
  <c r="Q246" i="73"/>
  <c r="O246" i="73"/>
  <c r="M246" i="73"/>
  <c r="K246" i="73"/>
  <c r="I246" i="73"/>
  <c r="G246" i="73"/>
  <c r="E246" i="73"/>
  <c r="C246" i="73"/>
  <c r="S245" i="73"/>
  <c r="R245" i="73"/>
  <c r="Q245" i="73"/>
  <c r="O245" i="73"/>
  <c r="M245" i="73"/>
  <c r="K245" i="73"/>
  <c r="I245" i="73"/>
  <c r="G245" i="73"/>
  <c r="E245" i="73"/>
  <c r="C245" i="73"/>
  <c r="S244" i="73"/>
  <c r="R244" i="73"/>
  <c r="Q244" i="73"/>
  <c r="O244" i="73"/>
  <c r="M244" i="73"/>
  <c r="K244" i="73"/>
  <c r="I244" i="73"/>
  <c r="G244" i="73"/>
  <c r="E244" i="73"/>
  <c r="C244" i="73"/>
  <c r="S243" i="73"/>
  <c r="R243" i="73"/>
  <c r="Q243" i="73"/>
  <c r="O243" i="73"/>
  <c r="M243" i="73"/>
  <c r="K243" i="73"/>
  <c r="I243" i="73"/>
  <c r="G243" i="73"/>
  <c r="E243" i="73"/>
  <c r="C243" i="73"/>
  <c r="S242" i="73"/>
  <c r="R242" i="73"/>
  <c r="Q242" i="73"/>
  <c r="O242" i="73"/>
  <c r="M242" i="73"/>
  <c r="K242" i="73"/>
  <c r="I242" i="73"/>
  <c r="G242" i="73"/>
  <c r="E242" i="73"/>
  <c r="C242" i="73"/>
  <c r="S241" i="73"/>
  <c r="R241" i="73"/>
  <c r="Q241" i="73"/>
  <c r="O241" i="73"/>
  <c r="M241" i="73"/>
  <c r="K241" i="73"/>
  <c r="I241" i="73"/>
  <c r="G241" i="73"/>
  <c r="E241" i="73"/>
  <c r="C241" i="73"/>
  <c r="S240" i="73"/>
  <c r="R240" i="73"/>
  <c r="Q240" i="73"/>
  <c r="O240" i="73"/>
  <c r="M240" i="73"/>
  <c r="K240" i="73"/>
  <c r="I240" i="73"/>
  <c r="G240" i="73"/>
  <c r="E240" i="73"/>
  <c r="C240" i="73"/>
  <c r="S239" i="73"/>
  <c r="R239" i="73"/>
  <c r="Q239" i="73"/>
  <c r="O239" i="73"/>
  <c r="M239" i="73"/>
  <c r="K239" i="73"/>
  <c r="I239" i="73"/>
  <c r="G239" i="73"/>
  <c r="E239" i="73"/>
  <c r="C239" i="73"/>
  <c r="S238" i="73"/>
  <c r="R238" i="73"/>
  <c r="Q238" i="73"/>
  <c r="O238" i="73"/>
  <c r="M238" i="73"/>
  <c r="K238" i="73"/>
  <c r="I238" i="73"/>
  <c r="G238" i="73"/>
  <c r="E238" i="73"/>
  <c r="C238" i="73"/>
  <c r="S237" i="73"/>
  <c r="R237" i="73"/>
  <c r="Q237" i="73"/>
  <c r="O237" i="73"/>
  <c r="M237" i="73"/>
  <c r="K237" i="73"/>
  <c r="I237" i="73"/>
  <c r="G237" i="73"/>
  <c r="E237" i="73"/>
  <c r="C237" i="73"/>
  <c r="S236" i="73"/>
  <c r="R236" i="73"/>
  <c r="Q236" i="73"/>
  <c r="O236" i="73"/>
  <c r="M236" i="73"/>
  <c r="K236" i="73"/>
  <c r="I236" i="73"/>
  <c r="G236" i="73"/>
  <c r="E236" i="73"/>
  <c r="C236" i="73"/>
  <c r="S235" i="73"/>
  <c r="R235" i="73"/>
  <c r="Q235" i="73"/>
  <c r="O235" i="73"/>
  <c r="M235" i="73"/>
  <c r="K235" i="73"/>
  <c r="I235" i="73"/>
  <c r="G235" i="73"/>
  <c r="E235" i="73"/>
  <c r="C235" i="73"/>
  <c r="S234" i="73"/>
  <c r="R234" i="73"/>
  <c r="Q234" i="73"/>
  <c r="O234" i="73"/>
  <c r="M234" i="73"/>
  <c r="K234" i="73"/>
  <c r="I234" i="73"/>
  <c r="G234" i="73"/>
  <c r="E234" i="73"/>
  <c r="C234" i="73"/>
  <c r="S233" i="73"/>
  <c r="R233" i="73"/>
  <c r="Q233" i="73"/>
  <c r="O233" i="73"/>
  <c r="M233" i="73"/>
  <c r="K233" i="73"/>
  <c r="I233" i="73"/>
  <c r="G233" i="73"/>
  <c r="E233" i="73"/>
  <c r="C233" i="73"/>
  <c r="S232" i="73"/>
  <c r="R232" i="73"/>
  <c r="Q232" i="73"/>
  <c r="O232" i="73"/>
  <c r="M232" i="73"/>
  <c r="K232" i="73"/>
  <c r="I232" i="73"/>
  <c r="G232" i="73"/>
  <c r="E232" i="73"/>
  <c r="C232" i="73"/>
  <c r="S231" i="73"/>
  <c r="R231" i="73"/>
  <c r="Q231" i="73"/>
  <c r="O231" i="73"/>
  <c r="M231" i="73"/>
  <c r="K231" i="73"/>
  <c r="I231" i="73"/>
  <c r="G231" i="73"/>
  <c r="E231" i="73"/>
  <c r="C231" i="73"/>
  <c r="S230" i="73"/>
  <c r="R230" i="73"/>
  <c r="Q230" i="73"/>
  <c r="O230" i="73"/>
  <c r="M230" i="73"/>
  <c r="K230" i="73"/>
  <c r="I230" i="73"/>
  <c r="G230" i="73"/>
  <c r="E230" i="73"/>
  <c r="C230" i="73"/>
  <c r="S229" i="73"/>
  <c r="R229" i="73"/>
  <c r="Q229" i="73"/>
  <c r="O229" i="73"/>
  <c r="M229" i="73"/>
  <c r="K229" i="73"/>
  <c r="I229" i="73"/>
  <c r="G229" i="73"/>
  <c r="E229" i="73"/>
  <c r="C229" i="73"/>
  <c r="S228" i="73"/>
  <c r="R228" i="73"/>
  <c r="Q228" i="73"/>
  <c r="O228" i="73"/>
  <c r="M228" i="73"/>
  <c r="K228" i="73"/>
  <c r="I228" i="73"/>
  <c r="G228" i="73"/>
  <c r="E228" i="73"/>
  <c r="C228" i="73"/>
  <c r="S227" i="73"/>
  <c r="R227" i="73"/>
  <c r="Q227" i="73"/>
  <c r="O227" i="73"/>
  <c r="M227" i="73"/>
  <c r="K227" i="73"/>
  <c r="I227" i="73"/>
  <c r="G227" i="73"/>
  <c r="E227" i="73"/>
  <c r="C227" i="73"/>
  <c r="S226" i="73"/>
  <c r="R226" i="73"/>
  <c r="Q226" i="73"/>
  <c r="O226" i="73"/>
  <c r="M226" i="73"/>
  <c r="K226" i="73"/>
  <c r="I226" i="73"/>
  <c r="G226" i="73"/>
  <c r="E226" i="73"/>
  <c r="C226" i="73"/>
  <c r="S225" i="73"/>
  <c r="R225" i="73"/>
  <c r="Q225" i="73"/>
  <c r="O225" i="73"/>
  <c r="M225" i="73"/>
  <c r="K225" i="73"/>
  <c r="I225" i="73"/>
  <c r="G225" i="73"/>
  <c r="E225" i="73"/>
  <c r="C225" i="73"/>
  <c r="S224" i="73"/>
  <c r="R224" i="73"/>
  <c r="Q224" i="73"/>
  <c r="O224" i="73"/>
  <c r="M224" i="73"/>
  <c r="K224" i="73"/>
  <c r="I224" i="73"/>
  <c r="G224" i="73"/>
  <c r="E224" i="73"/>
  <c r="C224" i="73"/>
  <c r="S223" i="73"/>
  <c r="R223" i="73"/>
  <c r="Q223" i="73"/>
  <c r="O223" i="73"/>
  <c r="M223" i="73"/>
  <c r="K223" i="73"/>
  <c r="I223" i="73"/>
  <c r="G223" i="73"/>
  <c r="E223" i="73"/>
  <c r="C223" i="73"/>
  <c r="S222" i="73"/>
  <c r="R222" i="73"/>
  <c r="Q222" i="73"/>
  <c r="O222" i="73"/>
  <c r="M222" i="73"/>
  <c r="K222" i="73"/>
  <c r="I222" i="73"/>
  <c r="G222" i="73"/>
  <c r="E222" i="73"/>
  <c r="C222" i="73"/>
  <c r="S221" i="73"/>
  <c r="R221" i="73"/>
  <c r="Q221" i="73"/>
  <c r="O221" i="73"/>
  <c r="M221" i="73"/>
  <c r="K221" i="73"/>
  <c r="I221" i="73"/>
  <c r="G221" i="73"/>
  <c r="E221" i="73"/>
  <c r="C221" i="73"/>
  <c r="S220" i="73"/>
  <c r="R220" i="73"/>
  <c r="Q220" i="73"/>
  <c r="O220" i="73"/>
  <c r="M220" i="73"/>
  <c r="K220" i="73"/>
  <c r="I220" i="73"/>
  <c r="G220" i="73"/>
  <c r="E220" i="73"/>
  <c r="C220" i="73"/>
  <c r="S219" i="73"/>
  <c r="R219" i="73"/>
  <c r="Q219" i="73"/>
  <c r="O219" i="73"/>
  <c r="M219" i="73"/>
  <c r="K219" i="73"/>
  <c r="I219" i="73"/>
  <c r="G219" i="73"/>
  <c r="E219" i="73"/>
  <c r="C219" i="73"/>
  <c r="S218" i="73"/>
  <c r="R218" i="73"/>
  <c r="Q218" i="73"/>
  <c r="O218" i="73"/>
  <c r="M218" i="73"/>
  <c r="K218" i="73"/>
  <c r="I218" i="73"/>
  <c r="G218" i="73"/>
  <c r="E218" i="73"/>
  <c r="C218" i="73"/>
  <c r="S217" i="73"/>
  <c r="R217" i="73"/>
  <c r="Q217" i="73"/>
  <c r="O217" i="73"/>
  <c r="M217" i="73"/>
  <c r="K217" i="73"/>
  <c r="I217" i="73"/>
  <c r="G217" i="73"/>
  <c r="E217" i="73"/>
  <c r="C217" i="73"/>
  <c r="S216" i="73"/>
  <c r="R216" i="73"/>
  <c r="Q216" i="73"/>
  <c r="O216" i="73"/>
  <c r="M216" i="73"/>
  <c r="K216" i="73"/>
  <c r="I216" i="73"/>
  <c r="G216" i="73"/>
  <c r="E216" i="73"/>
  <c r="C216" i="73"/>
  <c r="S215" i="73"/>
  <c r="R215" i="73"/>
  <c r="Q215" i="73"/>
  <c r="O215" i="73"/>
  <c r="M215" i="73"/>
  <c r="K215" i="73"/>
  <c r="I215" i="73"/>
  <c r="G215" i="73"/>
  <c r="E215" i="73"/>
  <c r="C215" i="73"/>
  <c r="S214" i="73"/>
  <c r="R214" i="73"/>
  <c r="Q214" i="73"/>
  <c r="O214" i="73"/>
  <c r="M214" i="73"/>
  <c r="K214" i="73"/>
  <c r="I214" i="73"/>
  <c r="G214" i="73"/>
  <c r="E214" i="73"/>
  <c r="C214" i="73"/>
  <c r="S213" i="73"/>
  <c r="R213" i="73"/>
  <c r="Q213" i="73"/>
  <c r="O213" i="73"/>
  <c r="M213" i="73"/>
  <c r="K213" i="73"/>
  <c r="I213" i="73"/>
  <c r="G213" i="73"/>
  <c r="E213" i="73"/>
  <c r="C213" i="73"/>
  <c r="S212" i="73"/>
  <c r="R212" i="73"/>
  <c r="Q212" i="73"/>
  <c r="O212" i="73"/>
  <c r="M212" i="73"/>
  <c r="K212" i="73"/>
  <c r="I212" i="73"/>
  <c r="G212" i="73"/>
  <c r="E212" i="73"/>
  <c r="C212" i="73"/>
  <c r="S211" i="73"/>
  <c r="R211" i="73"/>
  <c r="Q211" i="73"/>
  <c r="O211" i="73"/>
  <c r="M211" i="73"/>
  <c r="K211" i="73"/>
  <c r="I211" i="73"/>
  <c r="G211" i="73"/>
  <c r="E211" i="73"/>
  <c r="C211" i="73"/>
  <c r="S210" i="73"/>
  <c r="R210" i="73"/>
  <c r="Q210" i="73"/>
  <c r="O210" i="73"/>
  <c r="M210" i="73"/>
  <c r="K210" i="73"/>
  <c r="I210" i="73"/>
  <c r="G210" i="73"/>
  <c r="E210" i="73"/>
  <c r="C210" i="73"/>
  <c r="S209" i="73"/>
  <c r="R209" i="73"/>
  <c r="Q209" i="73"/>
  <c r="O209" i="73"/>
  <c r="M209" i="73"/>
  <c r="K209" i="73"/>
  <c r="I209" i="73"/>
  <c r="G209" i="73"/>
  <c r="E209" i="73"/>
  <c r="C209" i="73"/>
  <c r="S208" i="73"/>
  <c r="R208" i="73"/>
  <c r="Q208" i="73"/>
  <c r="O208" i="73"/>
  <c r="M208" i="73"/>
  <c r="K208" i="73"/>
  <c r="I208" i="73"/>
  <c r="G208" i="73"/>
  <c r="E208" i="73"/>
  <c r="C208" i="73"/>
  <c r="S207" i="73"/>
  <c r="R207" i="73"/>
  <c r="Q207" i="73"/>
  <c r="O207" i="73"/>
  <c r="M207" i="73"/>
  <c r="K207" i="73"/>
  <c r="I207" i="73"/>
  <c r="G207" i="73"/>
  <c r="E207" i="73"/>
  <c r="C207" i="73"/>
  <c r="S206" i="73"/>
  <c r="R206" i="73"/>
  <c r="Q206" i="73"/>
  <c r="O206" i="73"/>
  <c r="M206" i="73"/>
  <c r="K206" i="73"/>
  <c r="I206" i="73"/>
  <c r="G206" i="73"/>
  <c r="E206" i="73"/>
  <c r="C206" i="73"/>
  <c r="S205" i="73"/>
  <c r="R205" i="73"/>
  <c r="Q205" i="73"/>
  <c r="O205" i="73"/>
  <c r="M205" i="73"/>
  <c r="K205" i="73"/>
  <c r="I205" i="73"/>
  <c r="G205" i="73"/>
  <c r="E205" i="73"/>
  <c r="C205" i="73"/>
  <c r="S204" i="73"/>
  <c r="R204" i="73"/>
  <c r="Q204" i="73"/>
  <c r="O204" i="73"/>
  <c r="M204" i="73"/>
  <c r="K204" i="73"/>
  <c r="I204" i="73"/>
  <c r="G204" i="73"/>
  <c r="E204" i="73"/>
  <c r="C204" i="73"/>
  <c r="S203" i="73"/>
  <c r="R203" i="73"/>
  <c r="Q203" i="73"/>
  <c r="O203" i="73"/>
  <c r="M203" i="73"/>
  <c r="K203" i="73"/>
  <c r="I203" i="73"/>
  <c r="G203" i="73"/>
  <c r="E203" i="73"/>
  <c r="C203" i="73"/>
  <c r="S202" i="73"/>
  <c r="R202" i="73"/>
  <c r="Q202" i="73"/>
  <c r="O202" i="73"/>
  <c r="M202" i="73"/>
  <c r="K202" i="73"/>
  <c r="I202" i="73"/>
  <c r="G202" i="73"/>
  <c r="E202" i="73"/>
  <c r="C202" i="73"/>
  <c r="S201" i="73"/>
  <c r="R201" i="73"/>
  <c r="Q201" i="73"/>
  <c r="O201" i="73"/>
  <c r="M201" i="73"/>
  <c r="K201" i="73"/>
  <c r="I201" i="73"/>
  <c r="G201" i="73"/>
  <c r="E201" i="73"/>
  <c r="C201" i="73"/>
  <c r="S200" i="73"/>
  <c r="R200" i="73"/>
  <c r="Q200" i="73"/>
  <c r="O200" i="73"/>
  <c r="M200" i="73"/>
  <c r="K200" i="73"/>
  <c r="I200" i="73"/>
  <c r="G200" i="73"/>
  <c r="E200" i="73"/>
  <c r="C200" i="73"/>
  <c r="S199" i="73"/>
  <c r="R199" i="73"/>
  <c r="Q199" i="73"/>
  <c r="O199" i="73"/>
  <c r="M199" i="73"/>
  <c r="K199" i="73"/>
  <c r="I199" i="73"/>
  <c r="G199" i="73"/>
  <c r="E199" i="73"/>
  <c r="C199" i="73"/>
  <c r="S198" i="73"/>
  <c r="R198" i="73"/>
  <c r="Q198" i="73"/>
  <c r="O198" i="73"/>
  <c r="M198" i="73"/>
  <c r="K198" i="73"/>
  <c r="I198" i="73"/>
  <c r="G198" i="73"/>
  <c r="E198" i="73"/>
  <c r="C198" i="73"/>
  <c r="S197" i="73"/>
  <c r="R197" i="73"/>
  <c r="Q197" i="73"/>
  <c r="O197" i="73"/>
  <c r="M197" i="73"/>
  <c r="K197" i="73"/>
  <c r="I197" i="73"/>
  <c r="G197" i="73"/>
  <c r="E197" i="73"/>
  <c r="C197" i="73"/>
  <c r="S196" i="73"/>
  <c r="R196" i="73"/>
  <c r="Q196" i="73"/>
  <c r="O196" i="73"/>
  <c r="M196" i="73"/>
  <c r="K196" i="73"/>
  <c r="I196" i="73"/>
  <c r="G196" i="73"/>
  <c r="E196" i="73"/>
  <c r="C196" i="73"/>
  <c r="S195" i="73"/>
  <c r="R195" i="73"/>
  <c r="Q195" i="73"/>
  <c r="O195" i="73"/>
  <c r="M195" i="73"/>
  <c r="K195" i="73"/>
  <c r="I195" i="73"/>
  <c r="G195" i="73"/>
  <c r="E195" i="73"/>
  <c r="C195" i="73"/>
  <c r="S194" i="73"/>
  <c r="R194" i="73"/>
  <c r="Q194" i="73"/>
  <c r="O194" i="73"/>
  <c r="M194" i="73"/>
  <c r="K194" i="73"/>
  <c r="I194" i="73"/>
  <c r="G194" i="73"/>
  <c r="E194" i="73"/>
  <c r="C194" i="73"/>
  <c r="S193" i="73"/>
  <c r="R193" i="73"/>
  <c r="Q193" i="73"/>
  <c r="O193" i="73"/>
  <c r="M193" i="73"/>
  <c r="K193" i="73"/>
  <c r="I193" i="73"/>
  <c r="G193" i="73"/>
  <c r="E193" i="73"/>
  <c r="C193" i="73"/>
  <c r="S192" i="73"/>
  <c r="R192" i="73"/>
  <c r="Q192" i="73"/>
  <c r="O192" i="73"/>
  <c r="M192" i="73"/>
  <c r="K192" i="73"/>
  <c r="I192" i="73"/>
  <c r="G192" i="73"/>
  <c r="E192" i="73"/>
  <c r="C192" i="73"/>
  <c r="S191" i="73"/>
  <c r="R191" i="73"/>
  <c r="Q191" i="73"/>
  <c r="O191" i="73"/>
  <c r="M191" i="73"/>
  <c r="K191" i="73"/>
  <c r="I191" i="73"/>
  <c r="G191" i="73"/>
  <c r="E191" i="73"/>
  <c r="C191" i="73"/>
  <c r="S190" i="73"/>
  <c r="R190" i="73"/>
  <c r="Q190" i="73"/>
  <c r="O190" i="73"/>
  <c r="M190" i="73"/>
  <c r="K190" i="73"/>
  <c r="I190" i="73"/>
  <c r="G190" i="73"/>
  <c r="E190" i="73"/>
  <c r="C190" i="73"/>
  <c r="S189" i="73"/>
  <c r="R189" i="73"/>
  <c r="Q189" i="73"/>
  <c r="O189" i="73"/>
  <c r="M189" i="73"/>
  <c r="K189" i="73"/>
  <c r="I189" i="73"/>
  <c r="G189" i="73"/>
  <c r="E189" i="73"/>
  <c r="C189" i="73"/>
  <c r="S188" i="73"/>
  <c r="R188" i="73"/>
  <c r="Q188" i="73"/>
  <c r="O188" i="73"/>
  <c r="M188" i="73"/>
  <c r="K188" i="73"/>
  <c r="I188" i="73"/>
  <c r="G188" i="73"/>
  <c r="E188" i="73"/>
  <c r="C188" i="73"/>
  <c r="S187" i="73"/>
  <c r="R187" i="73"/>
  <c r="Q187" i="73"/>
  <c r="O187" i="73"/>
  <c r="M187" i="73"/>
  <c r="K187" i="73"/>
  <c r="I187" i="73"/>
  <c r="G187" i="73"/>
  <c r="E187" i="73"/>
  <c r="C187" i="73"/>
  <c r="S186" i="73"/>
  <c r="R186" i="73"/>
  <c r="Q186" i="73"/>
  <c r="O186" i="73"/>
  <c r="M186" i="73"/>
  <c r="K186" i="73"/>
  <c r="I186" i="73"/>
  <c r="G186" i="73"/>
  <c r="E186" i="73"/>
  <c r="C186" i="73"/>
  <c r="S185" i="73"/>
  <c r="R185" i="73"/>
  <c r="Q185" i="73"/>
  <c r="O185" i="73"/>
  <c r="M185" i="73"/>
  <c r="K185" i="73"/>
  <c r="I185" i="73"/>
  <c r="G185" i="73"/>
  <c r="E185" i="73"/>
  <c r="C185" i="73"/>
  <c r="S184" i="73"/>
  <c r="R184" i="73"/>
  <c r="Q184" i="73"/>
  <c r="O184" i="73"/>
  <c r="M184" i="73"/>
  <c r="K184" i="73"/>
  <c r="I184" i="73"/>
  <c r="G184" i="73"/>
  <c r="E184" i="73"/>
  <c r="C184" i="73"/>
  <c r="S183" i="73"/>
  <c r="R183" i="73"/>
  <c r="Q183" i="73"/>
  <c r="O183" i="73"/>
  <c r="M183" i="73"/>
  <c r="K183" i="73"/>
  <c r="I183" i="73"/>
  <c r="G183" i="73"/>
  <c r="E183" i="73"/>
  <c r="C183" i="73"/>
  <c r="S182" i="73"/>
  <c r="R182" i="73"/>
  <c r="Q182" i="73"/>
  <c r="O182" i="73"/>
  <c r="M182" i="73"/>
  <c r="K182" i="73"/>
  <c r="I182" i="73"/>
  <c r="G182" i="73"/>
  <c r="E182" i="73"/>
  <c r="C182" i="73"/>
  <c r="S181" i="73"/>
  <c r="R181" i="73"/>
  <c r="Q181" i="73"/>
  <c r="O181" i="73"/>
  <c r="M181" i="73"/>
  <c r="K181" i="73"/>
  <c r="I181" i="73"/>
  <c r="G181" i="73"/>
  <c r="E181" i="73"/>
  <c r="C181" i="73"/>
  <c r="S180" i="73"/>
  <c r="R180" i="73"/>
  <c r="Q180" i="73"/>
  <c r="O180" i="73"/>
  <c r="M180" i="73"/>
  <c r="K180" i="73"/>
  <c r="I180" i="73"/>
  <c r="G180" i="73"/>
  <c r="E180" i="73"/>
  <c r="C180" i="73"/>
  <c r="S179" i="73"/>
  <c r="R179" i="73"/>
  <c r="Q179" i="73"/>
  <c r="O179" i="73"/>
  <c r="M179" i="73"/>
  <c r="K179" i="73"/>
  <c r="I179" i="73"/>
  <c r="G179" i="73"/>
  <c r="E179" i="73"/>
  <c r="C179" i="73"/>
  <c r="S178" i="73"/>
  <c r="R178" i="73"/>
  <c r="Q178" i="73"/>
  <c r="O178" i="73"/>
  <c r="M178" i="73"/>
  <c r="K178" i="73"/>
  <c r="I178" i="73"/>
  <c r="G178" i="73"/>
  <c r="E178" i="73"/>
  <c r="C178" i="73"/>
  <c r="S177" i="73"/>
  <c r="R177" i="73"/>
  <c r="Q177" i="73"/>
  <c r="O177" i="73"/>
  <c r="M177" i="73"/>
  <c r="K177" i="73"/>
  <c r="I177" i="73"/>
  <c r="G177" i="73"/>
  <c r="E177" i="73"/>
  <c r="C177" i="73"/>
  <c r="S176" i="73"/>
  <c r="R176" i="73"/>
  <c r="Q176" i="73"/>
  <c r="O176" i="73"/>
  <c r="M176" i="73"/>
  <c r="K176" i="73"/>
  <c r="I176" i="73"/>
  <c r="G176" i="73"/>
  <c r="E176" i="73"/>
  <c r="C176" i="73"/>
  <c r="S175" i="73"/>
  <c r="R175" i="73"/>
  <c r="Q175" i="73"/>
  <c r="O175" i="73"/>
  <c r="M175" i="73"/>
  <c r="K175" i="73"/>
  <c r="I175" i="73"/>
  <c r="G175" i="73"/>
  <c r="E175" i="73"/>
  <c r="C175" i="73"/>
  <c r="S174" i="73"/>
  <c r="R174" i="73"/>
  <c r="Q174" i="73"/>
  <c r="O174" i="73"/>
  <c r="M174" i="73"/>
  <c r="K174" i="73"/>
  <c r="I174" i="73"/>
  <c r="G174" i="73"/>
  <c r="E174" i="73"/>
  <c r="C174" i="73"/>
  <c r="S173" i="73"/>
  <c r="R173" i="73"/>
  <c r="Q173" i="73"/>
  <c r="O173" i="73"/>
  <c r="M173" i="73"/>
  <c r="K173" i="73"/>
  <c r="I173" i="73"/>
  <c r="G173" i="73"/>
  <c r="E173" i="73"/>
  <c r="C173" i="73"/>
  <c r="S172" i="73"/>
  <c r="R172" i="73"/>
  <c r="Q172" i="73"/>
  <c r="O172" i="73"/>
  <c r="M172" i="73"/>
  <c r="K172" i="73"/>
  <c r="I172" i="73"/>
  <c r="G172" i="73"/>
  <c r="E172" i="73"/>
  <c r="C172" i="73"/>
  <c r="S171" i="73"/>
  <c r="R171" i="73"/>
  <c r="Q171" i="73"/>
  <c r="O171" i="73"/>
  <c r="M171" i="73"/>
  <c r="K171" i="73"/>
  <c r="I171" i="73"/>
  <c r="G171" i="73"/>
  <c r="E171" i="73"/>
  <c r="C171" i="73"/>
  <c r="S170" i="73"/>
  <c r="R170" i="73"/>
  <c r="Q170" i="73"/>
  <c r="O170" i="73"/>
  <c r="M170" i="73"/>
  <c r="K170" i="73"/>
  <c r="I170" i="73"/>
  <c r="G170" i="73"/>
  <c r="E170" i="73"/>
  <c r="C170" i="73"/>
  <c r="S169" i="73"/>
  <c r="R169" i="73"/>
  <c r="Q169" i="73"/>
  <c r="O169" i="73"/>
  <c r="M169" i="73"/>
  <c r="K169" i="73"/>
  <c r="I169" i="73"/>
  <c r="G169" i="73"/>
  <c r="E169" i="73"/>
  <c r="C169" i="73"/>
  <c r="S168" i="73"/>
  <c r="R168" i="73"/>
  <c r="Q168" i="73"/>
  <c r="O168" i="73"/>
  <c r="M168" i="73"/>
  <c r="K168" i="73"/>
  <c r="I168" i="73"/>
  <c r="G168" i="73"/>
  <c r="E168" i="73"/>
  <c r="C168" i="73"/>
  <c r="S167" i="73"/>
  <c r="R167" i="73"/>
  <c r="Q167" i="73"/>
  <c r="O167" i="73"/>
  <c r="M167" i="73"/>
  <c r="K167" i="73"/>
  <c r="I167" i="73"/>
  <c r="G167" i="73"/>
  <c r="E167" i="73"/>
  <c r="C167" i="73"/>
  <c r="S166" i="73"/>
  <c r="R166" i="73"/>
  <c r="Q166" i="73"/>
  <c r="O166" i="73"/>
  <c r="M166" i="73"/>
  <c r="K166" i="73"/>
  <c r="I166" i="73"/>
  <c r="G166" i="73"/>
  <c r="E166" i="73"/>
  <c r="C166" i="73"/>
  <c r="S165" i="73"/>
  <c r="R165" i="73"/>
  <c r="Q165" i="73"/>
  <c r="O165" i="73"/>
  <c r="M165" i="73"/>
  <c r="K165" i="73"/>
  <c r="I165" i="73"/>
  <c r="G165" i="73"/>
  <c r="E165" i="73"/>
  <c r="C165" i="73"/>
  <c r="S164" i="73"/>
  <c r="R164" i="73"/>
  <c r="Q164" i="73"/>
  <c r="O164" i="73"/>
  <c r="M164" i="73"/>
  <c r="K164" i="73"/>
  <c r="I164" i="73"/>
  <c r="G164" i="73"/>
  <c r="E164" i="73"/>
  <c r="C164" i="73"/>
  <c r="S163" i="73"/>
  <c r="R163" i="73"/>
  <c r="Q163" i="73"/>
  <c r="O163" i="73"/>
  <c r="M163" i="73"/>
  <c r="K163" i="73"/>
  <c r="I163" i="73"/>
  <c r="G163" i="73"/>
  <c r="E163" i="73"/>
  <c r="C163" i="73"/>
  <c r="S162" i="73"/>
  <c r="R162" i="73"/>
  <c r="Q162" i="73"/>
  <c r="O162" i="73"/>
  <c r="M162" i="73"/>
  <c r="K162" i="73"/>
  <c r="I162" i="73"/>
  <c r="G162" i="73"/>
  <c r="E162" i="73"/>
  <c r="C162" i="73"/>
  <c r="S161" i="73"/>
  <c r="R161" i="73"/>
  <c r="Q161" i="73"/>
  <c r="O161" i="73"/>
  <c r="M161" i="73"/>
  <c r="K161" i="73"/>
  <c r="I161" i="73"/>
  <c r="G161" i="73"/>
  <c r="E161" i="73"/>
  <c r="C161" i="73"/>
  <c r="S160" i="73"/>
  <c r="R160" i="73"/>
  <c r="Q160" i="73"/>
  <c r="O160" i="73"/>
  <c r="M160" i="73"/>
  <c r="K160" i="73"/>
  <c r="I160" i="73"/>
  <c r="G160" i="73"/>
  <c r="E160" i="73"/>
  <c r="C160" i="73"/>
  <c r="S159" i="73"/>
  <c r="R159" i="73"/>
  <c r="Q159" i="73"/>
  <c r="O159" i="73"/>
  <c r="M159" i="73"/>
  <c r="K159" i="73"/>
  <c r="I159" i="73"/>
  <c r="G159" i="73"/>
  <c r="E159" i="73"/>
  <c r="C159" i="73"/>
  <c r="S158" i="73"/>
  <c r="R158" i="73"/>
  <c r="Q158" i="73"/>
  <c r="O158" i="73"/>
  <c r="M158" i="73"/>
  <c r="K158" i="73"/>
  <c r="I158" i="73"/>
  <c r="G158" i="73"/>
  <c r="E158" i="73"/>
  <c r="C158" i="73"/>
  <c r="S157" i="73"/>
  <c r="R157" i="73"/>
  <c r="Q157" i="73"/>
  <c r="O157" i="73"/>
  <c r="M157" i="73"/>
  <c r="K157" i="73"/>
  <c r="I157" i="73"/>
  <c r="G157" i="73"/>
  <c r="E157" i="73"/>
  <c r="C157" i="73"/>
  <c r="S156" i="73"/>
  <c r="R156" i="73"/>
  <c r="Q156" i="73"/>
  <c r="O156" i="73"/>
  <c r="M156" i="73"/>
  <c r="K156" i="73"/>
  <c r="I156" i="73"/>
  <c r="G156" i="73"/>
  <c r="E156" i="73"/>
  <c r="C156" i="73"/>
  <c r="S155" i="73"/>
  <c r="R155" i="73"/>
  <c r="Q155" i="73"/>
  <c r="O155" i="73"/>
  <c r="M155" i="73"/>
  <c r="K155" i="73"/>
  <c r="I155" i="73"/>
  <c r="G155" i="73"/>
  <c r="E155" i="73"/>
  <c r="C155" i="73"/>
  <c r="S154" i="73"/>
  <c r="R154" i="73"/>
  <c r="Q154" i="73"/>
  <c r="O154" i="73"/>
  <c r="M154" i="73"/>
  <c r="K154" i="73"/>
  <c r="I154" i="73"/>
  <c r="G154" i="73"/>
  <c r="E154" i="73"/>
  <c r="C154" i="73"/>
  <c r="S153" i="73"/>
  <c r="R153" i="73"/>
  <c r="Q153" i="73"/>
  <c r="O153" i="73"/>
  <c r="M153" i="73"/>
  <c r="K153" i="73"/>
  <c r="I153" i="73"/>
  <c r="G153" i="73"/>
  <c r="E153" i="73"/>
  <c r="C153" i="73"/>
  <c r="S152" i="73"/>
  <c r="R152" i="73"/>
  <c r="Q152" i="73"/>
  <c r="O152" i="73"/>
  <c r="M152" i="73"/>
  <c r="K152" i="73"/>
  <c r="I152" i="73"/>
  <c r="G152" i="73"/>
  <c r="E152" i="73"/>
  <c r="C152" i="73"/>
  <c r="S151" i="73"/>
  <c r="R151" i="73"/>
  <c r="Q151" i="73"/>
  <c r="O151" i="73"/>
  <c r="M151" i="73"/>
  <c r="K151" i="73"/>
  <c r="I151" i="73"/>
  <c r="G151" i="73"/>
  <c r="E151" i="73"/>
  <c r="C151" i="73"/>
  <c r="S150" i="73"/>
  <c r="R150" i="73"/>
  <c r="Q150" i="73"/>
  <c r="O150" i="73"/>
  <c r="M150" i="73"/>
  <c r="K150" i="73"/>
  <c r="I150" i="73"/>
  <c r="G150" i="73"/>
  <c r="E150" i="73"/>
  <c r="C150" i="73"/>
  <c r="S149" i="73"/>
  <c r="R149" i="73"/>
  <c r="Q149" i="73"/>
  <c r="O149" i="73"/>
  <c r="M149" i="73"/>
  <c r="K149" i="73"/>
  <c r="I149" i="73"/>
  <c r="G149" i="73"/>
  <c r="E149" i="73"/>
  <c r="C149" i="73"/>
  <c r="S148" i="73"/>
  <c r="R148" i="73"/>
  <c r="Q148" i="73"/>
  <c r="O148" i="73"/>
  <c r="M148" i="73"/>
  <c r="K148" i="73"/>
  <c r="I148" i="73"/>
  <c r="G148" i="73"/>
  <c r="E148" i="73"/>
  <c r="C148" i="73"/>
  <c r="S147" i="73"/>
  <c r="R147" i="73"/>
  <c r="Q147" i="73"/>
  <c r="O147" i="73"/>
  <c r="M147" i="73"/>
  <c r="K147" i="73"/>
  <c r="I147" i="73"/>
  <c r="G147" i="73"/>
  <c r="E147" i="73"/>
  <c r="C147" i="73"/>
  <c r="S146" i="73"/>
  <c r="R146" i="73"/>
  <c r="Q146" i="73"/>
  <c r="O146" i="73"/>
  <c r="M146" i="73"/>
  <c r="K146" i="73"/>
  <c r="I146" i="73"/>
  <c r="G146" i="73"/>
  <c r="E146" i="73"/>
  <c r="C146" i="73"/>
  <c r="S145" i="73"/>
  <c r="R145" i="73"/>
  <c r="Q145" i="73"/>
  <c r="O145" i="73"/>
  <c r="M145" i="73"/>
  <c r="K145" i="73"/>
  <c r="I145" i="73"/>
  <c r="G145" i="73"/>
  <c r="E145" i="73"/>
  <c r="C145" i="73"/>
  <c r="S144" i="73"/>
  <c r="R144" i="73"/>
  <c r="Q144" i="73"/>
  <c r="O144" i="73"/>
  <c r="M144" i="73"/>
  <c r="K144" i="73"/>
  <c r="I144" i="73"/>
  <c r="G144" i="73"/>
  <c r="E144" i="73"/>
  <c r="C144" i="73"/>
  <c r="S143" i="73"/>
  <c r="R143" i="73"/>
  <c r="Q143" i="73"/>
  <c r="O143" i="73"/>
  <c r="M143" i="73"/>
  <c r="K143" i="73"/>
  <c r="I143" i="73"/>
  <c r="G143" i="73"/>
  <c r="E143" i="73"/>
  <c r="C143" i="73"/>
  <c r="S142" i="73"/>
  <c r="R142" i="73"/>
  <c r="Q142" i="73"/>
  <c r="O142" i="73"/>
  <c r="M142" i="73"/>
  <c r="K142" i="73"/>
  <c r="I142" i="73"/>
  <c r="G142" i="73"/>
  <c r="E142" i="73"/>
  <c r="C142" i="73"/>
  <c r="S141" i="73"/>
  <c r="R141" i="73"/>
  <c r="Q141" i="73"/>
  <c r="O141" i="73"/>
  <c r="M141" i="73"/>
  <c r="K141" i="73"/>
  <c r="I141" i="73"/>
  <c r="G141" i="73"/>
  <c r="E141" i="73"/>
  <c r="C141" i="73"/>
  <c r="S140" i="73"/>
  <c r="R140" i="73"/>
  <c r="Q140" i="73"/>
  <c r="O140" i="73"/>
  <c r="M140" i="73"/>
  <c r="K140" i="73"/>
  <c r="I140" i="73"/>
  <c r="G140" i="73"/>
  <c r="E140" i="73"/>
  <c r="C140" i="73"/>
  <c r="S139" i="73"/>
  <c r="R139" i="73"/>
  <c r="Q139" i="73"/>
  <c r="O139" i="73"/>
  <c r="M139" i="73"/>
  <c r="K139" i="73"/>
  <c r="I139" i="73"/>
  <c r="G139" i="73"/>
  <c r="E139" i="73"/>
  <c r="C139" i="73"/>
  <c r="S138" i="73"/>
  <c r="R138" i="73"/>
  <c r="Q138" i="73"/>
  <c r="O138" i="73"/>
  <c r="M138" i="73"/>
  <c r="K138" i="73"/>
  <c r="I138" i="73"/>
  <c r="G138" i="73"/>
  <c r="E138" i="73"/>
  <c r="C138" i="73"/>
  <c r="S137" i="73"/>
  <c r="R137" i="73"/>
  <c r="Q137" i="73"/>
  <c r="O137" i="73"/>
  <c r="M137" i="73"/>
  <c r="K137" i="73"/>
  <c r="I137" i="73"/>
  <c r="G137" i="73"/>
  <c r="E137" i="73"/>
  <c r="C137" i="73"/>
  <c r="S136" i="73"/>
  <c r="R136" i="73"/>
  <c r="Q136" i="73"/>
  <c r="O136" i="73"/>
  <c r="M136" i="73"/>
  <c r="K136" i="73"/>
  <c r="I136" i="73"/>
  <c r="G136" i="73"/>
  <c r="E136" i="73"/>
  <c r="C136" i="73"/>
  <c r="S135" i="73"/>
  <c r="R135" i="73"/>
  <c r="Q135" i="73"/>
  <c r="O135" i="73"/>
  <c r="M135" i="73"/>
  <c r="K135" i="73"/>
  <c r="I135" i="73"/>
  <c r="G135" i="73"/>
  <c r="E135" i="73"/>
  <c r="C135" i="73"/>
  <c r="S134" i="73"/>
  <c r="R134" i="73"/>
  <c r="Q134" i="73"/>
  <c r="O134" i="73"/>
  <c r="M134" i="73"/>
  <c r="K134" i="73"/>
  <c r="I134" i="73"/>
  <c r="G134" i="73"/>
  <c r="E134" i="73"/>
  <c r="C134" i="73"/>
  <c r="S133" i="73"/>
  <c r="R133" i="73"/>
  <c r="Q133" i="73"/>
  <c r="O133" i="73"/>
  <c r="M133" i="73"/>
  <c r="K133" i="73"/>
  <c r="I133" i="73"/>
  <c r="G133" i="73"/>
  <c r="E133" i="73"/>
  <c r="C133" i="73"/>
  <c r="S132" i="73"/>
  <c r="R132" i="73"/>
  <c r="Q132" i="73"/>
  <c r="O132" i="73"/>
  <c r="M132" i="73"/>
  <c r="K132" i="73"/>
  <c r="I132" i="73"/>
  <c r="G132" i="73"/>
  <c r="E132" i="73"/>
  <c r="C132" i="73"/>
  <c r="S131" i="73"/>
  <c r="R131" i="73"/>
  <c r="Q131" i="73"/>
  <c r="O131" i="73"/>
  <c r="M131" i="73"/>
  <c r="K131" i="73"/>
  <c r="I131" i="73"/>
  <c r="G131" i="73"/>
  <c r="E131" i="73"/>
  <c r="C131" i="73"/>
  <c r="S130" i="73"/>
  <c r="R130" i="73"/>
  <c r="Q130" i="73"/>
  <c r="O130" i="73"/>
  <c r="M130" i="73"/>
  <c r="K130" i="73"/>
  <c r="I130" i="73"/>
  <c r="G130" i="73"/>
  <c r="E130" i="73"/>
  <c r="C130" i="73"/>
  <c r="S129" i="73"/>
  <c r="R129" i="73"/>
  <c r="Q129" i="73"/>
  <c r="O129" i="73"/>
  <c r="M129" i="73"/>
  <c r="K129" i="73"/>
  <c r="I129" i="73"/>
  <c r="G129" i="73"/>
  <c r="E129" i="73"/>
  <c r="C129" i="73"/>
  <c r="S128" i="73"/>
  <c r="R128" i="73"/>
  <c r="Q128" i="73"/>
  <c r="O128" i="73"/>
  <c r="M128" i="73"/>
  <c r="K128" i="73"/>
  <c r="I128" i="73"/>
  <c r="G128" i="73"/>
  <c r="E128" i="73"/>
  <c r="C128" i="73"/>
  <c r="S127" i="73"/>
  <c r="R127" i="73"/>
  <c r="Q127" i="73"/>
  <c r="O127" i="73"/>
  <c r="M127" i="73"/>
  <c r="K127" i="73"/>
  <c r="I127" i="73"/>
  <c r="G127" i="73"/>
  <c r="E127" i="73"/>
  <c r="C127" i="73"/>
  <c r="S126" i="73"/>
  <c r="R126" i="73"/>
  <c r="Q126" i="73"/>
  <c r="O126" i="73"/>
  <c r="M126" i="73"/>
  <c r="K126" i="73"/>
  <c r="I126" i="73"/>
  <c r="G126" i="73"/>
  <c r="E126" i="73"/>
  <c r="C126" i="73"/>
  <c r="S125" i="73"/>
  <c r="R125" i="73"/>
  <c r="Q125" i="73"/>
  <c r="O125" i="73"/>
  <c r="M125" i="73"/>
  <c r="K125" i="73"/>
  <c r="I125" i="73"/>
  <c r="G125" i="73"/>
  <c r="E125" i="73"/>
  <c r="C125" i="73"/>
  <c r="S124" i="73"/>
  <c r="R124" i="73"/>
  <c r="Q124" i="73"/>
  <c r="O124" i="73"/>
  <c r="M124" i="73"/>
  <c r="K124" i="73"/>
  <c r="I124" i="73"/>
  <c r="G124" i="73"/>
  <c r="E124" i="73"/>
  <c r="C124" i="73"/>
  <c r="S123" i="73"/>
  <c r="R123" i="73"/>
  <c r="Q123" i="73"/>
  <c r="O123" i="73"/>
  <c r="M123" i="73"/>
  <c r="K123" i="73"/>
  <c r="I123" i="73"/>
  <c r="G123" i="73"/>
  <c r="E123" i="73"/>
  <c r="C123" i="73"/>
  <c r="S122" i="73"/>
  <c r="R122" i="73"/>
  <c r="Q122" i="73"/>
  <c r="O122" i="73"/>
  <c r="M122" i="73"/>
  <c r="K122" i="73"/>
  <c r="I122" i="73"/>
  <c r="G122" i="73"/>
  <c r="E122" i="73"/>
  <c r="C122" i="73"/>
  <c r="S121" i="73"/>
  <c r="R121" i="73"/>
  <c r="Q121" i="73"/>
  <c r="O121" i="73"/>
  <c r="M121" i="73"/>
  <c r="K121" i="73"/>
  <c r="I121" i="73"/>
  <c r="G121" i="73"/>
  <c r="E121" i="73"/>
  <c r="C121" i="73"/>
  <c r="S120" i="73"/>
  <c r="R120" i="73"/>
  <c r="Q120" i="73"/>
  <c r="O120" i="73"/>
  <c r="M120" i="73"/>
  <c r="K120" i="73"/>
  <c r="I120" i="73"/>
  <c r="G120" i="73"/>
  <c r="E120" i="73"/>
  <c r="C120" i="73"/>
  <c r="S119" i="73"/>
  <c r="R119" i="73"/>
  <c r="Q119" i="73"/>
  <c r="O119" i="73"/>
  <c r="M119" i="73"/>
  <c r="K119" i="73"/>
  <c r="I119" i="73"/>
  <c r="G119" i="73"/>
  <c r="E119" i="73"/>
  <c r="C119" i="73"/>
  <c r="S118" i="73"/>
  <c r="R118" i="73"/>
  <c r="Q118" i="73"/>
  <c r="O118" i="73"/>
  <c r="M118" i="73"/>
  <c r="K118" i="73"/>
  <c r="I118" i="73"/>
  <c r="G118" i="73"/>
  <c r="E118" i="73"/>
  <c r="C118" i="73"/>
  <c r="S117" i="73"/>
  <c r="R117" i="73"/>
  <c r="Q117" i="73"/>
  <c r="O117" i="73"/>
  <c r="M117" i="73"/>
  <c r="K117" i="73"/>
  <c r="I117" i="73"/>
  <c r="G117" i="73"/>
  <c r="E117" i="73"/>
  <c r="C117" i="73"/>
  <c r="S116" i="73"/>
  <c r="R116" i="73"/>
  <c r="Q116" i="73"/>
  <c r="O116" i="73"/>
  <c r="M116" i="73"/>
  <c r="K116" i="73"/>
  <c r="I116" i="73"/>
  <c r="G116" i="73"/>
  <c r="E116" i="73"/>
  <c r="C116" i="73"/>
  <c r="S115" i="73"/>
  <c r="R115" i="73"/>
  <c r="Q115" i="73"/>
  <c r="O115" i="73"/>
  <c r="M115" i="73"/>
  <c r="K115" i="73"/>
  <c r="I115" i="73"/>
  <c r="G115" i="73"/>
  <c r="E115" i="73"/>
  <c r="C115" i="73"/>
  <c r="S114" i="73"/>
  <c r="R114" i="73"/>
  <c r="Q114" i="73"/>
  <c r="O114" i="73"/>
  <c r="M114" i="73"/>
  <c r="K114" i="73"/>
  <c r="I114" i="73"/>
  <c r="G114" i="73"/>
  <c r="E114" i="73"/>
  <c r="C114" i="73"/>
  <c r="S113" i="73"/>
  <c r="R113" i="73"/>
  <c r="Q113" i="73"/>
  <c r="O113" i="73"/>
  <c r="M113" i="73"/>
  <c r="K113" i="73"/>
  <c r="I113" i="73"/>
  <c r="G113" i="73"/>
  <c r="E113" i="73"/>
  <c r="C113" i="73"/>
  <c r="S112" i="73"/>
  <c r="R112" i="73"/>
  <c r="Q112" i="73"/>
  <c r="O112" i="73"/>
  <c r="M112" i="73"/>
  <c r="K112" i="73"/>
  <c r="I112" i="73"/>
  <c r="G112" i="73"/>
  <c r="E112" i="73"/>
  <c r="C112" i="73"/>
  <c r="S111" i="73"/>
  <c r="R111" i="73"/>
  <c r="Q111" i="73"/>
  <c r="O111" i="73"/>
  <c r="M111" i="73"/>
  <c r="K111" i="73"/>
  <c r="I111" i="73"/>
  <c r="G111" i="73"/>
  <c r="E111" i="73"/>
  <c r="C111" i="73"/>
  <c r="S110" i="73"/>
  <c r="R110" i="73"/>
  <c r="Q110" i="73"/>
  <c r="O110" i="73"/>
  <c r="M110" i="73"/>
  <c r="K110" i="73"/>
  <c r="I110" i="73"/>
  <c r="G110" i="73"/>
  <c r="E110" i="73"/>
  <c r="C110" i="73"/>
  <c r="S109" i="73"/>
  <c r="R109" i="73"/>
  <c r="Q109" i="73"/>
  <c r="O109" i="73"/>
  <c r="M109" i="73"/>
  <c r="K109" i="73"/>
  <c r="I109" i="73"/>
  <c r="G109" i="73"/>
  <c r="E109" i="73"/>
  <c r="C109" i="73"/>
  <c r="S108" i="73"/>
  <c r="R108" i="73"/>
  <c r="Q108" i="73"/>
  <c r="O108" i="73"/>
  <c r="M108" i="73"/>
  <c r="K108" i="73"/>
  <c r="I108" i="73"/>
  <c r="G108" i="73"/>
  <c r="E108" i="73"/>
  <c r="C108" i="73"/>
  <c r="S107" i="73"/>
  <c r="R107" i="73"/>
  <c r="Q107" i="73"/>
  <c r="O107" i="73"/>
  <c r="M107" i="73"/>
  <c r="K107" i="73"/>
  <c r="I107" i="73"/>
  <c r="G107" i="73"/>
  <c r="E107" i="73"/>
  <c r="C107" i="73"/>
  <c r="S106" i="73"/>
  <c r="R106" i="73"/>
  <c r="Q106" i="73"/>
  <c r="O106" i="73"/>
  <c r="M106" i="73"/>
  <c r="K106" i="73"/>
  <c r="I106" i="73"/>
  <c r="G106" i="73"/>
  <c r="E106" i="73"/>
  <c r="C106" i="73"/>
  <c r="S105" i="73"/>
  <c r="R105" i="73"/>
  <c r="Q105" i="73"/>
  <c r="O105" i="73"/>
  <c r="M105" i="73"/>
  <c r="K105" i="73"/>
  <c r="I105" i="73"/>
  <c r="G105" i="73"/>
  <c r="E105" i="73"/>
  <c r="C105" i="73"/>
  <c r="S104" i="73"/>
  <c r="R104" i="73"/>
  <c r="Q104" i="73"/>
  <c r="O104" i="73"/>
  <c r="M104" i="73"/>
  <c r="K104" i="73"/>
  <c r="I104" i="73"/>
  <c r="G104" i="73"/>
  <c r="E104" i="73"/>
  <c r="C104" i="73"/>
  <c r="S103" i="73"/>
  <c r="R103" i="73"/>
  <c r="Q103" i="73"/>
  <c r="O103" i="73"/>
  <c r="M103" i="73"/>
  <c r="K103" i="73"/>
  <c r="I103" i="73"/>
  <c r="G103" i="73"/>
  <c r="E103" i="73"/>
  <c r="C103" i="73"/>
  <c r="S102" i="73"/>
  <c r="R102" i="73"/>
  <c r="Q102" i="73"/>
  <c r="O102" i="73"/>
  <c r="M102" i="73"/>
  <c r="K102" i="73"/>
  <c r="I102" i="73"/>
  <c r="G102" i="73"/>
  <c r="E102" i="73"/>
  <c r="C102" i="73"/>
  <c r="S101" i="73"/>
  <c r="R101" i="73"/>
  <c r="Q101" i="73"/>
  <c r="O101" i="73"/>
  <c r="M101" i="73"/>
  <c r="K101" i="73"/>
  <c r="I101" i="73"/>
  <c r="G101" i="73"/>
  <c r="E101" i="73"/>
  <c r="C101" i="73"/>
  <c r="S100" i="73"/>
  <c r="R100" i="73"/>
  <c r="Q100" i="73"/>
  <c r="O100" i="73"/>
  <c r="M100" i="73"/>
  <c r="K100" i="73"/>
  <c r="I100" i="73"/>
  <c r="G100" i="73"/>
  <c r="E100" i="73"/>
  <c r="C100" i="73"/>
  <c r="S99" i="73"/>
  <c r="R99" i="73"/>
  <c r="Q99" i="73"/>
  <c r="O99" i="73"/>
  <c r="M99" i="73"/>
  <c r="K99" i="73"/>
  <c r="I99" i="73"/>
  <c r="G99" i="73"/>
  <c r="E99" i="73"/>
  <c r="C99" i="73"/>
  <c r="S98" i="73"/>
  <c r="R98" i="73"/>
  <c r="Q98" i="73"/>
  <c r="O98" i="73"/>
  <c r="M98" i="73"/>
  <c r="K98" i="73"/>
  <c r="I98" i="73"/>
  <c r="G98" i="73"/>
  <c r="E98" i="73"/>
  <c r="C98" i="73"/>
  <c r="S97" i="73"/>
  <c r="R97" i="73"/>
  <c r="Q97" i="73"/>
  <c r="O97" i="73"/>
  <c r="M97" i="73"/>
  <c r="K97" i="73"/>
  <c r="I97" i="73"/>
  <c r="G97" i="73"/>
  <c r="E97" i="73"/>
  <c r="C97" i="73"/>
  <c r="S96" i="73"/>
  <c r="R96" i="73"/>
  <c r="Q96" i="73"/>
  <c r="O96" i="73"/>
  <c r="M96" i="73"/>
  <c r="K96" i="73"/>
  <c r="I96" i="73"/>
  <c r="G96" i="73"/>
  <c r="E96" i="73"/>
  <c r="C96" i="73"/>
  <c r="S95" i="73"/>
  <c r="R95" i="73"/>
  <c r="Q95" i="73"/>
  <c r="O95" i="73"/>
  <c r="M95" i="73"/>
  <c r="K95" i="73"/>
  <c r="I95" i="73"/>
  <c r="G95" i="73"/>
  <c r="E95" i="73"/>
  <c r="C95" i="73"/>
  <c r="S94" i="73"/>
  <c r="R94" i="73"/>
  <c r="Q94" i="73"/>
  <c r="O94" i="73"/>
  <c r="M94" i="73"/>
  <c r="K94" i="73"/>
  <c r="I94" i="73"/>
  <c r="G94" i="73"/>
  <c r="E94" i="73"/>
  <c r="C94" i="73"/>
  <c r="S93" i="73"/>
  <c r="R93" i="73"/>
  <c r="Q93" i="73"/>
  <c r="O93" i="73"/>
  <c r="M93" i="73"/>
  <c r="K93" i="73"/>
  <c r="I93" i="73"/>
  <c r="G93" i="73"/>
  <c r="E93" i="73"/>
  <c r="C93" i="73"/>
  <c r="S92" i="73"/>
  <c r="R92" i="73"/>
  <c r="Q92" i="73"/>
  <c r="O92" i="73"/>
  <c r="M92" i="73"/>
  <c r="K92" i="73"/>
  <c r="I92" i="73"/>
  <c r="G92" i="73"/>
  <c r="E92" i="73"/>
  <c r="C92" i="73"/>
  <c r="S91" i="73"/>
  <c r="R91" i="73"/>
  <c r="Q91" i="73"/>
  <c r="O91" i="73"/>
  <c r="M91" i="73"/>
  <c r="K91" i="73"/>
  <c r="I91" i="73"/>
  <c r="G91" i="73"/>
  <c r="E91" i="73"/>
  <c r="C91" i="73"/>
  <c r="S90" i="73"/>
  <c r="R90" i="73"/>
  <c r="Q90" i="73"/>
  <c r="O90" i="73"/>
  <c r="M90" i="73"/>
  <c r="K90" i="73"/>
  <c r="I90" i="73"/>
  <c r="G90" i="73"/>
  <c r="E90" i="73"/>
  <c r="C90" i="73"/>
  <c r="S89" i="73"/>
  <c r="R89" i="73"/>
  <c r="Q89" i="73"/>
  <c r="O89" i="73"/>
  <c r="M89" i="73"/>
  <c r="K89" i="73"/>
  <c r="I89" i="73"/>
  <c r="G89" i="73"/>
  <c r="E89" i="73"/>
  <c r="C89" i="73"/>
  <c r="S88" i="73"/>
  <c r="R88" i="73"/>
  <c r="Q88" i="73"/>
  <c r="O88" i="73"/>
  <c r="M88" i="73"/>
  <c r="K88" i="73"/>
  <c r="I88" i="73"/>
  <c r="G88" i="73"/>
  <c r="E88" i="73"/>
  <c r="C88" i="73"/>
  <c r="S87" i="73"/>
  <c r="R87" i="73"/>
  <c r="Q87" i="73"/>
  <c r="O87" i="73"/>
  <c r="M87" i="73"/>
  <c r="K87" i="73"/>
  <c r="I87" i="73"/>
  <c r="G87" i="73"/>
  <c r="E87" i="73"/>
  <c r="C87" i="73"/>
  <c r="S86" i="73"/>
  <c r="R86" i="73"/>
  <c r="Q86" i="73"/>
  <c r="O86" i="73"/>
  <c r="M86" i="73"/>
  <c r="K86" i="73"/>
  <c r="I86" i="73"/>
  <c r="G86" i="73"/>
  <c r="E86" i="73"/>
  <c r="C86" i="73"/>
  <c r="S85" i="73"/>
  <c r="R85" i="73"/>
  <c r="Q85" i="73"/>
  <c r="O85" i="73"/>
  <c r="M85" i="73"/>
  <c r="K85" i="73"/>
  <c r="I85" i="73"/>
  <c r="G85" i="73"/>
  <c r="E85" i="73"/>
  <c r="C85" i="73"/>
  <c r="S84" i="73"/>
  <c r="R84" i="73"/>
  <c r="Q84" i="73"/>
  <c r="O84" i="73"/>
  <c r="M84" i="73"/>
  <c r="K84" i="73"/>
  <c r="I84" i="73"/>
  <c r="G84" i="73"/>
  <c r="E84" i="73"/>
  <c r="C84" i="73"/>
  <c r="S83" i="73"/>
  <c r="R83" i="73"/>
  <c r="Q83" i="73"/>
  <c r="O83" i="73"/>
  <c r="M83" i="73"/>
  <c r="K83" i="73"/>
  <c r="I83" i="73"/>
  <c r="G83" i="73"/>
  <c r="E83" i="73"/>
  <c r="C83" i="73"/>
  <c r="S82" i="73"/>
  <c r="R82" i="73"/>
  <c r="Q82" i="73"/>
  <c r="O82" i="73"/>
  <c r="M82" i="73"/>
  <c r="K82" i="73"/>
  <c r="I82" i="73"/>
  <c r="G82" i="73"/>
  <c r="E82" i="73"/>
  <c r="C82" i="73"/>
  <c r="S81" i="73"/>
  <c r="R81" i="73"/>
  <c r="Q81" i="73"/>
  <c r="O81" i="73"/>
  <c r="M81" i="73"/>
  <c r="K81" i="73"/>
  <c r="I81" i="73"/>
  <c r="G81" i="73"/>
  <c r="E81" i="73"/>
  <c r="C81" i="73"/>
  <c r="S80" i="73"/>
  <c r="R80" i="73"/>
  <c r="Q80" i="73"/>
  <c r="O80" i="73"/>
  <c r="M80" i="73"/>
  <c r="K80" i="73"/>
  <c r="I80" i="73"/>
  <c r="G80" i="73"/>
  <c r="E80" i="73"/>
  <c r="C80" i="73"/>
  <c r="S79" i="73"/>
  <c r="R79" i="73"/>
  <c r="Q79" i="73"/>
  <c r="O79" i="73"/>
  <c r="M79" i="73"/>
  <c r="K79" i="73"/>
  <c r="I79" i="73"/>
  <c r="G79" i="73"/>
  <c r="E79" i="73"/>
  <c r="C79" i="73"/>
  <c r="S78" i="73"/>
  <c r="R78" i="73"/>
  <c r="Q78" i="73"/>
  <c r="O78" i="73"/>
  <c r="M78" i="73"/>
  <c r="K78" i="73"/>
  <c r="I78" i="73"/>
  <c r="G78" i="73"/>
  <c r="E78" i="73"/>
  <c r="C78" i="73"/>
  <c r="S77" i="73"/>
  <c r="R77" i="73"/>
  <c r="Q77" i="73"/>
  <c r="O77" i="73"/>
  <c r="M77" i="73"/>
  <c r="K77" i="73"/>
  <c r="I77" i="73"/>
  <c r="G77" i="73"/>
  <c r="E77" i="73"/>
  <c r="C77" i="73"/>
  <c r="S76" i="73"/>
  <c r="R76" i="73"/>
  <c r="Q76" i="73"/>
  <c r="O76" i="73"/>
  <c r="M76" i="73"/>
  <c r="K76" i="73"/>
  <c r="I76" i="73"/>
  <c r="G76" i="73"/>
  <c r="E76" i="73"/>
  <c r="C76" i="73"/>
  <c r="S75" i="73"/>
  <c r="R75" i="73"/>
  <c r="Q75" i="73"/>
  <c r="O75" i="73"/>
  <c r="M75" i="73"/>
  <c r="K75" i="73"/>
  <c r="I75" i="73"/>
  <c r="G75" i="73"/>
  <c r="E75" i="73"/>
  <c r="C75" i="73"/>
  <c r="S74" i="73"/>
  <c r="R74" i="73"/>
  <c r="Q74" i="73"/>
  <c r="O74" i="73"/>
  <c r="M74" i="73"/>
  <c r="K74" i="73"/>
  <c r="I74" i="73"/>
  <c r="G74" i="73"/>
  <c r="E74" i="73"/>
  <c r="C74" i="73"/>
  <c r="S73" i="73"/>
  <c r="R73" i="73"/>
  <c r="Q73" i="73"/>
  <c r="O73" i="73"/>
  <c r="M73" i="73"/>
  <c r="K73" i="73"/>
  <c r="I73" i="73"/>
  <c r="G73" i="73"/>
  <c r="E73" i="73"/>
  <c r="C73" i="73"/>
  <c r="S72" i="73"/>
  <c r="R72" i="73"/>
  <c r="Q72" i="73"/>
  <c r="O72" i="73"/>
  <c r="M72" i="73"/>
  <c r="K72" i="73"/>
  <c r="I72" i="73"/>
  <c r="G72" i="73"/>
  <c r="E72" i="73"/>
  <c r="C72" i="73"/>
  <c r="S71" i="73"/>
  <c r="R71" i="73"/>
  <c r="Q71" i="73"/>
  <c r="O71" i="73"/>
  <c r="M71" i="73"/>
  <c r="K71" i="73"/>
  <c r="I71" i="73"/>
  <c r="G71" i="73"/>
  <c r="E71" i="73"/>
  <c r="C71" i="73"/>
  <c r="S70" i="73"/>
  <c r="R70" i="73"/>
  <c r="Q70" i="73"/>
  <c r="O70" i="73"/>
  <c r="M70" i="73"/>
  <c r="K70" i="73"/>
  <c r="I70" i="73"/>
  <c r="G70" i="73"/>
  <c r="E70" i="73"/>
  <c r="C70" i="73"/>
  <c r="S69" i="73"/>
  <c r="R69" i="73"/>
  <c r="Q69" i="73"/>
  <c r="O69" i="73"/>
  <c r="M69" i="73"/>
  <c r="K69" i="73"/>
  <c r="I69" i="73"/>
  <c r="G69" i="73"/>
  <c r="E69" i="73"/>
  <c r="C69" i="73"/>
  <c r="S68" i="73"/>
  <c r="R68" i="73"/>
  <c r="Q68" i="73"/>
  <c r="O68" i="73"/>
  <c r="M68" i="73"/>
  <c r="K68" i="73"/>
  <c r="I68" i="73"/>
  <c r="G68" i="73"/>
  <c r="E68" i="73"/>
  <c r="C68" i="73"/>
  <c r="S67" i="73"/>
  <c r="R67" i="73"/>
  <c r="Q67" i="73"/>
  <c r="O67" i="73"/>
  <c r="M67" i="73"/>
  <c r="K67" i="73"/>
  <c r="I67" i="73"/>
  <c r="G67" i="73"/>
  <c r="E67" i="73"/>
  <c r="C67" i="73"/>
  <c r="S66" i="73"/>
  <c r="R66" i="73"/>
  <c r="Q66" i="73"/>
  <c r="O66" i="73"/>
  <c r="M66" i="73"/>
  <c r="K66" i="73"/>
  <c r="I66" i="73"/>
  <c r="G66" i="73"/>
  <c r="E66" i="73"/>
  <c r="C66" i="73"/>
  <c r="S65" i="73"/>
  <c r="R65" i="73"/>
  <c r="Q65" i="73"/>
  <c r="O65" i="73"/>
  <c r="M65" i="73"/>
  <c r="K65" i="73"/>
  <c r="I65" i="73"/>
  <c r="G65" i="73"/>
  <c r="E65" i="73"/>
  <c r="C65" i="73"/>
  <c r="S64" i="73"/>
  <c r="R64" i="73"/>
  <c r="Q64" i="73"/>
  <c r="O64" i="73"/>
  <c r="M64" i="73"/>
  <c r="K64" i="73"/>
  <c r="I64" i="73"/>
  <c r="G64" i="73"/>
  <c r="E64" i="73"/>
  <c r="C64" i="73"/>
  <c r="S63" i="73"/>
  <c r="R63" i="73"/>
  <c r="Q63" i="73"/>
  <c r="O63" i="73"/>
  <c r="M63" i="73"/>
  <c r="K63" i="73"/>
  <c r="I63" i="73"/>
  <c r="G63" i="73"/>
  <c r="E63" i="73"/>
  <c r="C63" i="73"/>
  <c r="S62" i="73"/>
  <c r="R62" i="73"/>
  <c r="Q62" i="73"/>
  <c r="O62" i="73"/>
  <c r="M62" i="73"/>
  <c r="K62" i="73"/>
  <c r="I62" i="73"/>
  <c r="G62" i="73"/>
  <c r="E62" i="73"/>
  <c r="C62" i="73"/>
  <c r="S61" i="73"/>
  <c r="R61" i="73"/>
  <c r="Q61" i="73"/>
  <c r="O61" i="73"/>
  <c r="M61" i="73"/>
  <c r="K61" i="73"/>
  <c r="I61" i="73"/>
  <c r="G61" i="73"/>
  <c r="E61" i="73"/>
  <c r="C61" i="73"/>
  <c r="S60" i="73"/>
  <c r="R60" i="73"/>
  <c r="Q60" i="73"/>
  <c r="O60" i="73"/>
  <c r="M60" i="73"/>
  <c r="K60" i="73"/>
  <c r="I60" i="73"/>
  <c r="G60" i="73"/>
  <c r="E60" i="73"/>
  <c r="C60" i="73"/>
  <c r="S59" i="73"/>
  <c r="R59" i="73"/>
  <c r="Q59" i="73"/>
  <c r="O59" i="73"/>
  <c r="M59" i="73"/>
  <c r="K59" i="73"/>
  <c r="I59" i="73"/>
  <c r="G59" i="73"/>
  <c r="E59" i="73"/>
  <c r="C59" i="73"/>
  <c r="S58" i="73"/>
  <c r="R58" i="73"/>
  <c r="Q58" i="73"/>
  <c r="O58" i="73"/>
  <c r="M58" i="73"/>
  <c r="K58" i="73"/>
  <c r="I58" i="73"/>
  <c r="G58" i="73"/>
  <c r="E58" i="73"/>
  <c r="C58" i="73"/>
  <c r="S57" i="73"/>
  <c r="R57" i="73"/>
  <c r="Q57" i="73"/>
  <c r="O57" i="73"/>
  <c r="M57" i="73"/>
  <c r="K57" i="73"/>
  <c r="I57" i="73"/>
  <c r="G57" i="73"/>
  <c r="E57" i="73"/>
  <c r="C57" i="73"/>
  <c r="S56" i="73"/>
  <c r="R56" i="73"/>
  <c r="Q56" i="73"/>
  <c r="O56" i="73"/>
  <c r="M56" i="73"/>
  <c r="K56" i="73"/>
  <c r="I56" i="73"/>
  <c r="G56" i="73"/>
  <c r="E56" i="73"/>
  <c r="C56" i="73"/>
  <c r="S55" i="73"/>
  <c r="R55" i="73"/>
  <c r="Q55" i="73"/>
  <c r="O55" i="73"/>
  <c r="M55" i="73"/>
  <c r="K55" i="73"/>
  <c r="I55" i="73"/>
  <c r="G55" i="73"/>
  <c r="E55" i="73"/>
  <c r="C55" i="73"/>
  <c r="S54" i="73"/>
  <c r="R54" i="73"/>
  <c r="Q54" i="73"/>
  <c r="O54" i="73"/>
  <c r="M54" i="73"/>
  <c r="K54" i="73"/>
  <c r="I54" i="73"/>
  <c r="G54" i="73"/>
  <c r="E54" i="73"/>
  <c r="C54" i="73"/>
  <c r="S53" i="73"/>
  <c r="R53" i="73"/>
  <c r="Q53" i="73"/>
  <c r="O53" i="73"/>
  <c r="M53" i="73"/>
  <c r="K53" i="73"/>
  <c r="I53" i="73"/>
  <c r="G53" i="73"/>
  <c r="E53" i="73"/>
  <c r="C53" i="73"/>
  <c r="S52" i="73"/>
  <c r="R52" i="73"/>
  <c r="Q52" i="73"/>
  <c r="O52" i="73"/>
  <c r="M52" i="73"/>
  <c r="K52" i="73"/>
  <c r="I52" i="73"/>
  <c r="G52" i="73"/>
  <c r="E52" i="73"/>
  <c r="C52" i="73"/>
  <c r="S51" i="73"/>
  <c r="R51" i="73"/>
  <c r="Q51" i="73"/>
  <c r="O51" i="73"/>
  <c r="M51" i="73"/>
  <c r="K51" i="73"/>
  <c r="I51" i="73"/>
  <c r="G51" i="73"/>
  <c r="E51" i="73"/>
  <c r="C51" i="73"/>
  <c r="S50" i="73"/>
  <c r="R50" i="73"/>
  <c r="Q50" i="73"/>
  <c r="O50" i="73"/>
  <c r="M50" i="73"/>
  <c r="K50" i="73"/>
  <c r="I50" i="73"/>
  <c r="G50" i="73"/>
  <c r="E50" i="73"/>
  <c r="C50" i="73"/>
  <c r="S49" i="73"/>
  <c r="R49" i="73"/>
  <c r="Q49" i="73"/>
  <c r="O49" i="73"/>
  <c r="M49" i="73"/>
  <c r="K49" i="73"/>
  <c r="I49" i="73"/>
  <c r="G49" i="73"/>
  <c r="E49" i="73"/>
  <c r="C49" i="73"/>
  <c r="S48" i="73"/>
  <c r="R48" i="73"/>
  <c r="Q48" i="73"/>
  <c r="O48" i="73"/>
  <c r="M48" i="73"/>
  <c r="K48" i="73"/>
  <c r="I48" i="73"/>
  <c r="G48" i="73"/>
  <c r="E48" i="73"/>
  <c r="C48" i="73"/>
  <c r="S47" i="73"/>
  <c r="R47" i="73"/>
  <c r="Q47" i="73"/>
  <c r="O47" i="73"/>
  <c r="M47" i="73"/>
  <c r="K47" i="73"/>
  <c r="I47" i="73"/>
  <c r="G47" i="73"/>
  <c r="E47" i="73"/>
  <c r="C47" i="73"/>
  <c r="S46" i="73"/>
  <c r="R46" i="73"/>
  <c r="Q46" i="73"/>
  <c r="O46" i="73"/>
  <c r="M46" i="73"/>
  <c r="K46" i="73"/>
  <c r="I46" i="73"/>
  <c r="G46" i="73"/>
  <c r="E46" i="73"/>
  <c r="C46" i="73"/>
  <c r="S45" i="73"/>
  <c r="R45" i="73"/>
  <c r="Q45" i="73"/>
  <c r="O45" i="73"/>
  <c r="M45" i="73"/>
  <c r="K45" i="73"/>
  <c r="I45" i="73"/>
  <c r="G45" i="73"/>
  <c r="E45" i="73"/>
  <c r="C45" i="73"/>
  <c r="S44" i="73"/>
  <c r="R44" i="73"/>
  <c r="Q44" i="73"/>
  <c r="O44" i="73"/>
  <c r="M44" i="73"/>
  <c r="K44" i="73"/>
  <c r="I44" i="73"/>
  <c r="G44" i="73"/>
  <c r="E44" i="73"/>
  <c r="C44" i="73"/>
  <c r="S43" i="73"/>
  <c r="R43" i="73"/>
  <c r="Q43" i="73"/>
  <c r="O43" i="73"/>
  <c r="M43" i="73"/>
  <c r="K43" i="73"/>
  <c r="I43" i="73"/>
  <c r="G43" i="73"/>
  <c r="E43" i="73"/>
  <c r="C43" i="73"/>
  <c r="S42" i="73"/>
  <c r="R42" i="73"/>
  <c r="Q42" i="73"/>
  <c r="O42" i="73"/>
  <c r="M42" i="73"/>
  <c r="K42" i="73"/>
  <c r="I42" i="73"/>
  <c r="G42" i="73"/>
  <c r="E42" i="73"/>
  <c r="C42" i="73"/>
  <c r="S41" i="73"/>
  <c r="R41" i="73"/>
  <c r="Q41" i="73"/>
  <c r="O41" i="73"/>
  <c r="M41" i="73"/>
  <c r="K41" i="73"/>
  <c r="I41" i="73"/>
  <c r="G41" i="73"/>
  <c r="E41" i="73"/>
  <c r="C41" i="73"/>
  <c r="S40" i="73"/>
  <c r="R40" i="73"/>
  <c r="Q40" i="73"/>
  <c r="O40" i="73"/>
  <c r="M40" i="73"/>
  <c r="K40" i="73"/>
  <c r="I40" i="73"/>
  <c r="G40" i="73"/>
  <c r="E40" i="73"/>
  <c r="C40" i="73"/>
  <c r="S39" i="73"/>
  <c r="R39" i="73"/>
  <c r="Q39" i="73"/>
  <c r="O39" i="73"/>
  <c r="M39" i="73"/>
  <c r="K39" i="73"/>
  <c r="I39" i="73"/>
  <c r="G39" i="73"/>
  <c r="E39" i="73"/>
  <c r="C39" i="73"/>
  <c r="S38" i="73"/>
  <c r="R38" i="73"/>
  <c r="Q38" i="73"/>
  <c r="O38" i="73"/>
  <c r="M38" i="73"/>
  <c r="K38" i="73"/>
  <c r="I38" i="73"/>
  <c r="G38" i="73"/>
  <c r="E38" i="73"/>
  <c r="C38" i="73"/>
  <c r="S37" i="73"/>
  <c r="R37" i="73"/>
  <c r="Q37" i="73"/>
  <c r="O37" i="73"/>
  <c r="M37" i="73"/>
  <c r="K37" i="73"/>
  <c r="I37" i="73"/>
  <c r="G37" i="73"/>
  <c r="E37" i="73"/>
  <c r="C37" i="73"/>
  <c r="S36" i="73"/>
  <c r="R36" i="73"/>
  <c r="Q36" i="73"/>
  <c r="O36" i="73"/>
  <c r="M36" i="73"/>
  <c r="K36" i="73"/>
  <c r="I36" i="73"/>
  <c r="G36" i="73"/>
  <c r="E36" i="73"/>
  <c r="C36" i="73"/>
  <c r="S35" i="73"/>
  <c r="R35" i="73"/>
  <c r="Q35" i="73"/>
  <c r="O35" i="73"/>
  <c r="M35" i="73"/>
  <c r="K35" i="73"/>
  <c r="I35" i="73"/>
  <c r="G35" i="73"/>
  <c r="E35" i="73"/>
  <c r="C35" i="73"/>
  <c r="S34" i="73"/>
  <c r="R34" i="73"/>
  <c r="Q34" i="73"/>
  <c r="O34" i="73"/>
  <c r="M34" i="73"/>
  <c r="K34" i="73"/>
  <c r="I34" i="73"/>
  <c r="G34" i="73"/>
  <c r="E34" i="73"/>
  <c r="C34" i="73"/>
  <c r="S33" i="73"/>
  <c r="R33" i="73"/>
  <c r="Q33" i="73"/>
  <c r="O33" i="73"/>
  <c r="M33" i="73"/>
  <c r="K33" i="73"/>
  <c r="I33" i="73"/>
  <c r="G33" i="73"/>
  <c r="E33" i="73"/>
  <c r="C33" i="73"/>
  <c r="S32" i="73"/>
  <c r="R32" i="73"/>
  <c r="Q32" i="73"/>
  <c r="O32" i="73"/>
  <c r="M32" i="73"/>
  <c r="K32" i="73"/>
  <c r="I32" i="73"/>
  <c r="G32" i="73"/>
  <c r="E32" i="73"/>
  <c r="C32" i="73"/>
  <c r="S31" i="73"/>
  <c r="R31" i="73"/>
  <c r="Q31" i="73"/>
  <c r="O31" i="73"/>
  <c r="M31" i="73"/>
  <c r="K31" i="73"/>
  <c r="I31" i="73"/>
  <c r="G31" i="73"/>
  <c r="E31" i="73"/>
  <c r="C31" i="73"/>
  <c r="S30" i="73"/>
  <c r="R30" i="73"/>
  <c r="Q30" i="73"/>
  <c r="O30" i="73"/>
  <c r="M30" i="73"/>
  <c r="K30" i="73"/>
  <c r="I30" i="73"/>
  <c r="G30" i="73"/>
  <c r="E30" i="73"/>
  <c r="C30" i="73"/>
  <c r="S29" i="73"/>
  <c r="R29" i="73"/>
  <c r="Q29" i="73"/>
  <c r="O29" i="73"/>
  <c r="M29" i="73"/>
  <c r="K29" i="73"/>
  <c r="I29" i="73"/>
  <c r="G29" i="73"/>
  <c r="E29" i="73"/>
  <c r="C29" i="73"/>
  <c r="S28" i="73"/>
  <c r="R28" i="73"/>
  <c r="Q28" i="73"/>
  <c r="O28" i="73"/>
  <c r="M28" i="73"/>
  <c r="K28" i="73"/>
  <c r="I28" i="73"/>
  <c r="G28" i="73"/>
  <c r="E28" i="73"/>
  <c r="C28" i="73"/>
  <c r="S27" i="73"/>
  <c r="R27" i="73"/>
  <c r="Q27" i="73"/>
  <c r="O27" i="73"/>
  <c r="M27" i="73"/>
  <c r="K27" i="73"/>
  <c r="I27" i="73"/>
  <c r="G27" i="73"/>
  <c r="E27" i="73"/>
  <c r="C27" i="73"/>
  <c r="S26" i="73"/>
  <c r="R26" i="73"/>
  <c r="Q26" i="73"/>
  <c r="O26" i="73"/>
  <c r="M26" i="73"/>
  <c r="K26" i="73"/>
  <c r="I26" i="73"/>
  <c r="G26" i="73"/>
  <c r="E26" i="73"/>
  <c r="C26" i="73"/>
  <c r="S25" i="73"/>
  <c r="R25" i="73"/>
  <c r="Q25" i="73"/>
  <c r="O25" i="73"/>
  <c r="M25" i="73"/>
  <c r="K25" i="73"/>
  <c r="I25" i="73"/>
  <c r="G25" i="73"/>
  <c r="E25" i="73"/>
  <c r="C25" i="73"/>
  <c r="S24" i="73"/>
  <c r="P23" i="73"/>
  <c r="N23" i="73"/>
  <c r="L23" i="73"/>
  <c r="J23" i="73"/>
  <c r="H23" i="73"/>
  <c r="F23" i="73"/>
  <c r="D23" i="73"/>
  <c r="B22"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R524" i="72"/>
  <c r="S524" i="72"/>
  <c r="S22" i="72"/>
  <c r="Q524" i="72"/>
  <c r="O524" i="72"/>
  <c r="M524" i="72"/>
  <c r="K524" i="72"/>
  <c r="I524" i="72"/>
  <c r="G524" i="72"/>
  <c r="E524" i="72"/>
  <c r="C524" i="72"/>
  <c r="S523" i="72"/>
  <c r="R523" i="72"/>
  <c r="Q523" i="72"/>
  <c r="O523" i="72"/>
  <c r="M523" i="72"/>
  <c r="K523" i="72"/>
  <c r="I523" i="72"/>
  <c r="G523" i="72"/>
  <c r="E523" i="72"/>
  <c r="C523" i="72"/>
  <c r="S522" i="72"/>
  <c r="R522" i="72"/>
  <c r="Q522" i="72"/>
  <c r="O522" i="72"/>
  <c r="M522" i="72"/>
  <c r="K522" i="72"/>
  <c r="I522" i="72"/>
  <c r="G522" i="72"/>
  <c r="E522" i="72"/>
  <c r="C522" i="72"/>
  <c r="S521" i="72"/>
  <c r="R521" i="72"/>
  <c r="Q521" i="72"/>
  <c r="O521" i="72"/>
  <c r="M521" i="72"/>
  <c r="K521" i="72"/>
  <c r="I521" i="72"/>
  <c r="G521" i="72"/>
  <c r="E521" i="72"/>
  <c r="C521" i="72"/>
  <c r="S520" i="72"/>
  <c r="R520" i="72"/>
  <c r="Q520" i="72"/>
  <c r="O520" i="72"/>
  <c r="M520" i="72"/>
  <c r="K520" i="72"/>
  <c r="I520" i="72"/>
  <c r="G520" i="72"/>
  <c r="E520" i="72"/>
  <c r="C520" i="72"/>
  <c r="S519" i="72"/>
  <c r="R519" i="72"/>
  <c r="Q519" i="72"/>
  <c r="O519" i="72"/>
  <c r="M519" i="72"/>
  <c r="K519" i="72"/>
  <c r="I519" i="72"/>
  <c r="G519" i="72"/>
  <c r="E519" i="72"/>
  <c r="C519" i="72"/>
  <c r="S518" i="72"/>
  <c r="R518" i="72"/>
  <c r="Q518" i="72"/>
  <c r="O518" i="72"/>
  <c r="M518" i="72"/>
  <c r="K518" i="72"/>
  <c r="I518" i="72"/>
  <c r="G518" i="72"/>
  <c r="E518" i="72"/>
  <c r="C518" i="72"/>
  <c r="S517" i="72"/>
  <c r="R517" i="72"/>
  <c r="Q517" i="72"/>
  <c r="O517" i="72"/>
  <c r="M517" i="72"/>
  <c r="K517" i="72"/>
  <c r="I517" i="72"/>
  <c r="G517" i="72"/>
  <c r="E517" i="72"/>
  <c r="C517" i="72"/>
  <c r="S516" i="72"/>
  <c r="R516" i="72"/>
  <c r="Q516" i="72"/>
  <c r="O516" i="72"/>
  <c r="M516" i="72"/>
  <c r="K516" i="72"/>
  <c r="I516" i="72"/>
  <c r="G516" i="72"/>
  <c r="E516" i="72"/>
  <c r="C516" i="72"/>
  <c r="S515" i="72"/>
  <c r="R515" i="72"/>
  <c r="Q515" i="72"/>
  <c r="O515" i="72"/>
  <c r="M515" i="72"/>
  <c r="K515" i="72"/>
  <c r="I515" i="72"/>
  <c r="G515" i="72"/>
  <c r="E515" i="72"/>
  <c r="C515" i="72"/>
  <c r="S514" i="72"/>
  <c r="R514" i="72"/>
  <c r="Q514" i="72"/>
  <c r="O514" i="72"/>
  <c r="M514" i="72"/>
  <c r="K514" i="72"/>
  <c r="I514" i="72"/>
  <c r="G514" i="72"/>
  <c r="E514" i="72"/>
  <c r="C514" i="72"/>
  <c r="S513" i="72"/>
  <c r="R513" i="72"/>
  <c r="Q513" i="72"/>
  <c r="O513" i="72"/>
  <c r="M513" i="72"/>
  <c r="K513" i="72"/>
  <c r="I513" i="72"/>
  <c r="G513" i="72"/>
  <c r="E513" i="72"/>
  <c r="C513" i="72"/>
  <c r="S512" i="72"/>
  <c r="R512" i="72"/>
  <c r="Q512" i="72"/>
  <c r="O512" i="72"/>
  <c r="M512" i="72"/>
  <c r="K512" i="72"/>
  <c r="I512" i="72"/>
  <c r="G512" i="72"/>
  <c r="E512" i="72"/>
  <c r="C512" i="72"/>
  <c r="S511" i="72"/>
  <c r="R511" i="72"/>
  <c r="Q511" i="72"/>
  <c r="O511" i="72"/>
  <c r="M511" i="72"/>
  <c r="K511" i="72"/>
  <c r="I511" i="72"/>
  <c r="G511" i="72"/>
  <c r="E511" i="72"/>
  <c r="C511" i="72"/>
  <c r="S510" i="72"/>
  <c r="R510" i="72"/>
  <c r="Q510" i="72"/>
  <c r="O510" i="72"/>
  <c r="M510" i="72"/>
  <c r="K510" i="72"/>
  <c r="I510" i="72"/>
  <c r="G510" i="72"/>
  <c r="E510" i="72"/>
  <c r="C510" i="72"/>
  <c r="S509" i="72"/>
  <c r="R509" i="72"/>
  <c r="Q509" i="72"/>
  <c r="O509" i="72"/>
  <c r="M509" i="72"/>
  <c r="K509" i="72"/>
  <c r="I509" i="72"/>
  <c r="G509" i="72"/>
  <c r="E509" i="72"/>
  <c r="C509" i="72"/>
  <c r="S508" i="72"/>
  <c r="R508" i="72"/>
  <c r="Q508" i="72"/>
  <c r="O508" i="72"/>
  <c r="M508" i="72"/>
  <c r="K508" i="72"/>
  <c r="I508" i="72"/>
  <c r="G508" i="72"/>
  <c r="E508" i="72"/>
  <c r="C508" i="72"/>
  <c r="S507" i="72"/>
  <c r="R507" i="72"/>
  <c r="Q507" i="72"/>
  <c r="O507" i="72"/>
  <c r="M507" i="72"/>
  <c r="K507" i="72"/>
  <c r="I507" i="72"/>
  <c r="G507" i="72"/>
  <c r="E507" i="72"/>
  <c r="C507" i="72"/>
  <c r="S506" i="72"/>
  <c r="R506" i="72"/>
  <c r="Q506" i="72"/>
  <c r="O506" i="72"/>
  <c r="M506" i="72"/>
  <c r="K506" i="72"/>
  <c r="I506" i="72"/>
  <c r="G506" i="72"/>
  <c r="E506" i="72"/>
  <c r="C506" i="72"/>
  <c r="S505" i="72"/>
  <c r="R505" i="72"/>
  <c r="Q505" i="72"/>
  <c r="O505" i="72"/>
  <c r="M505" i="72"/>
  <c r="K505" i="72"/>
  <c r="I505" i="72"/>
  <c r="G505" i="72"/>
  <c r="E505" i="72"/>
  <c r="C505" i="72"/>
  <c r="S504" i="72"/>
  <c r="R504" i="72"/>
  <c r="Q504" i="72"/>
  <c r="O504" i="72"/>
  <c r="M504" i="72"/>
  <c r="K504" i="72"/>
  <c r="I504" i="72"/>
  <c r="G504" i="72"/>
  <c r="E504" i="72"/>
  <c r="C504" i="72"/>
  <c r="S503" i="72"/>
  <c r="R503" i="72"/>
  <c r="Q503" i="72"/>
  <c r="O503" i="72"/>
  <c r="M503" i="72"/>
  <c r="K503" i="72"/>
  <c r="I503" i="72"/>
  <c r="G503" i="72"/>
  <c r="E503" i="72"/>
  <c r="C503" i="72"/>
  <c r="S502" i="72"/>
  <c r="R502" i="72"/>
  <c r="Q502" i="72"/>
  <c r="O502" i="72"/>
  <c r="M502" i="72"/>
  <c r="K502" i="72"/>
  <c r="I502" i="72"/>
  <c r="G502" i="72"/>
  <c r="E502" i="72"/>
  <c r="C502" i="72"/>
  <c r="S501" i="72"/>
  <c r="R501" i="72"/>
  <c r="Q501" i="72"/>
  <c r="O501" i="72"/>
  <c r="M501" i="72"/>
  <c r="K501" i="72"/>
  <c r="I501" i="72"/>
  <c r="G501" i="72"/>
  <c r="E501" i="72"/>
  <c r="C501" i="72"/>
  <c r="S500" i="72"/>
  <c r="R500" i="72"/>
  <c r="Q500" i="72"/>
  <c r="O500" i="72"/>
  <c r="M500" i="72"/>
  <c r="K500" i="72"/>
  <c r="I500" i="72"/>
  <c r="G500" i="72"/>
  <c r="E500" i="72"/>
  <c r="C500" i="72"/>
  <c r="S499" i="72"/>
  <c r="R499" i="72"/>
  <c r="Q499" i="72"/>
  <c r="O499" i="72"/>
  <c r="M499" i="72"/>
  <c r="K499" i="72"/>
  <c r="I499" i="72"/>
  <c r="G499" i="72"/>
  <c r="E499" i="72"/>
  <c r="C499" i="72"/>
  <c r="S498" i="72"/>
  <c r="R498" i="72"/>
  <c r="Q498" i="72"/>
  <c r="O498" i="72"/>
  <c r="M498" i="72"/>
  <c r="K498" i="72"/>
  <c r="I498" i="72"/>
  <c r="G498" i="72"/>
  <c r="E498" i="72"/>
  <c r="C498" i="72"/>
  <c r="S497" i="72"/>
  <c r="R497" i="72"/>
  <c r="Q497" i="72"/>
  <c r="O497" i="72"/>
  <c r="M497" i="72"/>
  <c r="K497" i="72"/>
  <c r="I497" i="72"/>
  <c r="G497" i="72"/>
  <c r="E497" i="72"/>
  <c r="C497" i="72"/>
  <c r="S496" i="72"/>
  <c r="R496" i="72"/>
  <c r="Q496" i="72"/>
  <c r="O496" i="72"/>
  <c r="M496" i="72"/>
  <c r="K496" i="72"/>
  <c r="I496" i="72"/>
  <c r="G496" i="72"/>
  <c r="E496" i="72"/>
  <c r="C496" i="72"/>
  <c r="S495" i="72"/>
  <c r="R495" i="72"/>
  <c r="Q495" i="72"/>
  <c r="O495" i="72"/>
  <c r="M495" i="72"/>
  <c r="K495" i="72"/>
  <c r="I495" i="72"/>
  <c r="G495" i="72"/>
  <c r="E495" i="72"/>
  <c r="C495" i="72"/>
  <c r="S494" i="72"/>
  <c r="R494" i="72"/>
  <c r="Q494" i="72"/>
  <c r="O494" i="72"/>
  <c r="M494" i="72"/>
  <c r="K494" i="72"/>
  <c r="I494" i="72"/>
  <c r="G494" i="72"/>
  <c r="E494" i="72"/>
  <c r="C494" i="72"/>
  <c r="S493" i="72"/>
  <c r="R493" i="72"/>
  <c r="Q493" i="72"/>
  <c r="O493" i="72"/>
  <c r="M493" i="72"/>
  <c r="K493" i="72"/>
  <c r="I493" i="72"/>
  <c r="G493" i="72"/>
  <c r="E493" i="72"/>
  <c r="C493" i="72"/>
  <c r="S492" i="72"/>
  <c r="R492" i="72"/>
  <c r="Q492" i="72"/>
  <c r="O492" i="72"/>
  <c r="M492" i="72"/>
  <c r="K492" i="72"/>
  <c r="I492" i="72"/>
  <c r="G492" i="72"/>
  <c r="E492" i="72"/>
  <c r="C492" i="72"/>
  <c r="S491" i="72"/>
  <c r="R491" i="72"/>
  <c r="Q491" i="72"/>
  <c r="O491" i="72"/>
  <c r="M491" i="72"/>
  <c r="K491" i="72"/>
  <c r="I491" i="72"/>
  <c r="G491" i="72"/>
  <c r="E491" i="72"/>
  <c r="C491" i="72"/>
  <c r="S490" i="72"/>
  <c r="R490" i="72"/>
  <c r="Q490" i="72"/>
  <c r="O490" i="72"/>
  <c r="M490" i="72"/>
  <c r="K490" i="72"/>
  <c r="I490" i="72"/>
  <c r="G490" i="72"/>
  <c r="E490" i="72"/>
  <c r="C490" i="72"/>
  <c r="S489" i="72"/>
  <c r="R489" i="72"/>
  <c r="Q489" i="72"/>
  <c r="O489" i="72"/>
  <c r="M489" i="72"/>
  <c r="K489" i="72"/>
  <c r="I489" i="72"/>
  <c r="G489" i="72"/>
  <c r="E489" i="72"/>
  <c r="C489" i="72"/>
  <c r="S488" i="72"/>
  <c r="R488" i="72"/>
  <c r="Q488" i="72"/>
  <c r="O488" i="72"/>
  <c r="M488" i="72"/>
  <c r="K488" i="72"/>
  <c r="I488" i="72"/>
  <c r="G488" i="72"/>
  <c r="E488" i="72"/>
  <c r="C488" i="72"/>
  <c r="S487" i="72"/>
  <c r="R487" i="72"/>
  <c r="Q487" i="72"/>
  <c r="O487" i="72"/>
  <c r="M487" i="72"/>
  <c r="K487" i="72"/>
  <c r="I487" i="72"/>
  <c r="G487" i="72"/>
  <c r="E487" i="72"/>
  <c r="C487" i="72"/>
  <c r="S486" i="72"/>
  <c r="R486" i="72"/>
  <c r="Q486" i="72"/>
  <c r="O486" i="72"/>
  <c r="M486" i="72"/>
  <c r="K486" i="72"/>
  <c r="I486" i="72"/>
  <c r="G486" i="72"/>
  <c r="E486" i="72"/>
  <c r="C486" i="72"/>
  <c r="S485" i="72"/>
  <c r="R485" i="72"/>
  <c r="Q485" i="72"/>
  <c r="O485" i="72"/>
  <c r="M485" i="72"/>
  <c r="K485" i="72"/>
  <c r="I485" i="72"/>
  <c r="G485" i="72"/>
  <c r="E485" i="72"/>
  <c r="C485" i="72"/>
  <c r="S484" i="72"/>
  <c r="R484" i="72"/>
  <c r="Q484" i="72"/>
  <c r="O484" i="72"/>
  <c r="M484" i="72"/>
  <c r="K484" i="72"/>
  <c r="I484" i="72"/>
  <c r="G484" i="72"/>
  <c r="E484" i="72"/>
  <c r="C484" i="72"/>
  <c r="S483" i="72"/>
  <c r="R483" i="72"/>
  <c r="Q483" i="72"/>
  <c r="O483" i="72"/>
  <c r="M483" i="72"/>
  <c r="K483" i="72"/>
  <c r="I483" i="72"/>
  <c r="G483" i="72"/>
  <c r="E483" i="72"/>
  <c r="C483" i="72"/>
  <c r="S482" i="72"/>
  <c r="R482" i="72"/>
  <c r="Q482" i="72"/>
  <c r="O482" i="72"/>
  <c r="M482" i="72"/>
  <c r="K482" i="72"/>
  <c r="I482" i="72"/>
  <c r="G482" i="72"/>
  <c r="E482" i="72"/>
  <c r="C482" i="72"/>
  <c r="S481" i="72"/>
  <c r="R481" i="72"/>
  <c r="Q481" i="72"/>
  <c r="O481" i="72"/>
  <c r="M481" i="72"/>
  <c r="K481" i="72"/>
  <c r="I481" i="72"/>
  <c r="G481" i="72"/>
  <c r="E481" i="72"/>
  <c r="C481" i="72"/>
  <c r="S480" i="72"/>
  <c r="R480" i="72"/>
  <c r="Q480" i="72"/>
  <c r="O480" i="72"/>
  <c r="M480" i="72"/>
  <c r="K480" i="72"/>
  <c r="I480" i="72"/>
  <c r="G480" i="72"/>
  <c r="E480" i="72"/>
  <c r="C480" i="72"/>
  <c r="S479" i="72"/>
  <c r="R479" i="72"/>
  <c r="Q479" i="72"/>
  <c r="O479" i="72"/>
  <c r="M479" i="72"/>
  <c r="K479" i="72"/>
  <c r="I479" i="72"/>
  <c r="G479" i="72"/>
  <c r="E479" i="72"/>
  <c r="C479" i="72"/>
  <c r="S478" i="72"/>
  <c r="R478" i="72"/>
  <c r="Q478" i="72"/>
  <c r="O478" i="72"/>
  <c r="M478" i="72"/>
  <c r="K478" i="72"/>
  <c r="I478" i="72"/>
  <c r="G478" i="72"/>
  <c r="E478" i="72"/>
  <c r="C478" i="72"/>
  <c r="S477" i="72"/>
  <c r="R477" i="72"/>
  <c r="Q477" i="72"/>
  <c r="O477" i="72"/>
  <c r="M477" i="72"/>
  <c r="K477" i="72"/>
  <c r="I477" i="72"/>
  <c r="G477" i="72"/>
  <c r="E477" i="72"/>
  <c r="C477" i="72"/>
  <c r="S476" i="72"/>
  <c r="R476" i="72"/>
  <c r="Q476" i="72"/>
  <c r="O476" i="72"/>
  <c r="M476" i="72"/>
  <c r="K476" i="72"/>
  <c r="I476" i="72"/>
  <c r="G476" i="72"/>
  <c r="E476" i="72"/>
  <c r="C476" i="72"/>
  <c r="S475" i="72"/>
  <c r="R475" i="72"/>
  <c r="Q475" i="72"/>
  <c r="O475" i="72"/>
  <c r="M475" i="72"/>
  <c r="K475" i="72"/>
  <c r="I475" i="72"/>
  <c r="G475" i="72"/>
  <c r="E475" i="72"/>
  <c r="C475" i="72"/>
  <c r="S474" i="72"/>
  <c r="R474" i="72"/>
  <c r="Q474" i="72"/>
  <c r="O474" i="72"/>
  <c r="M474" i="72"/>
  <c r="K474" i="72"/>
  <c r="I474" i="72"/>
  <c r="G474" i="72"/>
  <c r="E474" i="72"/>
  <c r="C474" i="72"/>
  <c r="S473" i="72"/>
  <c r="R473" i="72"/>
  <c r="Q473" i="72"/>
  <c r="O473" i="72"/>
  <c r="M473" i="72"/>
  <c r="K473" i="72"/>
  <c r="I473" i="72"/>
  <c r="G473" i="72"/>
  <c r="E473" i="72"/>
  <c r="C473" i="72"/>
  <c r="S472" i="72"/>
  <c r="R472" i="72"/>
  <c r="Q472" i="72"/>
  <c r="O472" i="72"/>
  <c r="M472" i="72"/>
  <c r="K472" i="72"/>
  <c r="I472" i="72"/>
  <c r="G472" i="72"/>
  <c r="E472" i="72"/>
  <c r="C472" i="72"/>
  <c r="S471" i="72"/>
  <c r="R471" i="72"/>
  <c r="Q471" i="72"/>
  <c r="O471" i="72"/>
  <c r="M471" i="72"/>
  <c r="K471" i="72"/>
  <c r="I471" i="72"/>
  <c r="G471" i="72"/>
  <c r="E471" i="72"/>
  <c r="C471" i="72"/>
  <c r="S470" i="72"/>
  <c r="R470" i="72"/>
  <c r="Q470" i="72"/>
  <c r="O470" i="72"/>
  <c r="M470" i="72"/>
  <c r="K470" i="72"/>
  <c r="I470" i="72"/>
  <c r="G470" i="72"/>
  <c r="E470" i="72"/>
  <c r="C470" i="72"/>
  <c r="S469" i="72"/>
  <c r="R469" i="72"/>
  <c r="Q469" i="72"/>
  <c r="O469" i="72"/>
  <c r="M469" i="72"/>
  <c r="K469" i="72"/>
  <c r="I469" i="72"/>
  <c r="G469" i="72"/>
  <c r="E469" i="72"/>
  <c r="C469" i="72"/>
  <c r="S468" i="72"/>
  <c r="R468" i="72"/>
  <c r="Q468" i="72"/>
  <c r="O468" i="72"/>
  <c r="M468" i="72"/>
  <c r="K468" i="72"/>
  <c r="I468" i="72"/>
  <c r="G468" i="72"/>
  <c r="E468" i="72"/>
  <c r="C468" i="72"/>
  <c r="S467" i="72"/>
  <c r="R467" i="72"/>
  <c r="Q467" i="72"/>
  <c r="O467" i="72"/>
  <c r="M467" i="72"/>
  <c r="K467" i="72"/>
  <c r="I467" i="72"/>
  <c r="G467" i="72"/>
  <c r="E467" i="72"/>
  <c r="C467" i="72"/>
  <c r="S466" i="72"/>
  <c r="R466" i="72"/>
  <c r="Q466" i="72"/>
  <c r="O466" i="72"/>
  <c r="M466" i="72"/>
  <c r="K466" i="72"/>
  <c r="I466" i="72"/>
  <c r="G466" i="72"/>
  <c r="E466" i="72"/>
  <c r="C466" i="72"/>
  <c r="S465" i="72"/>
  <c r="R465" i="72"/>
  <c r="Q465" i="72"/>
  <c r="O465" i="72"/>
  <c r="M465" i="72"/>
  <c r="K465" i="72"/>
  <c r="I465" i="72"/>
  <c r="G465" i="72"/>
  <c r="E465" i="72"/>
  <c r="C465" i="72"/>
  <c r="S464" i="72"/>
  <c r="R464" i="72"/>
  <c r="Q464" i="72"/>
  <c r="O464" i="72"/>
  <c r="M464" i="72"/>
  <c r="K464" i="72"/>
  <c r="I464" i="72"/>
  <c r="G464" i="72"/>
  <c r="E464" i="72"/>
  <c r="C464" i="72"/>
  <c r="S463" i="72"/>
  <c r="R463" i="72"/>
  <c r="Q463" i="72"/>
  <c r="O463" i="72"/>
  <c r="M463" i="72"/>
  <c r="K463" i="72"/>
  <c r="I463" i="72"/>
  <c r="G463" i="72"/>
  <c r="E463" i="72"/>
  <c r="C463" i="72"/>
  <c r="S462" i="72"/>
  <c r="R462" i="72"/>
  <c r="Q462" i="72"/>
  <c r="O462" i="72"/>
  <c r="M462" i="72"/>
  <c r="K462" i="72"/>
  <c r="I462" i="72"/>
  <c r="G462" i="72"/>
  <c r="E462" i="72"/>
  <c r="C462" i="72"/>
  <c r="S461" i="72"/>
  <c r="R461" i="72"/>
  <c r="Q461" i="72"/>
  <c r="O461" i="72"/>
  <c r="M461" i="72"/>
  <c r="K461" i="72"/>
  <c r="I461" i="72"/>
  <c r="G461" i="72"/>
  <c r="E461" i="72"/>
  <c r="C461" i="72"/>
  <c r="S460" i="72"/>
  <c r="R460" i="72"/>
  <c r="Q460" i="72"/>
  <c r="O460" i="72"/>
  <c r="M460" i="72"/>
  <c r="K460" i="72"/>
  <c r="I460" i="72"/>
  <c r="G460" i="72"/>
  <c r="E460" i="72"/>
  <c r="C460" i="72"/>
  <c r="S459" i="72"/>
  <c r="R459" i="72"/>
  <c r="Q459" i="72"/>
  <c r="O459" i="72"/>
  <c r="M459" i="72"/>
  <c r="K459" i="72"/>
  <c r="I459" i="72"/>
  <c r="G459" i="72"/>
  <c r="E459" i="72"/>
  <c r="C459" i="72"/>
  <c r="S458" i="72"/>
  <c r="R458" i="72"/>
  <c r="Q458" i="72"/>
  <c r="O458" i="72"/>
  <c r="M458" i="72"/>
  <c r="K458" i="72"/>
  <c r="I458" i="72"/>
  <c r="G458" i="72"/>
  <c r="E458" i="72"/>
  <c r="C458" i="72"/>
  <c r="S457" i="72"/>
  <c r="R457" i="72"/>
  <c r="Q457" i="72"/>
  <c r="O457" i="72"/>
  <c r="M457" i="72"/>
  <c r="K457" i="72"/>
  <c r="I457" i="72"/>
  <c r="G457" i="72"/>
  <c r="E457" i="72"/>
  <c r="C457" i="72"/>
  <c r="S456" i="72"/>
  <c r="R456" i="72"/>
  <c r="Q456" i="72"/>
  <c r="O456" i="72"/>
  <c r="M456" i="72"/>
  <c r="K456" i="72"/>
  <c r="I456" i="72"/>
  <c r="G456" i="72"/>
  <c r="E456" i="72"/>
  <c r="C456" i="72"/>
  <c r="S455" i="72"/>
  <c r="R455" i="72"/>
  <c r="Q455" i="72"/>
  <c r="O455" i="72"/>
  <c r="M455" i="72"/>
  <c r="K455" i="72"/>
  <c r="I455" i="72"/>
  <c r="G455" i="72"/>
  <c r="E455" i="72"/>
  <c r="C455" i="72"/>
  <c r="S454" i="72"/>
  <c r="R454" i="72"/>
  <c r="Q454" i="72"/>
  <c r="O454" i="72"/>
  <c r="M454" i="72"/>
  <c r="K454" i="72"/>
  <c r="I454" i="72"/>
  <c r="G454" i="72"/>
  <c r="E454" i="72"/>
  <c r="C454" i="72"/>
  <c r="S453" i="72"/>
  <c r="R453" i="72"/>
  <c r="Q453" i="72"/>
  <c r="O453" i="72"/>
  <c r="M453" i="72"/>
  <c r="K453" i="72"/>
  <c r="I453" i="72"/>
  <c r="G453" i="72"/>
  <c r="E453" i="72"/>
  <c r="C453" i="72"/>
  <c r="S452" i="72"/>
  <c r="R452" i="72"/>
  <c r="Q452" i="72"/>
  <c r="O452" i="72"/>
  <c r="M452" i="72"/>
  <c r="K452" i="72"/>
  <c r="I452" i="72"/>
  <c r="G452" i="72"/>
  <c r="E452" i="72"/>
  <c r="C452" i="72"/>
  <c r="S451" i="72"/>
  <c r="R451" i="72"/>
  <c r="Q451" i="72"/>
  <c r="O451" i="72"/>
  <c r="M451" i="72"/>
  <c r="K451" i="72"/>
  <c r="I451" i="72"/>
  <c r="G451" i="72"/>
  <c r="E451" i="72"/>
  <c r="C451" i="72"/>
  <c r="S450" i="72"/>
  <c r="R450" i="72"/>
  <c r="Q450" i="72"/>
  <c r="O450" i="72"/>
  <c r="M450" i="72"/>
  <c r="K450" i="72"/>
  <c r="I450" i="72"/>
  <c r="G450" i="72"/>
  <c r="E450" i="72"/>
  <c r="C450" i="72"/>
  <c r="S449" i="72"/>
  <c r="R449" i="72"/>
  <c r="Q449" i="72"/>
  <c r="O449" i="72"/>
  <c r="M449" i="72"/>
  <c r="K449" i="72"/>
  <c r="I449" i="72"/>
  <c r="G449" i="72"/>
  <c r="E449" i="72"/>
  <c r="C449" i="72"/>
  <c r="S448" i="72"/>
  <c r="R448" i="72"/>
  <c r="Q448" i="72"/>
  <c r="O448" i="72"/>
  <c r="M448" i="72"/>
  <c r="K448" i="72"/>
  <c r="I448" i="72"/>
  <c r="G448" i="72"/>
  <c r="E448" i="72"/>
  <c r="C448" i="72"/>
  <c r="S447" i="72"/>
  <c r="R447" i="72"/>
  <c r="Q447" i="72"/>
  <c r="O447" i="72"/>
  <c r="M447" i="72"/>
  <c r="K447" i="72"/>
  <c r="I447" i="72"/>
  <c r="G447" i="72"/>
  <c r="E447" i="72"/>
  <c r="C447" i="72"/>
  <c r="S446" i="72"/>
  <c r="R446" i="72"/>
  <c r="Q446" i="72"/>
  <c r="O446" i="72"/>
  <c r="M446" i="72"/>
  <c r="K446" i="72"/>
  <c r="I446" i="72"/>
  <c r="G446" i="72"/>
  <c r="E446" i="72"/>
  <c r="C446" i="72"/>
  <c r="S445" i="72"/>
  <c r="R445" i="72"/>
  <c r="Q445" i="72"/>
  <c r="O445" i="72"/>
  <c r="M445" i="72"/>
  <c r="K445" i="72"/>
  <c r="I445" i="72"/>
  <c r="G445" i="72"/>
  <c r="E445" i="72"/>
  <c r="C445" i="72"/>
  <c r="S444" i="72"/>
  <c r="R444" i="72"/>
  <c r="Q444" i="72"/>
  <c r="O444" i="72"/>
  <c r="M444" i="72"/>
  <c r="K444" i="72"/>
  <c r="I444" i="72"/>
  <c r="G444" i="72"/>
  <c r="E444" i="72"/>
  <c r="C444" i="72"/>
  <c r="S443" i="72"/>
  <c r="R443" i="72"/>
  <c r="Q443" i="72"/>
  <c r="O443" i="72"/>
  <c r="M443" i="72"/>
  <c r="K443" i="72"/>
  <c r="I443" i="72"/>
  <c r="G443" i="72"/>
  <c r="E443" i="72"/>
  <c r="C443" i="72"/>
  <c r="S442" i="72"/>
  <c r="R442" i="72"/>
  <c r="Q442" i="72"/>
  <c r="O442" i="72"/>
  <c r="M442" i="72"/>
  <c r="K442" i="72"/>
  <c r="I442" i="72"/>
  <c r="G442" i="72"/>
  <c r="E442" i="72"/>
  <c r="C442" i="72"/>
  <c r="S441" i="72"/>
  <c r="R441" i="72"/>
  <c r="Q441" i="72"/>
  <c r="O441" i="72"/>
  <c r="M441" i="72"/>
  <c r="K441" i="72"/>
  <c r="I441" i="72"/>
  <c r="G441" i="72"/>
  <c r="E441" i="72"/>
  <c r="C441" i="72"/>
  <c r="S440" i="72"/>
  <c r="R440" i="72"/>
  <c r="Q440" i="72"/>
  <c r="O440" i="72"/>
  <c r="M440" i="72"/>
  <c r="K440" i="72"/>
  <c r="I440" i="72"/>
  <c r="G440" i="72"/>
  <c r="E440" i="72"/>
  <c r="C440" i="72"/>
  <c r="S439" i="72"/>
  <c r="R439" i="72"/>
  <c r="Q439" i="72"/>
  <c r="O439" i="72"/>
  <c r="M439" i="72"/>
  <c r="K439" i="72"/>
  <c r="I439" i="72"/>
  <c r="G439" i="72"/>
  <c r="E439" i="72"/>
  <c r="C439" i="72"/>
  <c r="S438" i="72"/>
  <c r="R438" i="72"/>
  <c r="Q438" i="72"/>
  <c r="O438" i="72"/>
  <c r="M438" i="72"/>
  <c r="K438" i="72"/>
  <c r="I438" i="72"/>
  <c r="G438" i="72"/>
  <c r="E438" i="72"/>
  <c r="C438" i="72"/>
  <c r="S437" i="72"/>
  <c r="R437" i="72"/>
  <c r="Q437" i="72"/>
  <c r="O437" i="72"/>
  <c r="M437" i="72"/>
  <c r="K437" i="72"/>
  <c r="I437" i="72"/>
  <c r="G437" i="72"/>
  <c r="E437" i="72"/>
  <c r="C437" i="72"/>
  <c r="S436" i="72"/>
  <c r="R436" i="72"/>
  <c r="Q436" i="72"/>
  <c r="O436" i="72"/>
  <c r="M436" i="72"/>
  <c r="K436" i="72"/>
  <c r="I436" i="72"/>
  <c r="G436" i="72"/>
  <c r="E436" i="72"/>
  <c r="C436" i="72"/>
  <c r="S435" i="72"/>
  <c r="R435" i="72"/>
  <c r="Q435" i="72"/>
  <c r="O435" i="72"/>
  <c r="M435" i="72"/>
  <c r="K435" i="72"/>
  <c r="I435" i="72"/>
  <c r="G435" i="72"/>
  <c r="E435" i="72"/>
  <c r="C435" i="72"/>
  <c r="S434" i="72"/>
  <c r="R434" i="72"/>
  <c r="Q434" i="72"/>
  <c r="O434" i="72"/>
  <c r="M434" i="72"/>
  <c r="K434" i="72"/>
  <c r="I434" i="72"/>
  <c r="G434" i="72"/>
  <c r="E434" i="72"/>
  <c r="C434" i="72"/>
  <c r="S433" i="72"/>
  <c r="R433" i="72"/>
  <c r="Q433" i="72"/>
  <c r="O433" i="72"/>
  <c r="M433" i="72"/>
  <c r="K433" i="72"/>
  <c r="I433" i="72"/>
  <c r="G433" i="72"/>
  <c r="E433" i="72"/>
  <c r="C433" i="72"/>
  <c r="S432" i="72"/>
  <c r="R432" i="72"/>
  <c r="Q432" i="72"/>
  <c r="O432" i="72"/>
  <c r="M432" i="72"/>
  <c r="K432" i="72"/>
  <c r="I432" i="72"/>
  <c r="G432" i="72"/>
  <c r="E432" i="72"/>
  <c r="C432" i="72"/>
  <c r="S431" i="72"/>
  <c r="R431" i="72"/>
  <c r="Q431" i="72"/>
  <c r="O431" i="72"/>
  <c r="M431" i="72"/>
  <c r="K431" i="72"/>
  <c r="I431" i="72"/>
  <c r="G431" i="72"/>
  <c r="E431" i="72"/>
  <c r="C431" i="72"/>
  <c r="S430" i="72"/>
  <c r="R430" i="72"/>
  <c r="Q430" i="72"/>
  <c r="O430" i="72"/>
  <c r="M430" i="72"/>
  <c r="K430" i="72"/>
  <c r="I430" i="72"/>
  <c r="G430" i="72"/>
  <c r="E430" i="72"/>
  <c r="C430" i="72"/>
  <c r="S429" i="72"/>
  <c r="R429" i="72"/>
  <c r="Q429" i="72"/>
  <c r="O429" i="72"/>
  <c r="M429" i="72"/>
  <c r="K429" i="72"/>
  <c r="I429" i="72"/>
  <c r="G429" i="72"/>
  <c r="E429" i="72"/>
  <c r="C429" i="72"/>
  <c r="S428" i="72"/>
  <c r="R428" i="72"/>
  <c r="Q428" i="72"/>
  <c r="O428" i="72"/>
  <c r="M428" i="72"/>
  <c r="K428" i="72"/>
  <c r="I428" i="72"/>
  <c r="G428" i="72"/>
  <c r="E428" i="72"/>
  <c r="C428" i="72"/>
  <c r="S427" i="72"/>
  <c r="R427" i="72"/>
  <c r="Q427" i="72"/>
  <c r="O427" i="72"/>
  <c r="M427" i="72"/>
  <c r="K427" i="72"/>
  <c r="I427" i="72"/>
  <c r="G427" i="72"/>
  <c r="E427" i="72"/>
  <c r="C427" i="72"/>
  <c r="S426" i="72"/>
  <c r="R426" i="72"/>
  <c r="Q426" i="72"/>
  <c r="O426" i="72"/>
  <c r="M426" i="72"/>
  <c r="K426" i="72"/>
  <c r="I426" i="72"/>
  <c r="G426" i="72"/>
  <c r="E426" i="72"/>
  <c r="C426" i="72"/>
  <c r="S425" i="72"/>
  <c r="R425" i="72"/>
  <c r="Q425" i="72"/>
  <c r="O425" i="72"/>
  <c r="M425" i="72"/>
  <c r="K425" i="72"/>
  <c r="I425" i="72"/>
  <c r="G425" i="72"/>
  <c r="E425" i="72"/>
  <c r="C425" i="72"/>
  <c r="S424" i="72"/>
  <c r="R424" i="72"/>
  <c r="Q424" i="72"/>
  <c r="O424" i="72"/>
  <c r="M424" i="72"/>
  <c r="K424" i="72"/>
  <c r="I424" i="72"/>
  <c r="G424" i="72"/>
  <c r="E424" i="72"/>
  <c r="C424" i="72"/>
  <c r="S423" i="72"/>
  <c r="R423" i="72"/>
  <c r="Q423" i="72"/>
  <c r="O423" i="72"/>
  <c r="M423" i="72"/>
  <c r="K423" i="72"/>
  <c r="I423" i="72"/>
  <c r="G423" i="72"/>
  <c r="E423" i="72"/>
  <c r="C423" i="72"/>
  <c r="S422" i="72"/>
  <c r="R422" i="72"/>
  <c r="Q422" i="72"/>
  <c r="O422" i="72"/>
  <c r="M422" i="72"/>
  <c r="K422" i="72"/>
  <c r="I422" i="72"/>
  <c r="G422" i="72"/>
  <c r="E422" i="72"/>
  <c r="C422" i="72"/>
  <c r="S421" i="72"/>
  <c r="R421" i="72"/>
  <c r="Q421" i="72"/>
  <c r="O421" i="72"/>
  <c r="M421" i="72"/>
  <c r="K421" i="72"/>
  <c r="I421" i="72"/>
  <c r="G421" i="72"/>
  <c r="E421" i="72"/>
  <c r="C421" i="72"/>
  <c r="S420" i="72"/>
  <c r="R420" i="72"/>
  <c r="Q420" i="72"/>
  <c r="O420" i="72"/>
  <c r="M420" i="72"/>
  <c r="K420" i="72"/>
  <c r="I420" i="72"/>
  <c r="G420" i="72"/>
  <c r="E420" i="72"/>
  <c r="C420" i="72"/>
  <c r="S419" i="72"/>
  <c r="R419" i="72"/>
  <c r="Q419" i="72"/>
  <c r="O419" i="72"/>
  <c r="M419" i="72"/>
  <c r="K419" i="72"/>
  <c r="I419" i="72"/>
  <c r="G419" i="72"/>
  <c r="E419" i="72"/>
  <c r="C419" i="72"/>
  <c r="S418" i="72"/>
  <c r="R418" i="72"/>
  <c r="Q418" i="72"/>
  <c r="O418" i="72"/>
  <c r="M418" i="72"/>
  <c r="K418" i="72"/>
  <c r="I418" i="72"/>
  <c r="G418" i="72"/>
  <c r="E418" i="72"/>
  <c r="C418" i="72"/>
  <c r="S417" i="72"/>
  <c r="R417" i="72"/>
  <c r="Q417" i="72"/>
  <c r="O417" i="72"/>
  <c r="M417" i="72"/>
  <c r="K417" i="72"/>
  <c r="I417" i="72"/>
  <c r="G417" i="72"/>
  <c r="E417" i="72"/>
  <c r="C417" i="72"/>
  <c r="S416" i="72"/>
  <c r="R416" i="72"/>
  <c r="Q416" i="72"/>
  <c r="O416" i="72"/>
  <c r="M416" i="72"/>
  <c r="K416" i="72"/>
  <c r="I416" i="72"/>
  <c r="G416" i="72"/>
  <c r="E416" i="72"/>
  <c r="C416" i="72"/>
  <c r="S415" i="72"/>
  <c r="R415" i="72"/>
  <c r="Q415" i="72"/>
  <c r="O415" i="72"/>
  <c r="M415" i="72"/>
  <c r="K415" i="72"/>
  <c r="I415" i="72"/>
  <c r="G415" i="72"/>
  <c r="E415" i="72"/>
  <c r="C415" i="72"/>
  <c r="S414" i="72"/>
  <c r="R414" i="72"/>
  <c r="Q414" i="72"/>
  <c r="O414" i="72"/>
  <c r="M414" i="72"/>
  <c r="K414" i="72"/>
  <c r="I414" i="72"/>
  <c r="G414" i="72"/>
  <c r="E414" i="72"/>
  <c r="C414" i="72"/>
  <c r="S413" i="72"/>
  <c r="R413" i="72"/>
  <c r="Q413" i="72"/>
  <c r="O413" i="72"/>
  <c r="M413" i="72"/>
  <c r="K413" i="72"/>
  <c r="I413" i="72"/>
  <c r="G413" i="72"/>
  <c r="E413" i="72"/>
  <c r="C413" i="72"/>
  <c r="S412" i="72"/>
  <c r="R412" i="72"/>
  <c r="Q412" i="72"/>
  <c r="O412" i="72"/>
  <c r="M412" i="72"/>
  <c r="K412" i="72"/>
  <c r="I412" i="72"/>
  <c r="G412" i="72"/>
  <c r="E412" i="72"/>
  <c r="C412" i="72"/>
  <c r="S411" i="72"/>
  <c r="R411" i="72"/>
  <c r="Q411" i="72"/>
  <c r="O411" i="72"/>
  <c r="M411" i="72"/>
  <c r="K411" i="72"/>
  <c r="I411" i="72"/>
  <c r="G411" i="72"/>
  <c r="E411" i="72"/>
  <c r="C411" i="72"/>
  <c r="S410" i="72"/>
  <c r="R410" i="72"/>
  <c r="Q410" i="72"/>
  <c r="O410" i="72"/>
  <c r="M410" i="72"/>
  <c r="K410" i="72"/>
  <c r="I410" i="72"/>
  <c r="G410" i="72"/>
  <c r="E410" i="72"/>
  <c r="C410" i="72"/>
  <c r="S409" i="72"/>
  <c r="R409" i="72"/>
  <c r="Q409" i="72"/>
  <c r="O409" i="72"/>
  <c r="M409" i="72"/>
  <c r="K409" i="72"/>
  <c r="I409" i="72"/>
  <c r="G409" i="72"/>
  <c r="E409" i="72"/>
  <c r="C409" i="72"/>
  <c r="S408" i="72"/>
  <c r="R408" i="72"/>
  <c r="Q408" i="72"/>
  <c r="O408" i="72"/>
  <c r="M408" i="72"/>
  <c r="K408" i="72"/>
  <c r="I408" i="72"/>
  <c r="G408" i="72"/>
  <c r="E408" i="72"/>
  <c r="C408" i="72"/>
  <c r="S407" i="72"/>
  <c r="R407" i="72"/>
  <c r="Q407" i="72"/>
  <c r="O407" i="72"/>
  <c r="M407" i="72"/>
  <c r="K407" i="72"/>
  <c r="I407" i="72"/>
  <c r="G407" i="72"/>
  <c r="E407" i="72"/>
  <c r="C407" i="72"/>
  <c r="S406" i="72"/>
  <c r="R406" i="72"/>
  <c r="Q406" i="72"/>
  <c r="O406" i="72"/>
  <c r="M406" i="72"/>
  <c r="K406" i="72"/>
  <c r="I406" i="72"/>
  <c r="G406" i="72"/>
  <c r="E406" i="72"/>
  <c r="C406" i="72"/>
  <c r="S405" i="72"/>
  <c r="R405" i="72"/>
  <c r="Q405" i="72"/>
  <c r="O405" i="72"/>
  <c r="M405" i="72"/>
  <c r="K405" i="72"/>
  <c r="I405" i="72"/>
  <c r="G405" i="72"/>
  <c r="E405" i="72"/>
  <c r="C405" i="72"/>
  <c r="S404" i="72"/>
  <c r="R404" i="72"/>
  <c r="Q404" i="72"/>
  <c r="O404" i="72"/>
  <c r="M404" i="72"/>
  <c r="K404" i="72"/>
  <c r="I404" i="72"/>
  <c r="G404" i="72"/>
  <c r="E404" i="72"/>
  <c r="C404" i="72"/>
  <c r="S403" i="72"/>
  <c r="R403" i="72"/>
  <c r="Q403" i="72"/>
  <c r="O403" i="72"/>
  <c r="M403" i="72"/>
  <c r="K403" i="72"/>
  <c r="I403" i="72"/>
  <c r="G403" i="72"/>
  <c r="E403" i="72"/>
  <c r="C403" i="72"/>
  <c r="S402" i="72"/>
  <c r="R402" i="72"/>
  <c r="Q402" i="72"/>
  <c r="O402" i="72"/>
  <c r="M402" i="72"/>
  <c r="K402" i="72"/>
  <c r="I402" i="72"/>
  <c r="G402" i="72"/>
  <c r="E402" i="72"/>
  <c r="C402" i="72"/>
  <c r="S401" i="72"/>
  <c r="R401" i="72"/>
  <c r="Q401" i="72"/>
  <c r="O401" i="72"/>
  <c r="M401" i="72"/>
  <c r="K401" i="72"/>
  <c r="I401" i="72"/>
  <c r="G401" i="72"/>
  <c r="E401" i="72"/>
  <c r="C401" i="72"/>
  <c r="S400" i="72"/>
  <c r="R400" i="72"/>
  <c r="Q400" i="72"/>
  <c r="O400" i="72"/>
  <c r="M400" i="72"/>
  <c r="K400" i="72"/>
  <c r="I400" i="72"/>
  <c r="G400" i="72"/>
  <c r="E400" i="72"/>
  <c r="C400" i="72"/>
  <c r="S399" i="72"/>
  <c r="R399" i="72"/>
  <c r="Q399" i="72"/>
  <c r="O399" i="72"/>
  <c r="M399" i="72"/>
  <c r="K399" i="72"/>
  <c r="I399" i="72"/>
  <c r="G399" i="72"/>
  <c r="E399" i="72"/>
  <c r="C399" i="72"/>
  <c r="S398" i="72"/>
  <c r="R398" i="72"/>
  <c r="Q398" i="72"/>
  <c r="O398" i="72"/>
  <c r="M398" i="72"/>
  <c r="K398" i="72"/>
  <c r="I398" i="72"/>
  <c r="G398" i="72"/>
  <c r="E398" i="72"/>
  <c r="C398" i="72"/>
  <c r="S397" i="72"/>
  <c r="R397" i="72"/>
  <c r="Q397" i="72"/>
  <c r="O397" i="72"/>
  <c r="M397" i="72"/>
  <c r="K397" i="72"/>
  <c r="I397" i="72"/>
  <c r="G397" i="72"/>
  <c r="E397" i="72"/>
  <c r="C397" i="72"/>
  <c r="S396" i="72"/>
  <c r="R396" i="72"/>
  <c r="Q396" i="72"/>
  <c r="O396" i="72"/>
  <c r="M396" i="72"/>
  <c r="K396" i="72"/>
  <c r="I396" i="72"/>
  <c r="G396" i="72"/>
  <c r="E396" i="72"/>
  <c r="C396" i="72"/>
  <c r="S395" i="72"/>
  <c r="R395" i="72"/>
  <c r="Q395" i="72"/>
  <c r="O395" i="72"/>
  <c r="M395" i="72"/>
  <c r="K395" i="72"/>
  <c r="I395" i="72"/>
  <c r="G395" i="72"/>
  <c r="E395" i="72"/>
  <c r="C395" i="72"/>
  <c r="S394" i="72"/>
  <c r="R394" i="72"/>
  <c r="Q394" i="72"/>
  <c r="O394" i="72"/>
  <c r="M394" i="72"/>
  <c r="K394" i="72"/>
  <c r="I394" i="72"/>
  <c r="G394" i="72"/>
  <c r="E394" i="72"/>
  <c r="C394" i="72"/>
  <c r="S393" i="72"/>
  <c r="R393" i="72"/>
  <c r="Q393" i="72"/>
  <c r="O393" i="72"/>
  <c r="M393" i="72"/>
  <c r="K393" i="72"/>
  <c r="I393" i="72"/>
  <c r="G393" i="72"/>
  <c r="E393" i="72"/>
  <c r="C393" i="72"/>
  <c r="S392" i="72"/>
  <c r="R392" i="72"/>
  <c r="Q392" i="72"/>
  <c r="O392" i="72"/>
  <c r="M392" i="72"/>
  <c r="K392" i="72"/>
  <c r="I392" i="72"/>
  <c r="G392" i="72"/>
  <c r="E392" i="72"/>
  <c r="C392" i="72"/>
  <c r="S391" i="72"/>
  <c r="R391" i="72"/>
  <c r="Q391" i="72"/>
  <c r="O391" i="72"/>
  <c r="M391" i="72"/>
  <c r="K391" i="72"/>
  <c r="I391" i="72"/>
  <c r="G391" i="72"/>
  <c r="E391" i="72"/>
  <c r="C391" i="72"/>
  <c r="S390" i="72"/>
  <c r="R390" i="72"/>
  <c r="Q390" i="72"/>
  <c r="O390" i="72"/>
  <c r="M390" i="72"/>
  <c r="K390" i="72"/>
  <c r="I390" i="72"/>
  <c r="G390" i="72"/>
  <c r="E390" i="72"/>
  <c r="C390" i="72"/>
  <c r="S389" i="72"/>
  <c r="R389" i="72"/>
  <c r="Q389" i="72"/>
  <c r="O389" i="72"/>
  <c r="M389" i="72"/>
  <c r="K389" i="72"/>
  <c r="I389" i="72"/>
  <c r="G389" i="72"/>
  <c r="E389" i="72"/>
  <c r="C389" i="72"/>
  <c r="S388" i="72"/>
  <c r="R388" i="72"/>
  <c r="Q388" i="72"/>
  <c r="O388" i="72"/>
  <c r="M388" i="72"/>
  <c r="K388" i="72"/>
  <c r="I388" i="72"/>
  <c r="G388" i="72"/>
  <c r="E388" i="72"/>
  <c r="C388" i="72"/>
  <c r="S387" i="72"/>
  <c r="R387" i="72"/>
  <c r="Q387" i="72"/>
  <c r="O387" i="72"/>
  <c r="M387" i="72"/>
  <c r="K387" i="72"/>
  <c r="I387" i="72"/>
  <c r="G387" i="72"/>
  <c r="E387" i="72"/>
  <c r="C387" i="72"/>
  <c r="S386" i="72"/>
  <c r="R386" i="72"/>
  <c r="Q386" i="72"/>
  <c r="O386" i="72"/>
  <c r="M386" i="72"/>
  <c r="K386" i="72"/>
  <c r="I386" i="72"/>
  <c r="G386" i="72"/>
  <c r="E386" i="72"/>
  <c r="C386" i="72"/>
  <c r="S385" i="72"/>
  <c r="R385" i="72"/>
  <c r="Q385" i="72"/>
  <c r="O385" i="72"/>
  <c r="M385" i="72"/>
  <c r="K385" i="72"/>
  <c r="I385" i="72"/>
  <c r="G385" i="72"/>
  <c r="E385" i="72"/>
  <c r="C385" i="72"/>
  <c r="S384" i="72"/>
  <c r="R384" i="72"/>
  <c r="Q384" i="72"/>
  <c r="O384" i="72"/>
  <c r="M384" i="72"/>
  <c r="K384" i="72"/>
  <c r="I384" i="72"/>
  <c r="G384" i="72"/>
  <c r="E384" i="72"/>
  <c r="C384" i="72"/>
  <c r="S383" i="72"/>
  <c r="R383" i="72"/>
  <c r="Q383" i="72"/>
  <c r="O383" i="72"/>
  <c r="M383" i="72"/>
  <c r="K383" i="72"/>
  <c r="I383" i="72"/>
  <c r="G383" i="72"/>
  <c r="E383" i="72"/>
  <c r="C383" i="72"/>
  <c r="S382" i="72"/>
  <c r="R382" i="72"/>
  <c r="Q382" i="72"/>
  <c r="O382" i="72"/>
  <c r="M382" i="72"/>
  <c r="K382" i="72"/>
  <c r="I382" i="72"/>
  <c r="G382" i="72"/>
  <c r="E382" i="72"/>
  <c r="C382" i="72"/>
  <c r="S381" i="72"/>
  <c r="R381" i="72"/>
  <c r="Q381" i="72"/>
  <c r="O381" i="72"/>
  <c r="M381" i="72"/>
  <c r="K381" i="72"/>
  <c r="I381" i="72"/>
  <c r="G381" i="72"/>
  <c r="E381" i="72"/>
  <c r="C381" i="72"/>
  <c r="S380" i="72"/>
  <c r="R380" i="72"/>
  <c r="Q380" i="72"/>
  <c r="O380" i="72"/>
  <c r="M380" i="72"/>
  <c r="K380" i="72"/>
  <c r="I380" i="72"/>
  <c r="G380" i="72"/>
  <c r="E380" i="72"/>
  <c r="C380" i="72"/>
  <c r="S379" i="72"/>
  <c r="R379" i="72"/>
  <c r="Q379" i="72"/>
  <c r="O379" i="72"/>
  <c r="M379" i="72"/>
  <c r="K379" i="72"/>
  <c r="I379" i="72"/>
  <c r="G379" i="72"/>
  <c r="E379" i="72"/>
  <c r="C379" i="72"/>
  <c r="S378" i="72"/>
  <c r="R378" i="72"/>
  <c r="Q378" i="72"/>
  <c r="O378" i="72"/>
  <c r="M378" i="72"/>
  <c r="K378" i="72"/>
  <c r="I378" i="72"/>
  <c r="G378" i="72"/>
  <c r="E378" i="72"/>
  <c r="C378" i="72"/>
  <c r="S377" i="72"/>
  <c r="R377" i="72"/>
  <c r="Q377" i="72"/>
  <c r="O377" i="72"/>
  <c r="M377" i="72"/>
  <c r="K377" i="72"/>
  <c r="I377" i="72"/>
  <c r="G377" i="72"/>
  <c r="E377" i="72"/>
  <c r="C377" i="72"/>
  <c r="S376" i="72"/>
  <c r="R376" i="72"/>
  <c r="Q376" i="72"/>
  <c r="O376" i="72"/>
  <c r="M376" i="72"/>
  <c r="K376" i="72"/>
  <c r="I376" i="72"/>
  <c r="G376" i="72"/>
  <c r="E376" i="72"/>
  <c r="C376" i="72"/>
  <c r="S375" i="72"/>
  <c r="R375" i="72"/>
  <c r="Q375" i="72"/>
  <c r="O375" i="72"/>
  <c r="M375" i="72"/>
  <c r="K375" i="72"/>
  <c r="I375" i="72"/>
  <c r="G375" i="72"/>
  <c r="E375" i="72"/>
  <c r="C375" i="72"/>
  <c r="S374" i="72"/>
  <c r="R374" i="72"/>
  <c r="Q374" i="72"/>
  <c r="O374" i="72"/>
  <c r="M374" i="72"/>
  <c r="K374" i="72"/>
  <c r="I374" i="72"/>
  <c r="G374" i="72"/>
  <c r="E374" i="72"/>
  <c r="C374" i="72"/>
  <c r="S373" i="72"/>
  <c r="R373" i="72"/>
  <c r="Q373" i="72"/>
  <c r="O373" i="72"/>
  <c r="M373" i="72"/>
  <c r="K373" i="72"/>
  <c r="I373" i="72"/>
  <c r="G373" i="72"/>
  <c r="E373" i="72"/>
  <c r="C373" i="72"/>
  <c r="S372" i="72"/>
  <c r="R372" i="72"/>
  <c r="Q372" i="72"/>
  <c r="O372" i="72"/>
  <c r="M372" i="72"/>
  <c r="K372" i="72"/>
  <c r="I372" i="72"/>
  <c r="G372" i="72"/>
  <c r="E372" i="72"/>
  <c r="C372" i="72"/>
  <c r="S371" i="72"/>
  <c r="R371" i="72"/>
  <c r="Q371" i="72"/>
  <c r="O371" i="72"/>
  <c r="M371" i="72"/>
  <c r="K371" i="72"/>
  <c r="I371" i="72"/>
  <c r="G371" i="72"/>
  <c r="E371" i="72"/>
  <c r="C371" i="72"/>
  <c r="S370" i="72"/>
  <c r="R370" i="72"/>
  <c r="Q370" i="72"/>
  <c r="O370" i="72"/>
  <c r="M370" i="72"/>
  <c r="K370" i="72"/>
  <c r="I370" i="72"/>
  <c r="G370" i="72"/>
  <c r="E370" i="72"/>
  <c r="C370" i="72"/>
  <c r="S369" i="72"/>
  <c r="R369" i="72"/>
  <c r="Q369" i="72"/>
  <c r="O369" i="72"/>
  <c r="M369" i="72"/>
  <c r="K369" i="72"/>
  <c r="I369" i="72"/>
  <c r="G369" i="72"/>
  <c r="E369" i="72"/>
  <c r="C369" i="72"/>
  <c r="S368" i="72"/>
  <c r="R368" i="72"/>
  <c r="Q368" i="72"/>
  <c r="O368" i="72"/>
  <c r="M368" i="72"/>
  <c r="K368" i="72"/>
  <c r="I368" i="72"/>
  <c r="G368" i="72"/>
  <c r="E368" i="72"/>
  <c r="C368" i="72"/>
  <c r="S367" i="72"/>
  <c r="R367" i="72"/>
  <c r="Q367" i="72"/>
  <c r="O367" i="72"/>
  <c r="M367" i="72"/>
  <c r="K367" i="72"/>
  <c r="I367" i="72"/>
  <c r="G367" i="72"/>
  <c r="E367" i="72"/>
  <c r="C367" i="72"/>
  <c r="S366" i="72"/>
  <c r="R366" i="72"/>
  <c r="Q366" i="72"/>
  <c r="O366" i="72"/>
  <c r="M366" i="72"/>
  <c r="K366" i="72"/>
  <c r="I366" i="72"/>
  <c r="G366" i="72"/>
  <c r="E366" i="72"/>
  <c r="C366" i="72"/>
  <c r="S365" i="72"/>
  <c r="R365" i="72"/>
  <c r="Q365" i="72"/>
  <c r="O365" i="72"/>
  <c r="M365" i="72"/>
  <c r="K365" i="72"/>
  <c r="I365" i="72"/>
  <c r="G365" i="72"/>
  <c r="E365" i="72"/>
  <c r="C365" i="72"/>
  <c r="S364" i="72"/>
  <c r="R364" i="72"/>
  <c r="Q364" i="72"/>
  <c r="O364" i="72"/>
  <c r="M364" i="72"/>
  <c r="K364" i="72"/>
  <c r="I364" i="72"/>
  <c r="G364" i="72"/>
  <c r="E364" i="72"/>
  <c r="C364" i="72"/>
  <c r="S363" i="72"/>
  <c r="R363" i="72"/>
  <c r="Q363" i="72"/>
  <c r="O363" i="72"/>
  <c r="M363" i="72"/>
  <c r="K363" i="72"/>
  <c r="I363" i="72"/>
  <c r="G363" i="72"/>
  <c r="E363" i="72"/>
  <c r="C363" i="72"/>
  <c r="S362" i="72"/>
  <c r="R362" i="72"/>
  <c r="Q362" i="72"/>
  <c r="O362" i="72"/>
  <c r="M362" i="72"/>
  <c r="K362" i="72"/>
  <c r="I362" i="72"/>
  <c r="G362" i="72"/>
  <c r="E362" i="72"/>
  <c r="C362" i="72"/>
  <c r="S361" i="72"/>
  <c r="R361" i="72"/>
  <c r="Q361" i="72"/>
  <c r="O361" i="72"/>
  <c r="M361" i="72"/>
  <c r="K361" i="72"/>
  <c r="I361" i="72"/>
  <c r="G361" i="72"/>
  <c r="E361" i="72"/>
  <c r="C361" i="72"/>
  <c r="S360" i="72"/>
  <c r="R360" i="72"/>
  <c r="Q360" i="72"/>
  <c r="O360" i="72"/>
  <c r="M360" i="72"/>
  <c r="K360" i="72"/>
  <c r="I360" i="72"/>
  <c r="G360" i="72"/>
  <c r="E360" i="72"/>
  <c r="C360" i="72"/>
  <c r="S359" i="72"/>
  <c r="R359" i="72"/>
  <c r="Q359" i="72"/>
  <c r="O359" i="72"/>
  <c r="M359" i="72"/>
  <c r="K359" i="72"/>
  <c r="I359" i="72"/>
  <c r="G359" i="72"/>
  <c r="E359" i="72"/>
  <c r="C359" i="72"/>
  <c r="S358" i="72"/>
  <c r="R358" i="72"/>
  <c r="Q358" i="72"/>
  <c r="O358" i="72"/>
  <c r="M358" i="72"/>
  <c r="K358" i="72"/>
  <c r="I358" i="72"/>
  <c r="G358" i="72"/>
  <c r="E358" i="72"/>
  <c r="C358" i="72"/>
  <c r="S357" i="72"/>
  <c r="R357" i="72"/>
  <c r="Q357" i="72"/>
  <c r="O357" i="72"/>
  <c r="M357" i="72"/>
  <c r="K357" i="72"/>
  <c r="I357" i="72"/>
  <c r="G357" i="72"/>
  <c r="E357" i="72"/>
  <c r="C357" i="72"/>
  <c r="S356" i="72"/>
  <c r="R356" i="72"/>
  <c r="Q356" i="72"/>
  <c r="O356" i="72"/>
  <c r="M356" i="72"/>
  <c r="K356" i="72"/>
  <c r="I356" i="72"/>
  <c r="G356" i="72"/>
  <c r="E356" i="72"/>
  <c r="C356" i="72"/>
  <c r="S355" i="72"/>
  <c r="R355" i="72"/>
  <c r="Q355" i="72"/>
  <c r="O355" i="72"/>
  <c r="M355" i="72"/>
  <c r="K355" i="72"/>
  <c r="I355" i="72"/>
  <c r="G355" i="72"/>
  <c r="E355" i="72"/>
  <c r="C355" i="72"/>
  <c r="S354" i="72"/>
  <c r="R354" i="72"/>
  <c r="Q354" i="72"/>
  <c r="O354" i="72"/>
  <c r="M354" i="72"/>
  <c r="K354" i="72"/>
  <c r="I354" i="72"/>
  <c r="G354" i="72"/>
  <c r="E354" i="72"/>
  <c r="C354" i="72"/>
  <c r="S353" i="72"/>
  <c r="R353" i="72"/>
  <c r="Q353" i="72"/>
  <c r="O353" i="72"/>
  <c r="M353" i="72"/>
  <c r="K353" i="72"/>
  <c r="I353" i="72"/>
  <c r="G353" i="72"/>
  <c r="E353" i="72"/>
  <c r="C353" i="72"/>
  <c r="S352" i="72"/>
  <c r="R352" i="72"/>
  <c r="Q352" i="72"/>
  <c r="O352" i="72"/>
  <c r="M352" i="72"/>
  <c r="K352" i="72"/>
  <c r="I352" i="72"/>
  <c r="G352" i="72"/>
  <c r="E352" i="72"/>
  <c r="C352" i="72"/>
  <c r="S351" i="72"/>
  <c r="R351" i="72"/>
  <c r="Q351" i="72"/>
  <c r="O351" i="72"/>
  <c r="M351" i="72"/>
  <c r="K351" i="72"/>
  <c r="I351" i="72"/>
  <c r="G351" i="72"/>
  <c r="E351" i="72"/>
  <c r="C351" i="72"/>
  <c r="S350" i="72"/>
  <c r="R350" i="72"/>
  <c r="Q350" i="72"/>
  <c r="O350" i="72"/>
  <c r="M350" i="72"/>
  <c r="K350" i="72"/>
  <c r="I350" i="72"/>
  <c r="G350" i="72"/>
  <c r="E350" i="72"/>
  <c r="C350" i="72"/>
  <c r="S349" i="72"/>
  <c r="R349" i="72"/>
  <c r="Q349" i="72"/>
  <c r="O349" i="72"/>
  <c r="M349" i="72"/>
  <c r="K349" i="72"/>
  <c r="I349" i="72"/>
  <c r="G349" i="72"/>
  <c r="E349" i="72"/>
  <c r="C349" i="72"/>
  <c r="S348" i="72"/>
  <c r="R348" i="72"/>
  <c r="Q348" i="72"/>
  <c r="O348" i="72"/>
  <c r="M348" i="72"/>
  <c r="K348" i="72"/>
  <c r="I348" i="72"/>
  <c r="G348" i="72"/>
  <c r="E348" i="72"/>
  <c r="C348" i="72"/>
  <c r="S347" i="72"/>
  <c r="R347" i="72"/>
  <c r="Q347" i="72"/>
  <c r="O347" i="72"/>
  <c r="M347" i="72"/>
  <c r="K347" i="72"/>
  <c r="I347" i="72"/>
  <c r="G347" i="72"/>
  <c r="E347" i="72"/>
  <c r="C347" i="72"/>
  <c r="S346" i="72"/>
  <c r="R346" i="72"/>
  <c r="Q346" i="72"/>
  <c r="O346" i="72"/>
  <c r="M346" i="72"/>
  <c r="K346" i="72"/>
  <c r="I346" i="72"/>
  <c r="G346" i="72"/>
  <c r="E346" i="72"/>
  <c r="C346" i="72"/>
  <c r="S345" i="72"/>
  <c r="R345" i="72"/>
  <c r="Q345" i="72"/>
  <c r="O345" i="72"/>
  <c r="M345" i="72"/>
  <c r="K345" i="72"/>
  <c r="I345" i="72"/>
  <c r="G345" i="72"/>
  <c r="E345" i="72"/>
  <c r="C345" i="72"/>
  <c r="S344" i="72"/>
  <c r="R344" i="72"/>
  <c r="Q344" i="72"/>
  <c r="O344" i="72"/>
  <c r="M344" i="72"/>
  <c r="K344" i="72"/>
  <c r="I344" i="72"/>
  <c r="G344" i="72"/>
  <c r="E344" i="72"/>
  <c r="C344" i="72"/>
  <c r="S343" i="72"/>
  <c r="R343" i="72"/>
  <c r="Q343" i="72"/>
  <c r="O343" i="72"/>
  <c r="M343" i="72"/>
  <c r="K343" i="72"/>
  <c r="I343" i="72"/>
  <c r="G343" i="72"/>
  <c r="E343" i="72"/>
  <c r="C343" i="72"/>
  <c r="S342" i="72"/>
  <c r="R342" i="72"/>
  <c r="Q342" i="72"/>
  <c r="O342" i="72"/>
  <c r="M342" i="72"/>
  <c r="K342" i="72"/>
  <c r="I342" i="72"/>
  <c r="G342" i="72"/>
  <c r="E342" i="72"/>
  <c r="C342" i="72"/>
  <c r="S341" i="72"/>
  <c r="R341" i="72"/>
  <c r="Q341" i="72"/>
  <c r="O341" i="72"/>
  <c r="M341" i="72"/>
  <c r="K341" i="72"/>
  <c r="I341" i="72"/>
  <c r="G341" i="72"/>
  <c r="E341" i="72"/>
  <c r="C341" i="72"/>
  <c r="S340" i="72"/>
  <c r="R340" i="72"/>
  <c r="Q340" i="72"/>
  <c r="O340" i="72"/>
  <c r="M340" i="72"/>
  <c r="K340" i="72"/>
  <c r="I340" i="72"/>
  <c r="G340" i="72"/>
  <c r="E340" i="72"/>
  <c r="C340" i="72"/>
  <c r="S339" i="72"/>
  <c r="R339" i="72"/>
  <c r="Q339" i="72"/>
  <c r="O339" i="72"/>
  <c r="M339" i="72"/>
  <c r="K339" i="72"/>
  <c r="I339" i="72"/>
  <c r="G339" i="72"/>
  <c r="E339" i="72"/>
  <c r="C339" i="72"/>
  <c r="S338" i="72"/>
  <c r="R338" i="72"/>
  <c r="Q338" i="72"/>
  <c r="O338" i="72"/>
  <c r="M338" i="72"/>
  <c r="K338" i="72"/>
  <c r="I338" i="72"/>
  <c r="G338" i="72"/>
  <c r="E338" i="72"/>
  <c r="C338" i="72"/>
  <c r="S337" i="72"/>
  <c r="R337" i="72"/>
  <c r="Q337" i="72"/>
  <c r="O337" i="72"/>
  <c r="M337" i="72"/>
  <c r="K337" i="72"/>
  <c r="I337" i="72"/>
  <c r="G337" i="72"/>
  <c r="E337" i="72"/>
  <c r="C337" i="72"/>
  <c r="S336" i="72"/>
  <c r="R336" i="72"/>
  <c r="Q336" i="72"/>
  <c r="O336" i="72"/>
  <c r="M336" i="72"/>
  <c r="K336" i="72"/>
  <c r="I336" i="72"/>
  <c r="G336" i="72"/>
  <c r="E336" i="72"/>
  <c r="C336" i="72"/>
  <c r="S335" i="72"/>
  <c r="R335" i="72"/>
  <c r="Q335" i="72"/>
  <c r="O335" i="72"/>
  <c r="M335" i="72"/>
  <c r="K335" i="72"/>
  <c r="I335" i="72"/>
  <c r="G335" i="72"/>
  <c r="E335" i="72"/>
  <c r="C335" i="72"/>
  <c r="S334" i="72"/>
  <c r="R334" i="72"/>
  <c r="Q334" i="72"/>
  <c r="O334" i="72"/>
  <c r="M334" i="72"/>
  <c r="K334" i="72"/>
  <c r="I334" i="72"/>
  <c r="G334" i="72"/>
  <c r="E334" i="72"/>
  <c r="C334" i="72"/>
  <c r="S333" i="72"/>
  <c r="R333" i="72"/>
  <c r="Q333" i="72"/>
  <c r="O333" i="72"/>
  <c r="M333" i="72"/>
  <c r="K333" i="72"/>
  <c r="I333" i="72"/>
  <c r="G333" i="72"/>
  <c r="E333" i="72"/>
  <c r="C333" i="72"/>
  <c r="S332" i="72"/>
  <c r="R332" i="72"/>
  <c r="Q332" i="72"/>
  <c r="O332" i="72"/>
  <c r="M332" i="72"/>
  <c r="K332" i="72"/>
  <c r="I332" i="72"/>
  <c r="G332" i="72"/>
  <c r="E332" i="72"/>
  <c r="C332" i="72"/>
  <c r="S331" i="72"/>
  <c r="R331" i="72"/>
  <c r="Q331" i="72"/>
  <c r="O331" i="72"/>
  <c r="M331" i="72"/>
  <c r="K331" i="72"/>
  <c r="I331" i="72"/>
  <c r="G331" i="72"/>
  <c r="E331" i="72"/>
  <c r="C331" i="72"/>
  <c r="S330" i="72"/>
  <c r="R330" i="72"/>
  <c r="Q330" i="72"/>
  <c r="O330" i="72"/>
  <c r="M330" i="72"/>
  <c r="K330" i="72"/>
  <c r="I330" i="72"/>
  <c r="G330" i="72"/>
  <c r="E330" i="72"/>
  <c r="C330" i="72"/>
  <c r="S329" i="72"/>
  <c r="R329" i="72"/>
  <c r="Q329" i="72"/>
  <c r="O329" i="72"/>
  <c r="M329" i="72"/>
  <c r="K329" i="72"/>
  <c r="I329" i="72"/>
  <c r="G329" i="72"/>
  <c r="E329" i="72"/>
  <c r="C329" i="72"/>
  <c r="S328" i="72"/>
  <c r="R328" i="72"/>
  <c r="Q328" i="72"/>
  <c r="O328" i="72"/>
  <c r="M328" i="72"/>
  <c r="K328" i="72"/>
  <c r="I328" i="72"/>
  <c r="G328" i="72"/>
  <c r="E328" i="72"/>
  <c r="C328" i="72"/>
  <c r="S327" i="72"/>
  <c r="R327" i="72"/>
  <c r="Q327" i="72"/>
  <c r="O327" i="72"/>
  <c r="M327" i="72"/>
  <c r="K327" i="72"/>
  <c r="I327" i="72"/>
  <c r="G327" i="72"/>
  <c r="E327" i="72"/>
  <c r="C327" i="72"/>
  <c r="S326" i="72"/>
  <c r="R326" i="72"/>
  <c r="Q326" i="72"/>
  <c r="O326" i="72"/>
  <c r="M326" i="72"/>
  <c r="K326" i="72"/>
  <c r="I326" i="72"/>
  <c r="G326" i="72"/>
  <c r="E326" i="72"/>
  <c r="C326" i="72"/>
  <c r="S325" i="72"/>
  <c r="R325" i="72"/>
  <c r="Q325" i="72"/>
  <c r="O325" i="72"/>
  <c r="M325" i="72"/>
  <c r="K325" i="72"/>
  <c r="I325" i="72"/>
  <c r="G325" i="72"/>
  <c r="E325" i="72"/>
  <c r="C325" i="72"/>
  <c r="S324" i="72"/>
  <c r="R324" i="72"/>
  <c r="Q324" i="72"/>
  <c r="O324" i="72"/>
  <c r="M324" i="72"/>
  <c r="K324" i="72"/>
  <c r="I324" i="72"/>
  <c r="G324" i="72"/>
  <c r="E324" i="72"/>
  <c r="C324" i="72"/>
  <c r="S323" i="72"/>
  <c r="R323" i="72"/>
  <c r="Q323" i="72"/>
  <c r="O323" i="72"/>
  <c r="M323" i="72"/>
  <c r="K323" i="72"/>
  <c r="I323" i="72"/>
  <c r="G323" i="72"/>
  <c r="E323" i="72"/>
  <c r="C323" i="72"/>
  <c r="S322" i="72"/>
  <c r="R322" i="72"/>
  <c r="Q322" i="72"/>
  <c r="O322" i="72"/>
  <c r="M322" i="72"/>
  <c r="K322" i="72"/>
  <c r="I322" i="72"/>
  <c r="G322" i="72"/>
  <c r="E322" i="72"/>
  <c r="C322" i="72"/>
  <c r="S321" i="72"/>
  <c r="R321" i="72"/>
  <c r="Q321" i="72"/>
  <c r="O321" i="72"/>
  <c r="M321" i="72"/>
  <c r="K321" i="72"/>
  <c r="I321" i="72"/>
  <c r="G321" i="72"/>
  <c r="E321" i="72"/>
  <c r="C321" i="72"/>
  <c r="S320" i="72"/>
  <c r="R320" i="72"/>
  <c r="Q320" i="72"/>
  <c r="O320" i="72"/>
  <c r="M320" i="72"/>
  <c r="K320" i="72"/>
  <c r="I320" i="72"/>
  <c r="G320" i="72"/>
  <c r="E320" i="72"/>
  <c r="C320" i="72"/>
  <c r="S319" i="72"/>
  <c r="R319" i="72"/>
  <c r="Q319" i="72"/>
  <c r="O319" i="72"/>
  <c r="M319" i="72"/>
  <c r="K319" i="72"/>
  <c r="I319" i="72"/>
  <c r="G319" i="72"/>
  <c r="E319" i="72"/>
  <c r="C319" i="72"/>
  <c r="S318" i="72"/>
  <c r="R318" i="72"/>
  <c r="Q318" i="72"/>
  <c r="O318" i="72"/>
  <c r="M318" i="72"/>
  <c r="K318" i="72"/>
  <c r="I318" i="72"/>
  <c r="G318" i="72"/>
  <c r="E318" i="72"/>
  <c r="C318" i="72"/>
  <c r="S317" i="72"/>
  <c r="R317" i="72"/>
  <c r="Q317" i="72"/>
  <c r="O317" i="72"/>
  <c r="M317" i="72"/>
  <c r="K317" i="72"/>
  <c r="I317" i="72"/>
  <c r="G317" i="72"/>
  <c r="E317" i="72"/>
  <c r="C317" i="72"/>
  <c r="S316" i="72"/>
  <c r="R316" i="72"/>
  <c r="Q316" i="72"/>
  <c r="O316" i="72"/>
  <c r="M316" i="72"/>
  <c r="K316" i="72"/>
  <c r="I316" i="72"/>
  <c r="G316" i="72"/>
  <c r="E316" i="72"/>
  <c r="C316" i="72"/>
  <c r="S315" i="72"/>
  <c r="R315" i="72"/>
  <c r="Q315" i="72"/>
  <c r="O315" i="72"/>
  <c r="M315" i="72"/>
  <c r="K315" i="72"/>
  <c r="I315" i="72"/>
  <c r="G315" i="72"/>
  <c r="E315" i="72"/>
  <c r="C315" i="72"/>
  <c r="S314" i="72"/>
  <c r="R314" i="72"/>
  <c r="Q314" i="72"/>
  <c r="O314" i="72"/>
  <c r="M314" i="72"/>
  <c r="K314" i="72"/>
  <c r="I314" i="72"/>
  <c r="G314" i="72"/>
  <c r="E314" i="72"/>
  <c r="C314" i="72"/>
  <c r="S313" i="72"/>
  <c r="R313" i="72"/>
  <c r="Q313" i="72"/>
  <c r="O313" i="72"/>
  <c r="M313" i="72"/>
  <c r="K313" i="72"/>
  <c r="I313" i="72"/>
  <c r="G313" i="72"/>
  <c r="E313" i="72"/>
  <c r="C313" i="72"/>
  <c r="S312" i="72"/>
  <c r="R312" i="72"/>
  <c r="Q312" i="72"/>
  <c r="O312" i="72"/>
  <c r="M312" i="72"/>
  <c r="K312" i="72"/>
  <c r="I312" i="72"/>
  <c r="G312" i="72"/>
  <c r="E312" i="72"/>
  <c r="C312" i="72"/>
  <c r="S311" i="72"/>
  <c r="R311" i="72"/>
  <c r="Q311" i="72"/>
  <c r="O311" i="72"/>
  <c r="M311" i="72"/>
  <c r="K311" i="72"/>
  <c r="I311" i="72"/>
  <c r="G311" i="72"/>
  <c r="E311" i="72"/>
  <c r="C311" i="72"/>
  <c r="S310" i="72"/>
  <c r="R310" i="72"/>
  <c r="Q310" i="72"/>
  <c r="O310" i="72"/>
  <c r="M310" i="72"/>
  <c r="K310" i="72"/>
  <c r="I310" i="72"/>
  <c r="G310" i="72"/>
  <c r="E310" i="72"/>
  <c r="C310" i="72"/>
  <c r="S309" i="72"/>
  <c r="R309" i="72"/>
  <c r="Q309" i="72"/>
  <c r="O309" i="72"/>
  <c r="M309" i="72"/>
  <c r="K309" i="72"/>
  <c r="I309" i="72"/>
  <c r="G309" i="72"/>
  <c r="E309" i="72"/>
  <c r="C309" i="72"/>
  <c r="S308" i="72"/>
  <c r="R308" i="72"/>
  <c r="Q308" i="72"/>
  <c r="O308" i="72"/>
  <c r="M308" i="72"/>
  <c r="K308" i="72"/>
  <c r="I308" i="72"/>
  <c r="G308" i="72"/>
  <c r="E308" i="72"/>
  <c r="C308" i="72"/>
  <c r="S307" i="72"/>
  <c r="R307" i="72"/>
  <c r="Q307" i="72"/>
  <c r="O307" i="72"/>
  <c r="M307" i="72"/>
  <c r="K307" i="72"/>
  <c r="I307" i="72"/>
  <c r="G307" i="72"/>
  <c r="E307" i="72"/>
  <c r="C307" i="72"/>
  <c r="S306" i="72"/>
  <c r="R306" i="72"/>
  <c r="Q306" i="72"/>
  <c r="O306" i="72"/>
  <c r="M306" i="72"/>
  <c r="K306" i="72"/>
  <c r="I306" i="72"/>
  <c r="G306" i="72"/>
  <c r="E306" i="72"/>
  <c r="C306" i="72"/>
  <c r="S305" i="72"/>
  <c r="R305" i="72"/>
  <c r="Q305" i="72"/>
  <c r="O305" i="72"/>
  <c r="M305" i="72"/>
  <c r="K305" i="72"/>
  <c r="I305" i="72"/>
  <c r="G305" i="72"/>
  <c r="E305" i="72"/>
  <c r="C305" i="72"/>
  <c r="S304" i="72"/>
  <c r="R304" i="72"/>
  <c r="Q304" i="72"/>
  <c r="O304" i="72"/>
  <c r="M304" i="72"/>
  <c r="K304" i="72"/>
  <c r="I304" i="72"/>
  <c r="G304" i="72"/>
  <c r="E304" i="72"/>
  <c r="C304" i="72"/>
  <c r="S303" i="72"/>
  <c r="R303" i="72"/>
  <c r="Q303" i="72"/>
  <c r="O303" i="72"/>
  <c r="M303" i="72"/>
  <c r="K303" i="72"/>
  <c r="I303" i="72"/>
  <c r="G303" i="72"/>
  <c r="E303" i="72"/>
  <c r="C303" i="72"/>
  <c r="S302" i="72"/>
  <c r="R302" i="72"/>
  <c r="Q302" i="72"/>
  <c r="O302" i="72"/>
  <c r="M302" i="72"/>
  <c r="K302" i="72"/>
  <c r="I302" i="72"/>
  <c r="G302" i="72"/>
  <c r="E302" i="72"/>
  <c r="C302" i="72"/>
  <c r="S301" i="72"/>
  <c r="R301" i="72"/>
  <c r="Q301" i="72"/>
  <c r="O301" i="72"/>
  <c r="M301" i="72"/>
  <c r="K301" i="72"/>
  <c r="I301" i="72"/>
  <c r="G301" i="72"/>
  <c r="E301" i="72"/>
  <c r="C301" i="72"/>
  <c r="S300" i="72"/>
  <c r="R300" i="72"/>
  <c r="Q300" i="72"/>
  <c r="O300" i="72"/>
  <c r="M300" i="72"/>
  <c r="K300" i="72"/>
  <c r="I300" i="72"/>
  <c r="G300" i="72"/>
  <c r="E300" i="72"/>
  <c r="C300" i="72"/>
  <c r="S299" i="72"/>
  <c r="R299" i="72"/>
  <c r="Q299" i="72"/>
  <c r="O299" i="72"/>
  <c r="M299" i="72"/>
  <c r="K299" i="72"/>
  <c r="I299" i="72"/>
  <c r="G299" i="72"/>
  <c r="E299" i="72"/>
  <c r="C299" i="72"/>
  <c r="S298" i="72"/>
  <c r="R298" i="72"/>
  <c r="Q298" i="72"/>
  <c r="O298" i="72"/>
  <c r="M298" i="72"/>
  <c r="K298" i="72"/>
  <c r="I298" i="72"/>
  <c r="G298" i="72"/>
  <c r="E298" i="72"/>
  <c r="C298" i="72"/>
  <c r="S297" i="72"/>
  <c r="R297" i="72"/>
  <c r="Q297" i="72"/>
  <c r="O297" i="72"/>
  <c r="M297" i="72"/>
  <c r="K297" i="72"/>
  <c r="I297" i="72"/>
  <c r="G297" i="72"/>
  <c r="E297" i="72"/>
  <c r="C297" i="72"/>
  <c r="S296" i="72"/>
  <c r="R296" i="72"/>
  <c r="Q296" i="72"/>
  <c r="O296" i="72"/>
  <c r="M296" i="72"/>
  <c r="K296" i="72"/>
  <c r="I296" i="72"/>
  <c r="G296" i="72"/>
  <c r="E296" i="72"/>
  <c r="C296" i="72"/>
  <c r="S295" i="72"/>
  <c r="R295" i="72"/>
  <c r="Q295" i="72"/>
  <c r="O295" i="72"/>
  <c r="M295" i="72"/>
  <c r="K295" i="72"/>
  <c r="I295" i="72"/>
  <c r="G295" i="72"/>
  <c r="E295" i="72"/>
  <c r="C295" i="72"/>
  <c r="S294" i="72"/>
  <c r="R294" i="72"/>
  <c r="Q294" i="72"/>
  <c r="O294" i="72"/>
  <c r="M294" i="72"/>
  <c r="K294" i="72"/>
  <c r="I294" i="72"/>
  <c r="G294" i="72"/>
  <c r="E294" i="72"/>
  <c r="C294" i="72"/>
  <c r="S293" i="72"/>
  <c r="R293" i="72"/>
  <c r="Q293" i="72"/>
  <c r="O293" i="72"/>
  <c r="M293" i="72"/>
  <c r="K293" i="72"/>
  <c r="I293" i="72"/>
  <c r="G293" i="72"/>
  <c r="E293" i="72"/>
  <c r="C293" i="72"/>
  <c r="S292" i="72"/>
  <c r="R292" i="72"/>
  <c r="Q292" i="72"/>
  <c r="O292" i="72"/>
  <c r="M292" i="72"/>
  <c r="K292" i="72"/>
  <c r="I292" i="72"/>
  <c r="G292" i="72"/>
  <c r="E292" i="72"/>
  <c r="C292" i="72"/>
  <c r="S291" i="72"/>
  <c r="R291" i="72"/>
  <c r="Q291" i="72"/>
  <c r="O291" i="72"/>
  <c r="M291" i="72"/>
  <c r="K291" i="72"/>
  <c r="I291" i="72"/>
  <c r="G291" i="72"/>
  <c r="E291" i="72"/>
  <c r="C291" i="72"/>
  <c r="S290" i="72"/>
  <c r="R290" i="72"/>
  <c r="Q290" i="72"/>
  <c r="O290" i="72"/>
  <c r="M290" i="72"/>
  <c r="K290" i="72"/>
  <c r="I290" i="72"/>
  <c r="G290" i="72"/>
  <c r="E290" i="72"/>
  <c r="C290" i="72"/>
  <c r="S289" i="72"/>
  <c r="R289" i="72"/>
  <c r="Q289" i="72"/>
  <c r="O289" i="72"/>
  <c r="M289" i="72"/>
  <c r="K289" i="72"/>
  <c r="I289" i="72"/>
  <c r="G289" i="72"/>
  <c r="E289" i="72"/>
  <c r="C289" i="72"/>
  <c r="S288" i="72"/>
  <c r="R288" i="72"/>
  <c r="Q288" i="72"/>
  <c r="O288" i="72"/>
  <c r="M288" i="72"/>
  <c r="K288" i="72"/>
  <c r="I288" i="72"/>
  <c r="G288" i="72"/>
  <c r="E288" i="72"/>
  <c r="C288" i="72"/>
  <c r="S287" i="72"/>
  <c r="R287" i="72"/>
  <c r="Q287" i="72"/>
  <c r="O287" i="72"/>
  <c r="M287" i="72"/>
  <c r="K287" i="72"/>
  <c r="I287" i="72"/>
  <c r="G287" i="72"/>
  <c r="E287" i="72"/>
  <c r="C287" i="72"/>
  <c r="S286" i="72"/>
  <c r="R286" i="72"/>
  <c r="Q286" i="72"/>
  <c r="O286" i="72"/>
  <c r="M286" i="72"/>
  <c r="K286" i="72"/>
  <c r="I286" i="72"/>
  <c r="G286" i="72"/>
  <c r="E286" i="72"/>
  <c r="C286" i="72"/>
  <c r="S285" i="72"/>
  <c r="R285" i="72"/>
  <c r="Q285" i="72"/>
  <c r="O285" i="72"/>
  <c r="M285" i="72"/>
  <c r="K285" i="72"/>
  <c r="I285" i="72"/>
  <c r="G285" i="72"/>
  <c r="E285" i="72"/>
  <c r="C285" i="72"/>
  <c r="S284" i="72"/>
  <c r="R284" i="72"/>
  <c r="Q284" i="72"/>
  <c r="O284" i="72"/>
  <c r="M284" i="72"/>
  <c r="K284" i="72"/>
  <c r="I284" i="72"/>
  <c r="G284" i="72"/>
  <c r="E284" i="72"/>
  <c r="C284" i="72"/>
  <c r="S283" i="72"/>
  <c r="R283" i="72"/>
  <c r="Q283" i="72"/>
  <c r="O283" i="72"/>
  <c r="M283" i="72"/>
  <c r="K283" i="72"/>
  <c r="I283" i="72"/>
  <c r="G283" i="72"/>
  <c r="E283" i="72"/>
  <c r="C283" i="72"/>
  <c r="S282" i="72"/>
  <c r="R282" i="72"/>
  <c r="Q282" i="72"/>
  <c r="O282" i="72"/>
  <c r="M282" i="72"/>
  <c r="K282" i="72"/>
  <c r="I282" i="72"/>
  <c r="G282" i="72"/>
  <c r="E282" i="72"/>
  <c r="C282" i="72"/>
  <c r="S281" i="72"/>
  <c r="R281" i="72"/>
  <c r="Q281" i="72"/>
  <c r="O281" i="72"/>
  <c r="M281" i="72"/>
  <c r="K281" i="72"/>
  <c r="I281" i="72"/>
  <c r="G281" i="72"/>
  <c r="E281" i="72"/>
  <c r="C281" i="72"/>
  <c r="S280" i="72"/>
  <c r="R280" i="72"/>
  <c r="Q280" i="72"/>
  <c r="O280" i="72"/>
  <c r="M280" i="72"/>
  <c r="K280" i="72"/>
  <c r="I280" i="72"/>
  <c r="G280" i="72"/>
  <c r="E280" i="72"/>
  <c r="C280" i="72"/>
  <c r="S279" i="72"/>
  <c r="R279" i="72"/>
  <c r="Q279" i="72"/>
  <c r="O279" i="72"/>
  <c r="M279" i="72"/>
  <c r="K279" i="72"/>
  <c r="I279" i="72"/>
  <c r="G279" i="72"/>
  <c r="E279" i="72"/>
  <c r="C279" i="72"/>
  <c r="S278" i="72"/>
  <c r="R278" i="72"/>
  <c r="Q278" i="72"/>
  <c r="O278" i="72"/>
  <c r="M278" i="72"/>
  <c r="K278" i="72"/>
  <c r="I278" i="72"/>
  <c r="G278" i="72"/>
  <c r="E278" i="72"/>
  <c r="C278" i="72"/>
  <c r="S277" i="72"/>
  <c r="R277" i="72"/>
  <c r="Q277" i="72"/>
  <c r="O277" i="72"/>
  <c r="M277" i="72"/>
  <c r="K277" i="72"/>
  <c r="I277" i="72"/>
  <c r="G277" i="72"/>
  <c r="E277" i="72"/>
  <c r="C277" i="72"/>
  <c r="S276" i="72"/>
  <c r="R276" i="72"/>
  <c r="Q276" i="72"/>
  <c r="O276" i="72"/>
  <c r="M276" i="72"/>
  <c r="K276" i="72"/>
  <c r="I276" i="72"/>
  <c r="G276" i="72"/>
  <c r="E276" i="72"/>
  <c r="C276" i="72"/>
  <c r="S275" i="72"/>
  <c r="R275" i="72"/>
  <c r="Q275" i="72"/>
  <c r="O275" i="72"/>
  <c r="M275" i="72"/>
  <c r="K275" i="72"/>
  <c r="I275" i="72"/>
  <c r="G275" i="72"/>
  <c r="E275" i="72"/>
  <c r="C275" i="72"/>
  <c r="S274" i="72"/>
  <c r="R274" i="72"/>
  <c r="Q274" i="72"/>
  <c r="O274" i="72"/>
  <c r="M274" i="72"/>
  <c r="K274" i="72"/>
  <c r="I274" i="72"/>
  <c r="G274" i="72"/>
  <c r="E274" i="72"/>
  <c r="C274" i="72"/>
  <c r="S273" i="72"/>
  <c r="R273" i="72"/>
  <c r="Q273" i="72"/>
  <c r="O273" i="72"/>
  <c r="M273" i="72"/>
  <c r="K273" i="72"/>
  <c r="I273" i="72"/>
  <c r="G273" i="72"/>
  <c r="E273" i="72"/>
  <c r="C273" i="72"/>
  <c r="S272" i="72"/>
  <c r="R272" i="72"/>
  <c r="Q272" i="72"/>
  <c r="O272" i="72"/>
  <c r="M272" i="72"/>
  <c r="K272" i="72"/>
  <c r="I272" i="72"/>
  <c r="G272" i="72"/>
  <c r="E272" i="72"/>
  <c r="C272" i="72"/>
  <c r="S271" i="72"/>
  <c r="R271" i="72"/>
  <c r="Q271" i="72"/>
  <c r="O271" i="72"/>
  <c r="M271" i="72"/>
  <c r="K271" i="72"/>
  <c r="I271" i="72"/>
  <c r="G271" i="72"/>
  <c r="E271" i="72"/>
  <c r="C271" i="72"/>
  <c r="S270" i="72"/>
  <c r="R270" i="72"/>
  <c r="Q270" i="72"/>
  <c r="O270" i="72"/>
  <c r="M270" i="72"/>
  <c r="K270" i="72"/>
  <c r="I270" i="72"/>
  <c r="G270" i="72"/>
  <c r="E270" i="72"/>
  <c r="C270" i="72"/>
  <c r="S269" i="72"/>
  <c r="R269" i="72"/>
  <c r="Q269" i="72"/>
  <c r="O269" i="72"/>
  <c r="M269" i="72"/>
  <c r="K269" i="72"/>
  <c r="I269" i="72"/>
  <c r="G269" i="72"/>
  <c r="E269" i="72"/>
  <c r="C269" i="72"/>
  <c r="S268" i="72"/>
  <c r="R268" i="72"/>
  <c r="Q268" i="72"/>
  <c r="O268" i="72"/>
  <c r="M268" i="72"/>
  <c r="K268" i="72"/>
  <c r="I268" i="72"/>
  <c r="G268" i="72"/>
  <c r="E268" i="72"/>
  <c r="C268" i="72"/>
  <c r="S267" i="72"/>
  <c r="R267" i="72"/>
  <c r="Q267" i="72"/>
  <c r="O267" i="72"/>
  <c r="M267" i="72"/>
  <c r="K267" i="72"/>
  <c r="I267" i="72"/>
  <c r="G267" i="72"/>
  <c r="E267" i="72"/>
  <c r="C267" i="72"/>
  <c r="S266" i="72"/>
  <c r="R266" i="72"/>
  <c r="Q266" i="72"/>
  <c r="O266" i="72"/>
  <c r="M266" i="72"/>
  <c r="K266" i="72"/>
  <c r="I266" i="72"/>
  <c r="G266" i="72"/>
  <c r="E266" i="72"/>
  <c r="C266" i="72"/>
  <c r="S265" i="72"/>
  <c r="R265" i="72"/>
  <c r="Q265" i="72"/>
  <c r="O265" i="72"/>
  <c r="M265" i="72"/>
  <c r="K265" i="72"/>
  <c r="I265" i="72"/>
  <c r="G265" i="72"/>
  <c r="E265" i="72"/>
  <c r="C265" i="72"/>
  <c r="S264" i="72"/>
  <c r="R264" i="72"/>
  <c r="Q264" i="72"/>
  <c r="O264" i="72"/>
  <c r="M264" i="72"/>
  <c r="K264" i="72"/>
  <c r="I264" i="72"/>
  <c r="G264" i="72"/>
  <c r="E264" i="72"/>
  <c r="C264" i="72"/>
  <c r="S263" i="72"/>
  <c r="R263" i="72"/>
  <c r="Q263" i="72"/>
  <c r="O263" i="72"/>
  <c r="M263" i="72"/>
  <c r="K263" i="72"/>
  <c r="I263" i="72"/>
  <c r="G263" i="72"/>
  <c r="E263" i="72"/>
  <c r="C263" i="72"/>
  <c r="S262" i="72"/>
  <c r="R262" i="72"/>
  <c r="Q262" i="72"/>
  <c r="O262" i="72"/>
  <c r="M262" i="72"/>
  <c r="K262" i="72"/>
  <c r="I262" i="72"/>
  <c r="G262" i="72"/>
  <c r="E262" i="72"/>
  <c r="C262" i="72"/>
  <c r="S261" i="72"/>
  <c r="R261" i="72"/>
  <c r="Q261" i="72"/>
  <c r="O261" i="72"/>
  <c r="M261" i="72"/>
  <c r="K261" i="72"/>
  <c r="I261" i="72"/>
  <c r="G261" i="72"/>
  <c r="E261" i="72"/>
  <c r="C261" i="72"/>
  <c r="S260" i="72"/>
  <c r="R260" i="72"/>
  <c r="Q260" i="72"/>
  <c r="O260" i="72"/>
  <c r="M260" i="72"/>
  <c r="K260" i="72"/>
  <c r="I260" i="72"/>
  <c r="G260" i="72"/>
  <c r="E260" i="72"/>
  <c r="C260" i="72"/>
  <c r="S259" i="72"/>
  <c r="R259" i="72"/>
  <c r="Q259" i="72"/>
  <c r="O259" i="72"/>
  <c r="M259" i="72"/>
  <c r="K259" i="72"/>
  <c r="I259" i="72"/>
  <c r="G259" i="72"/>
  <c r="E259" i="72"/>
  <c r="C259" i="72"/>
  <c r="S258" i="72"/>
  <c r="R258" i="72"/>
  <c r="Q258" i="72"/>
  <c r="O258" i="72"/>
  <c r="M258" i="72"/>
  <c r="K258" i="72"/>
  <c r="I258" i="72"/>
  <c r="G258" i="72"/>
  <c r="E258" i="72"/>
  <c r="C258" i="72"/>
  <c r="S257" i="72"/>
  <c r="R257" i="72"/>
  <c r="Q257" i="72"/>
  <c r="O257" i="72"/>
  <c r="M257" i="72"/>
  <c r="K257" i="72"/>
  <c r="I257" i="72"/>
  <c r="G257" i="72"/>
  <c r="E257" i="72"/>
  <c r="C257" i="72"/>
  <c r="S256" i="72"/>
  <c r="R256" i="72"/>
  <c r="Q256" i="72"/>
  <c r="O256" i="72"/>
  <c r="M256" i="72"/>
  <c r="K256" i="72"/>
  <c r="I256" i="72"/>
  <c r="G256" i="72"/>
  <c r="E256" i="72"/>
  <c r="C256" i="72"/>
  <c r="S255" i="72"/>
  <c r="R255" i="72"/>
  <c r="Q255" i="72"/>
  <c r="O255" i="72"/>
  <c r="M255" i="72"/>
  <c r="K255" i="72"/>
  <c r="I255" i="72"/>
  <c r="G255" i="72"/>
  <c r="E255" i="72"/>
  <c r="C255" i="72"/>
  <c r="S254" i="72"/>
  <c r="R254" i="72"/>
  <c r="Q254" i="72"/>
  <c r="O254" i="72"/>
  <c r="M254" i="72"/>
  <c r="K254" i="72"/>
  <c r="I254" i="72"/>
  <c r="G254" i="72"/>
  <c r="E254" i="72"/>
  <c r="C254" i="72"/>
  <c r="S253" i="72"/>
  <c r="R253" i="72"/>
  <c r="Q253" i="72"/>
  <c r="O253" i="72"/>
  <c r="M253" i="72"/>
  <c r="K253" i="72"/>
  <c r="I253" i="72"/>
  <c r="G253" i="72"/>
  <c r="E253" i="72"/>
  <c r="C253" i="72"/>
  <c r="S252" i="72"/>
  <c r="R252" i="72"/>
  <c r="Q252" i="72"/>
  <c r="O252" i="72"/>
  <c r="M252" i="72"/>
  <c r="K252" i="72"/>
  <c r="I252" i="72"/>
  <c r="G252" i="72"/>
  <c r="E252" i="72"/>
  <c r="C252" i="72"/>
  <c r="S251" i="72"/>
  <c r="R251" i="72"/>
  <c r="Q251" i="72"/>
  <c r="O251" i="72"/>
  <c r="M251" i="72"/>
  <c r="K251" i="72"/>
  <c r="I251" i="72"/>
  <c r="G251" i="72"/>
  <c r="E251" i="72"/>
  <c r="C251" i="72"/>
  <c r="S250" i="72"/>
  <c r="R250" i="72"/>
  <c r="Q250" i="72"/>
  <c r="O250" i="72"/>
  <c r="M250" i="72"/>
  <c r="K250" i="72"/>
  <c r="I250" i="72"/>
  <c r="G250" i="72"/>
  <c r="E250" i="72"/>
  <c r="C250" i="72"/>
  <c r="S249" i="72"/>
  <c r="R249" i="72"/>
  <c r="Q249" i="72"/>
  <c r="O249" i="72"/>
  <c r="M249" i="72"/>
  <c r="K249" i="72"/>
  <c r="I249" i="72"/>
  <c r="G249" i="72"/>
  <c r="E249" i="72"/>
  <c r="C249" i="72"/>
  <c r="S248" i="72"/>
  <c r="R248" i="72"/>
  <c r="Q248" i="72"/>
  <c r="O248" i="72"/>
  <c r="M248" i="72"/>
  <c r="K248" i="72"/>
  <c r="I248" i="72"/>
  <c r="G248" i="72"/>
  <c r="E248" i="72"/>
  <c r="C248" i="72"/>
  <c r="S247" i="72"/>
  <c r="R247" i="72"/>
  <c r="Q247" i="72"/>
  <c r="O247" i="72"/>
  <c r="M247" i="72"/>
  <c r="K247" i="72"/>
  <c r="I247" i="72"/>
  <c r="G247" i="72"/>
  <c r="E247" i="72"/>
  <c r="C247" i="72"/>
  <c r="S246" i="72"/>
  <c r="R246" i="72"/>
  <c r="Q246" i="72"/>
  <c r="O246" i="72"/>
  <c r="M246" i="72"/>
  <c r="K246" i="72"/>
  <c r="I246" i="72"/>
  <c r="G246" i="72"/>
  <c r="E246" i="72"/>
  <c r="C246" i="72"/>
  <c r="S245" i="72"/>
  <c r="R245" i="72"/>
  <c r="Q245" i="72"/>
  <c r="O245" i="72"/>
  <c r="M245" i="72"/>
  <c r="K245" i="72"/>
  <c r="I245" i="72"/>
  <c r="G245" i="72"/>
  <c r="E245" i="72"/>
  <c r="C245" i="72"/>
  <c r="S244" i="72"/>
  <c r="R244" i="72"/>
  <c r="Q244" i="72"/>
  <c r="O244" i="72"/>
  <c r="M244" i="72"/>
  <c r="K244" i="72"/>
  <c r="I244" i="72"/>
  <c r="G244" i="72"/>
  <c r="E244" i="72"/>
  <c r="C244" i="72"/>
  <c r="S243" i="72"/>
  <c r="R243" i="72"/>
  <c r="Q243" i="72"/>
  <c r="O243" i="72"/>
  <c r="M243" i="72"/>
  <c r="K243" i="72"/>
  <c r="I243" i="72"/>
  <c r="G243" i="72"/>
  <c r="E243" i="72"/>
  <c r="C243" i="72"/>
  <c r="S242" i="72"/>
  <c r="R242" i="72"/>
  <c r="Q242" i="72"/>
  <c r="O242" i="72"/>
  <c r="M242" i="72"/>
  <c r="K242" i="72"/>
  <c r="I242" i="72"/>
  <c r="G242" i="72"/>
  <c r="E242" i="72"/>
  <c r="C242" i="72"/>
  <c r="S241" i="72"/>
  <c r="R241" i="72"/>
  <c r="Q241" i="72"/>
  <c r="O241" i="72"/>
  <c r="M241" i="72"/>
  <c r="K241" i="72"/>
  <c r="I241" i="72"/>
  <c r="G241" i="72"/>
  <c r="E241" i="72"/>
  <c r="C241" i="72"/>
  <c r="S240" i="72"/>
  <c r="R240" i="72"/>
  <c r="Q240" i="72"/>
  <c r="O240" i="72"/>
  <c r="M240" i="72"/>
  <c r="K240" i="72"/>
  <c r="I240" i="72"/>
  <c r="G240" i="72"/>
  <c r="E240" i="72"/>
  <c r="C240" i="72"/>
  <c r="S239" i="72"/>
  <c r="R239" i="72"/>
  <c r="Q239" i="72"/>
  <c r="O239" i="72"/>
  <c r="M239" i="72"/>
  <c r="K239" i="72"/>
  <c r="I239" i="72"/>
  <c r="G239" i="72"/>
  <c r="E239" i="72"/>
  <c r="C239" i="72"/>
  <c r="S238" i="72"/>
  <c r="R238" i="72"/>
  <c r="Q238" i="72"/>
  <c r="O238" i="72"/>
  <c r="M238" i="72"/>
  <c r="K238" i="72"/>
  <c r="I238" i="72"/>
  <c r="G238" i="72"/>
  <c r="E238" i="72"/>
  <c r="C238" i="72"/>
  <c r="S237" i="72"/>
  <c r="R237" i="72"/>
  <c r="Q237" i="72"/>
  <c r="O237" i="72"/>
  <c r="M237" i="72"/>
  <c r="K237" i="72"/>
  <c r="I237" i="72"/>
  <c r="G237" i="72"/>
  <c r="E237" i="72"/>
  <c r="C237" i="72"/>
  <c r="S236" i="72"/>
  <c r="R236" i="72"/>
  <c r="Q236" i="72"/>
  <c r="O236" i="72"/>
  <c r="M236" i="72"/>
  <c r="K236" i="72"/>
  <c r="I236" i="72"/>
  <c r="G236" i="72"/>
  <c r="E236" i="72"/>
  <c r="C236" i="72"/>
  <c r="S235" i="72"/>
  <c r="R235" i="72"/>
  <c r="Q235" i="72"/>
  <c r="O235" i="72"/>
  <c r="M235" i="72"/>
  <c r="K235" i="72"/>
  <c r="I235" i="72"/>
  <c r="G235" i="72"/>
  <c r="E235" i="72"/>
  <c r="C235" i="72"/>
  <c r="S234" i="72"/>
  <c r="R234" i="72"/>
  <c r="Q234" i="72"/>
  <c r="O234" i="72"/>
  <c r="M234" i="72"/>
  <c r="K234" i="72"/>
  <c r="I234" i="72"/>
  <c r="G234" i="72"/>
  <c r="E234" i="72"/>
  <c r="C234" i="72"/>
  <c r="S233" i="72"/>
  <c r="R233" i="72"/>
  <c r="Q233" i="72"/>
  <c r="O233" i="72"/>
  <c r="M233" i="72"/>
  <c r="K233" i="72"/>
  <c r="I233" i="72"/>
  <c r="G233" i="72"/>
  <c r="E233" i="72"/>
  <c r="C233" i="72"/>
  <c r="S232" i="72"/>
  <c r="R232" i="72"/>
  <c r="Q232" i="72"/>
  <c r="O232" i="72"/>
  <c r="M232" i="72"/>
  <c r="K232" i="72"/>
  <c r="I232" i="72"/>
  <c r="G232" i="72"/>
  <c r="E232" i="72"/>
  <c r="C232" i="72"/>
  <c r="S231" i="72"/>
  <c r="R231" i="72"/>
  <c r="Q231" i="72"/>
  <c r="O231" i="72"/>
  <c r="M231" i="72"/>
  <c r="K231" i="72"/>
  <c r="I231" i="72"/>
  <c r="G231" i="72"/>
  <c r="E231" i="72"/>
  <c r="C231" i="72"/>
  <c r="S230" i="72"/>
  <c r="R230" i="72"/>
  <c r="Q230" i="72"/>
  <c r="O230" i="72"/>
  <c r="M230" i="72"/>
  <c r="K230" i="72"/>
  <c r="I230" i="72"/>
  <c r="G230" i="72"/>
  <c r="E230" i="72"/>
  <c r="C230" i="72"/>
  <c r="S229" i="72"/>
  <c r="R229" i="72"/>
  <c r="Q229" i="72"/>
  <c r="O229" i="72"/>
  <c r="M229" i="72"/>
  <c r="K229" i="72"/>
  <c r="I229" i="72"/>
  <c r="G229" i="72"/>
  <c r="E229" i="72"/>
  <c r="C229" i="72"/>
  <c r="S228" i="72"/>
  <c r="R228" i="72"/>
  <c r="Q228" i="72"/>
  <c r="O228" i="72"/>
  <c r="M228" i="72"/>
  <c r="K228" i="72"/>
  <c r="I228" i="72"/>
  <c r="G228" i="72"/>
  <c r="E228" i="72"/>
  <c r="C228" i="72"/>
  <c r="S227" i="72"/>
  <c r="R227" i="72"/>
  <c r="Q227" i="72"/>
  <c r="O227" i="72"/>
  <c r="M227" i="72"/>
  <c r="K227" i="72"/>
  <c r="I227" i="72"/>
  <c r="G227" i="72"/>
  <c r="E227" i="72"/>
  <c r="C227" i="72"/>
  <c r="S226" i="72"/>
  <c r="R226" i="72"/>
  <c r="Q226" i="72"/>
  <c r="O226" i="72"/>
  <c r="M226" i="72"/>
  <c r="K226" i="72"/>
  <c r="I226" i="72"/>
  <c r="G226" i="72"/>
  <c r="E226" i="72"/>
  <c r="C226" i="72"/>
  <c r="S225" i="72"/>
  <c r="R225" i="72"/>
  <c r="Q225" i="72"/>
  <c r="O225" i="72"/>
  <c r="M225" i="72"/>
  <c r="K225" i="72"/>
  <c r="I225" i="72"/>
  <c r="G225" i="72"/>
  <c r="E225" i="72"/>
  <c r="C225" i="72"/>
  <c r="S224" i="72"/>
  <c r="R224" i="72"/>
  <c r="Q224" i="72"/>
  <c r="O224" i="72"/>
  <c r="M224" i="72"/>
  <c r="K224" i="72"/>
  <c r="I224" i="72"/>
  <c r="G224" i="72"/>
  <c r="E224" i="72"/>
  <c r="C224" i="72"/>
  <c r="S223" i="72"/>
  <c r="R223" i="72"/>
  <c r="Q223" i="72"/>
  <c r="O223" i="72"/>
  <c r="M223" i="72"/>
  <c r="K223" i="72"/>
  <c r="I223" i="72"/>
  <c r="G223" i="72"/>
  <c r="E223" i="72"/>
  <c r="C223" i="72"/>
  <c r="S222" i="72"/>
  <c r="R222" i="72"/>
  <c r="Q222" i="72"/>
  <c r="O222" i="72"/>
  <c r="M222" i="72"/>
  <c r="K222" i="72"/>
  <c r="I222" i="72"/>
  <c r="G222" i="72"/>
  <c r="E222" i="72"/>
  <c r="C222" i="72"/>
  <c r="S221" i="72"/>
  <c r="R221" i="72"/>
  <c r="Q221" i="72"/>
  <c r="O221" i="72"/>
  <c r="M221" i="72"/>
  <c r="K221" i="72"/>
  <c r="I221" i="72"/>
  <c r="G221" i="72"/>
  <c r="E221" i="72"/>
  <c r="C221" i="72"/>
  <c r="S220" i="72"/>
  <c r="R220" i="72"/>
  <c r="Q220" i="72"/>
  <c r="O220" i="72"/>
  <c r="M220" i="72"/>
  <c r="K220" i="72"/>
  <c r="I220" i="72"/>
  <c r="G220" i="72"/>
  <c r="E220" i="72"/>
  <c r="C220" i="72"/>
  <c r="S219" i="72"/>
  <c r="R219" i="72"/>
  <c r="Q219" i="72"/>
  <c r="O219" i="72"/>
  <c r="M219" i="72"/>
  <c r="K219" i="72"/>
  <c r="I219" i="72"/>
  <c r="G219" i="72"/>
  <c r="E219" i="72"/>
  <c r="C219" i="72"/>
  <c r="S218" i="72"/>
  <c r="R218" i="72"/>
  <c r="Q218" i="72"/>
  <c r="O218" i="72"/>
  <c r="M218" i="72"/>
  <c r="K218" i="72"/>
  <c r="I218" i="72"/>
  <c r="G218" i="72"/>
  <c r="E218" i="72"/>
  <c r="C218" i="72"/>
  <c r="S217" i="72"/>
  <c r="R217" i="72"/>
  <c r="Q217" i="72"/>
  <c r="O217" i="72"/>
  <c r="M217" i="72"/>
  <c r="K217" i="72"/>
  <c r="I217" i="72"/>
  <c r="G217" i="72"/>
  <c r="E217" i="72"/>
  <c r="C217" i="72"/>
  <c r="S216" i="72"/>
  <c r="R216" i="72"/>
  <c r="Q216" i="72"/>
  <c r="O216" i="72"/>
  <c r="M216" i="72"/>
  <c r="K216" i="72"/>
  <c r="I216" i="72"/>
  <c r="G216" i="72"/>
  <c r="E216" i="72"/>
  <c r="C216" i="72"/>
  <c r="S215" i="72"/>
  <c r="R215" i="72"/>
  <c r="Q215" i="72"/>
  <c r="O215" i="72"/>
  <c r="M215" i="72"/>
  <c r="K215" i="72"/>
  <c r="I215" i="72"/>
  <c r="G215" i="72"/>
  <c r="E215" i="72"/>
  <c r="C215" i="72"/>
  <c r="S214" i="72"/>
  <c r="R214" i="72"/>
  <c r="Q214" i="72"/>
  <c r="O214" i="72"/>
  <c r="M214" i="72"/>
  <c r="K214" i="72"/>
  <c r="I214" i="72"/>
  <c r="G214" i="72"/>
  <c r="E214" i="72"/>
  <c r="C214" i="72"/>
  <c r="S213" i="72"/>
  <c r="R213" i="72"/>
  <c r="Q213" i="72"/>
  <c r="O213" i="72"/>
  <c r="M213" i="72"/>
  <c r="K213" i="72"/>
  <c r="I213" i="72"/>
  <c r="G213" i="72"/>
  <c r="E213" i="72"/>
  <c r="C213" i="72"/>
  <c r="S212" i="72"/>
  <c r="R212" i="72"/>
  <c r="Q212" i="72"/>
  <c r="O212" i="72"/>
  <c r="M212" i="72"/>
  <c r="K212" i="72"/>
  <c r="I212" i="72"/>
  <c r="G212" i="72"/>
  <c r="E212" i="72"/>
  <c r="C212" i="72"/>
  <c r="S211" i="72"/>
  <c r="R211" i="72"/>
  <c r="Q211" i="72"/>
  <c r="O211" i="72"/>
  <c r="M211" i="72"/>
  <c r="K211" i="72"/>
  <c r="I211" i="72"/>
  <c r="G211" i="72"/>
  <c r="E211" i="72"/>
  <c r="C211" i="72"/>
  <c r="S210" i="72"/>
  <c r="R210" i="72"/>
  <c r="Q210" i="72"/>
  <c r="O210" i="72"/>
  <c r="M210" i="72"/>
  <c r="K210" i="72"/>
  <c r="I210" i="72"/>
  <c r="G210" i="72"/>
  <c r="E210" i="72"/>
  <c r="C210" i="72"/>
  <c r="S209" i="72"/>
  <c r="R209" i="72"/>
  <c r="Q209" i="72"/>
  <c r="O209" i="72"/>
  <c r="M209" i="72"/>
  <c r="K209" i="72"/>
  <c r="I209" i="72"/>
  <c r="G209" i="72"/>
  <c r="E209" i="72"/>
  <c r="C209" i="72"/>
  <c r="S208" i="72"/>
  <c r="R208" i="72"/>
  <c r="Q208" i="72"/>
  <c r="O208" i="72"/>
  <c r="M208" i="72"/>
  <c r="K208" i="72"/>
  <c r="I208" i="72"/>
  <c r="G208" i="72"/>
  <c r="E208" i="72"/>
  <c r="C208" i="72"/>
  <c r="S207" i="72"/>
  <c r="R207" i="72"/>
  <c r="Q207" i="72"/>
  <c r="O207" i="72"/>
  <c r="M207" i="72"/>
  <c r="K207" i="72"/>
  <c r="I207" i="72"/>
  <c r="G207" i="72"/>
  <c r="E207" i="72"/>
  <c r="C207" i="72"/>
  <c r="S206" i="72"/>
  <c r="R206" i="72"/>
  <c r="Q206" i="72"/>
  <c r="O206" i="72"/>
  <c r="M206" i="72"/>
  <c r="K206" i="72"/>
  <c r="I206" i="72"/>
  <c r="G206" i="72"/>
  <c r="E206" i="72"/>
  <c r="C206" i="72"/>
  <c r="S205" i="72"/>
  <c r="R205" i="72"/>
  <c r="Q205" i="72"/>
  <c r="O205" i="72"/>
  <c r="M205" i="72"/>
  <c r="K205" i="72"/>
  <c r="I205" i="72"/>
  <c r="G205" i="72"/>
  <c r="E205" i="72"/>
  <c r="C205" i="72"/>
  <c r="S204" i="72"/>
  <c r="R204" i="72"/>
  <c r="Q204" i="72"/>
  <c r="O204" i="72"/>
  <c r="M204" i="72"/>
  <c r="K204" i="72"/>
  <c r="I204" i="72"/>
  <c r="G204" i="72"/>
  <c r="E204" i="72"/>
  <c r="C204" i="72"/>
  <c r="S203" i="72"/>
  <c r="R203" i="72"/>
  <c r="Q203" i="72"/>
  <c r="O203" i="72"/>
  <c r="M203" i="72"/>
  <c r="K203" i="72"/>
  <c r="I203" i="72"/>
  <c r="G203" i="72"/>
  <c r="E203" i="72"/>
  <c r="C203" i="72"/>
  <c r="S202" i="72"/>
  <c r="R202" i="72"/>
  <c r="Q202" i="72"/>
  <c r="O202" i="72"/>
  <c r="M202" i="72"/>
  <c r="K202" i="72"/>
  <c r="I202" i="72"/>
  <c r="G202" i="72"/>
  <c r="E202" i="72"/>
  <c r="C202" i="72"/>
  <c r="S201" i="72"/>
  <c r="R201" i="72"/>
  <c r="Q201" i="72"/>
  <c r="O201" i="72"/>
  <c r="M201" i="72"/>
  <c r="K201" i="72"/>
  <c r="I201" i="72"/>
  <c r="G201" i="72"/>
  <c r="E201" i="72"/>
  <c r="C201" i="72"/>
  <c r="S200" i="72"/>
  <c r="R200" i="72"/>
  <c r="Q200" i="72"/>
  <c r="O200" i="72"/>
  <c r="M200" i="72"/>
  <c r="K200" i="72"/>
  <c r="I200" i="72"/>
  <c r="G200" i="72"/>
  <c r="E200" i="72"/>
  <c r="C200" i="72"/>
  <c r="S199" i="72"/>
  <c r="R199" i="72"/>
  <c r="Q199" i="72"/>
  <c r="O199" i="72"/>
  <c r="M199" i="72"/>
  <c r="K199" i="72"/>
  <c r="I199" i="72"/>
  <c r="G199" i="72"/>
  <c r="E199" i="72"/>
  <c r="C199" i="72"/>
  <c r="S198" i="72"/>
  <c r="R198" i="72"/>
  <c r="Q198" i="72"/>
  <c r="O198" i="72"/>
  <c r="M198" i="72"/>
  <c r="K198" i="72"/>
  <c r="I198" i="72"/>
  <c r="G198" i="72"/>
  <c r="E198" i="72"/>
  <c r="C198" i="72"/>
  <c r="S197" i="72"/>
  <c r="R197" i="72"/>
  <c r="Q197" i="72"/>
  <c r="O197" i="72"/>
  <c r="M197" i="72"/>
  <c r="K197" i="72"/>
  <c r="I197" i="72"/>
  <c r="G197" i="72"/>
  <c r="E197" i="72"/>
  <c r="C197" i="72"/>
  <c r="S196" i="72"/>
  <c r="R196" i="72"/>
  <c r="Q196" i="72"/>
  <c r="O196" i="72"/>
  <c r="M196" i="72"/>
  <c r="K196" i="72"/>
  <c r="I196" i="72"/>
  <c r="G196" i="72"/>
  <c r="E196" i="72"/>
  <c r="C196" i="72"/>
  <c r="S195" i="72"/>
  <c r="R195" i="72"/>
  <c r="Q195" i="72"/>
  <c r="O195" i="72"/>
  <c r="M195" i="72"/>
  <c r="K195" i="72"/>
  <c r="I195" i="72"/>
  <c r="G195" i="72"/>
  <c r="E195" i="72"/>
  <c r="C195" i="72"/>
  <c r="S194" i="72"/>
  <c r="R194" i="72"/>
  <c r="Q194" i="72"/>
  <c r="O194" i="72"/>
  <c r="M194" i="72"/>
  <c r="K194" i="72"/>
  <c r="I194" i="72"/>
  <c r="G194" i="72"/>
  <c r="E194" i="72"/>
  <c r="C194" i="72"/>
  <c r="S193" i="72"/>
  <c r="R193" i="72"/>
  <c r="Q193" i="72"/>
  <c r="O193" i="72"/>
  <c r="M193" i="72"/>
  <c r="K193" i="72"/>
  <c r="I193" i="72"/>
  <c r="G193" i="72"/>
  <c r="E193" i="72"/>
  <c r="C193" i="72"/>
  <c r="S192" i="72"/>
  <c r="R192" i="72"/>
  <c r="Q192" i="72"/>
  <c r="O192" i="72"/>
  <c r="M192" i="72"/>
  <c r="K192" i="72"/>
  <c r="I192" i="72"/>
  <c r="G192" i="72"/>
  <c r="E192" i="72"/>
  <c r="C192" i="72"/>
  <c r="S191" i="72"/>
  <c r="R191" i="72"/>
  <c r="Q191" i="72"/>
  <c r="O191" i="72"/>
  <c r="M191" i="72"/>
  <c r="K191" i="72"/>
  <c r="I191" i="72"/>
  <c r="G191" i="72"/>
  <c r="E191" i="72"/>
  <c r="C191" i="72"/>
  <c r="S190" i="72"/>
  <c r="R190" i="72"/>
  <c r="Q190" i="72"/>
  <c r="O190" i="72"/>
  <c r="M190" i="72"/>
  <c r="K190" i="72"/>
  <c r="I190" i="72"/>
  <c r="G190" i="72"/>
  <c r="E190" i="72"/>
  <c r="C190" i="72"/>
  <c r="S189" i="72"/>
  <c r="R189" i="72"/>
  <c r="Q189" i="72"/>
  <c r="O189" i="72"/>
  <c r="M189" i="72"/>
  <c r="K189" i="72"/>
  <c r="I189" i="72"/>
  <c r="G189" i="72"/>
  <c r="E189" i="72"/>
  <c r="C189" i="72"/>
  <c r="S188" i="72"/>
  <c r="R188" i="72"/>
  <c r="Q188" i="72"/>
  <c r="O188" i="72"/>
  <c r="M188" i="72"/>
  <c r="K188" i="72"/>
  <c r="I188" i="72"/>
  <c r="G188" i="72"/>
  <c r="E188" i="72"/>
  <c r="C188" i="72"/>
  <c r="S187" i="72"/>
  <c r="R187" i="72"/>
  <c r="Q187" i="72"/>
  <c r="O187" i="72"/>
  <c r="M187" i="72"/>
  <c r="K187" i="72"/>
  <c r="I187" i="72"/>
  <c r="G187" i="72"/>
  <c r="E187" i="72"/>
  <c r="C187" i="72"/>
  <c r="S186" i="72"/>
  <c r="R186" i="72"/>
  <c r="Q186" i="72"/>
  <c r="O186" i="72"/>
  <c r="M186" i="72"/>
  <c r="K186" i="72"/>
  <c r="I186" i="72"/>
  <c r="G186" i="72"/>
  <c r="E186" i="72"/>
  <c r="C186" i="72"/>
  <c r="S185" i="72"/>
  <c r="R185" i="72"/>
  <c r="Q185" i="72"/>
  <c r="O185" i="72"/>
  <c r="M185" i="72"/>
  <c r="K185" i="72"/>
  <c r="I185" i="72"/>
  <c r="G185" i="72"/>
  <c r="E185" i="72"/>
  <c r="C185" i="72"/>
  <c r="S184" i="72"/>
  <c r="R184" i="72"/>
  <c r="Q184" i="72"/>
  <c r="O184" i="72"/>
  <c r="M184" i="72"/>
  <c r="K184" i="72"/>
  <c r="I184" i="72"/>
  <c r="G184" i="72"/>
  <c r="E184" i="72"/>
  <c r="C184" i="72"/>
  <c r="S183" i="72"/>
  <c r="R183" i="72"/>
  <c r="Q183" i="72"/>
  <c r="O183" i="72"/>
  <c r="M183" i="72"/>
  <c r="K183" i="72"/>
  <c r="I183" i="72"/>
  <c r="G183" i="72"/>
  <c r="E183" i="72"/>
  <c r="C183" i="72"/>
  <c r="S182" i="72"/>
  <c r="R182" i="72"/>
  <c r="Q182" i="72"/>
  <c r="O182" i="72"/>
  <c r="M182" i="72"/>
  <c r="K182" i="72"/>
  <c r="I182" i="72"/>
  <c r="G182" i="72"/>
  <c r="E182" i="72"/>
  <c r="C182" i="72"/>
  <c r="S181" i="72"/>
  <c r="R181" i="72"/>
  <c r="Q181" i="72"/>
  <c r="O181" i="72"/>
  <c r="M181" i="72"/>
  <c r="K181" i="72"/>
  <c r="I181" i="72"/>
  <c r="G181" i="72"/>
  <c r="E181" i="72"/>
  <c r="C181" i="72"/>
  <c r="S180" i="72"/>
  <c r="R180" i="72"/>
  <c r="Q180" i="72"/>
  <c r="O180" i="72"/>
  <c r="M180" i="72"/>
  <c r="K180" i="72"/>
  <c r="I180" i="72"/>
  <c r="G180" i="72"/>
  <c r="E180" i="72"/>
  <c r="C180" i="72"/>
  <c r="S179" i="72"/>
  <c r="R179" i="72"/>
  <c r="Q179" i="72"/>
  <c r="O179" i="72"/>
  <c r="M179" i="72"/>
  <c r="K179" i="72"/>
  <c r="I179" i="72"/>
  <c r="G179" i="72"/>
  <c r="E179" i="72"/>
  <c r="C179" i="72"/>
  <c r="S178" i="72"/>
  <c r="R178" i="72"/>
  <c r="Q178" i="72"/>
  <c r="O178" i="72"/>
  <c r="M178" i="72"/>
  <c r="K178" i="72"/>
  <c r="I178" i="72"/>
  <c r="G178" i="72"/>
  <c r="E178" i="72"/>
  <c r="C178" i="72"/>
  <c r="S177" i="72"/>
  <c r="R177" i="72"/>
  <c r="Q177" i="72"/>
  <c r="O177" i="72"/>
  <c r="M177" i="72"/>
  <c r="K177" i="72"/>
  <c r="I177" i="72"/>
  <c r="G177" i="72"/>
  <c r="E177" i="72"/>
  <c r="C177" i="72"/>
  <c r="S176" i="72"/>
  <c r="R176" i="72"/>
  <c r="Q176" i="72"/>
  <c r="O176" i="72"/>
  <c r="M176" i="72"/>
  <c r="K176" i="72"/>
  <c r="I176" i="72"/>
  <c r="G176" i="72"/>
  <c r="E176" i="72"/>
  <c r="C176" i="72"/>
  <c r="S175" i="72"/>
  <c r="R175" i="72"/>
  <c r="Q175" i="72"/>
  <c r="O175" i="72"/>
  <c r="M175" i="72"/>
  <c r="K175" i="72"/>
  <c r="I175" i="72"/>
  <c r="G175" i="72"/>
  <c r="E175" i="72"/>
  <c r="C175" i="72"/>
  <c r="S174" i="72"/>
  <c r="R174" i="72"/>
  <c r="Q174" i="72"/>
  <c r="O174" i="72"/>
  <c r="M174" i="72"/>
  <c r="K174" i="72"/>
  <c r="I174" i="72"/>
  <c r="G174" i="72"/>
  <c r="E174" i="72"/>
  <c r="C174" i="72"/>
  <c r="S173" i="72"/>
  <c r="R173" i="72"/>
  <c r="Q173" i="72"/>
  <c r="O173" i="72"/>
  <c r="M173" i="72"/>
  <c r="K173" i="72"/>
  <c r="I173" i="72"/>
  <c r="G173" i="72"/>
  <c r="E173" i="72"/>
  <c r="C173" i="72"/>
  <c r="S172" i="72"/>
  <c r="R172" i="72"/>
  <c r="Q172" i="72"/>
  <c r="O172" i="72"/>
  <c r="M172" i="72"/>
  <c r="K172" i="72"/>
  <c r="I172" i="72"/>
  <c r="G172" i="72"/>
  <c r="E172" i="72"/>
  <c r="C172" i="72"/>
  <c r="S171" i="72"/>
  <c r="R171" i="72"/>
  <c r="Q171" i="72"/>
  <c r="O171" i="72"/>
  <c r="M171" i="72"/>
  <c r="K171" i="72"/>
  <c r="I171" i="72"/>
  <c r="G171" i="72"/>
  <c r="E171" i="72"/>
  <c r="C171" i="72"/>
  <c r="S170" i="72"/>
  <c r="R170" i="72"/>
  <c r="Q170" i="72"/>
  <c r="O170" i="72"/>
  <c r="M170" i="72"/>
  <c r="K170" i="72"/>
  <c r="I170" i="72"/>
  <c r="G170" i="72"/>
  <c r="E170" i="72"/>
  <c r="C170" i="72"/>
  <c r="S169" i="72"/>
  <c r="R169" i="72"/>
  <c r="Q169" i="72"/>
  <c r="O169" i="72"/>
  <c r="M169" i="72"/>
  <c r="K169" i="72"/>
  <c r="I169" i="72"/>
  <c r="G169" i="72"/>
  <c r="E169" i="72"/>
  <c r="C169" i="72"/>
  <c r="S168" i="72"/>
  <c r="R168" i="72"/>
  <c r="Q168" i="72"/>
  <c r="O168" i="72"/>
  <c r="M168" i="72"/>
  <c r="K168" i="72"/>
  <c r="I168" i="72"/>
  <c r="G168" i="72"/>
  <c r="E168" i="72"/>
  <c r="C168" i="72"/>
  <c r="S167" i="72"/>
  <c r="R167" i="72"/>
  <c r="Q167" i="72"/>
  <c r="O167" i="72"/>
  <c r="M167" i="72"/>
  <c r="K167" i="72"/>
  <c r="I167" i="72"/>
  <c r="G167" i="72"/>
  <c r="E167" i="72"/>
  <c r="C167" i="72"/>
  <c r="S166" i="72"/>
  <c r="R166" i="72"/>
  <c r="Q166" i="72"/>
  <c r="O166" i="72"/>
  <c r="M166" i="72"/>
  <c r="K166" i="72"/>
  <c r="I166" i="72"/>
  <c r="G166" i="72"/>
  <c r="E166" i="72"/>
  <c r="C166" i="72"/>
  <c r="S165" i="72"/>
  <c r="R165" i="72"/>
  <c r="Q165" i="72"/>
  <c r="O165" i="72"/>
  <c r="M165" i="72"/>
  <c r="K165" i="72"/>
  <c r="I165" i="72"/>
  <c r="G165" i="72"/>
  <c r="E165" i="72"/>
  <c r="C165" i="72"/>
  <c r="S164" i="72"/>
  <c r="R164" i="72"/>
  <c r="Q164" i="72"/>
  <c r="O164" i="72"/>
  <c r="M164" i="72"/>
  <c r="K164" i="72"/>
  <c r="I164" i="72"/>
  <c r="G164" i="72"/>
  <c r="E164" i="72"/>
  <c r="C164" i="72"/>
  <c r="S163" i="72"/>
  <c r="R163" i="72"/>
  <c r="Q163" i="72"/>
  <c r="O163" i="72"/>
  <c r="M163" i="72"/>
  <c r="K163" i="72"/>
  <c r="I163" i="72"/>
  <c r="G163" i="72"/>
  <c r="E163" i="72"/>
  <c r="C163" i="72"/>
  <c r="S162" i="72"/>
  <c r="R162" i="72"/>
  <c r="Q162" i="72"/>
  <c r="O162" i="72"/>
  <c r="M162" i="72"/>
  <c r="K162" i="72"/>
  <c r="I162" i="72"/>
  <c r="G162" i="72"/>
  <c r="E162" i="72"/>
  <c r="C162" i="72"/>
  <c r="S161" i="72"/>
  <c r="R161" i="72"/>
  <c r="Q161" i="72"/>
  <c r="O161" i="72"/>
  <c r="M161" i="72"/>
  <c r="K161" i="72"/>
  <c r="I161" i="72"/>
  <c r="G161" i="72"/>
  <c r="E161" i="72"/>
  <c r="C161" i="72"/>
  <c r="S160" i="72"/>
  <c r="R160" i="72"/>
  <c r="Q160" i="72"/>
  <c r="O160" i="72"/>
  <c r="M160" i="72"/>
  <c r="K160" i="72"/>
  <c r="I160" i="72"/>
  <c r="G160" i="72"/>
  <c r="E160" i="72"/>
  <c r="C160" i="72"/>
  <c r="S159" i="72"/>
  <c r="R159" i="72"/>
  <c r="Q159" i="72"/>
  <c r="O159" i="72"/>
  <c r="M159" i="72"/>
  <c r="K159" i="72"/>
  <c r="I159" i="72"/>
  <c r="G159" i="72"/>
  <c r="E159" i="72"/>
  <c r="C159" i="72"/>
  <c r="S158" i="72"/>
  <c r="R158" i="72"/>
  <c r="Q158" i="72"/>
  <c r="O158" i="72"/>
  <c r="M158" i="72"/>
  <c r="K158" i="72"/>
  <c r="I158" i="72"/>
  <c r="G158" i="72"/>
  <c r="E158" i="72"/>
  <c r="C158" i="72"/>
  <c r="S157" i="72"/>
  <c r="R157" i="72"/>
  <c r="Q157" i="72"/>
  <c r="O157" i="72"/>
  <c r="M157" i="72"/>
  <c r="K157" i="72"/>
  <c r="I157" i="72"/>
  <c r="G157" i="72"/>
  <c r="E157" i="72"/>
  <c r="C157" i="72"/>
  <c r="S156" i="72"/>
  <c r="R156" i="72"/>
  <c r="Q156" i="72"/>
  <c r="O156" i="72"/>
  <c r="M156" i="72"/>
  <c r="K156" i="72"/>
  <c r="I156" i="72"/>
  <c r="G156" i="72"/>
  <c r="E156" i="72"/>
  <c r="C156" i="72"/>
  <c r="S155" i="72"/>
  <c r="R155" i="72"/>
  <c r="Q155" i="72"/>
  <c r="O155" i="72"/>
  <c r="M155" i="72"/>
  <c r="K155" i="72"/>
  <c r="I155" i="72"/>
  <c r="G155" i="72"/>
  <c r="E155" i="72"/>
  <c r="C155" i="72"/>
  <c r="S154" i="72"/>
  <c r="R154" i="72"/>
  <c r="Q154" i="72"/>
  <c r="O154" i="72"/>
  <c r="M154" i="72"/>
  <c r="K154" i="72"/>
  <c r="I154" i="72"/>
  <c r="G154" i="72"/>
  <c r="E154" i="72"/>
  <c r="C154" i="72"/>
  <c r="S153" i="72"/>
  <c r="R153" i="72"/>
  <c r="Q153" i="72"/>
  <c r="O153" i="72"/>
  <c r="M153" i="72"/>
  <c r="K153" i="72"/>
  <c r="I153" i="72"/>
  <c r="G153" i="72"/>
  <c r="E153" i="72"/>
  <c r="C153" i="72"/>
  <c r="S152" i="72"/>
  <c r="R152" i="72"/>
  <c r="Q152" i="72"/>
  <c r="O152" i="72"/>
  <c r="M152" i="72"/>
  <c r="K152" i="72"/>
  <c r="I152" i="72"/>
  <c r="G152" i="72"/>
  <c r="E152" i="72"/>
  <c r="C152" i="72"/>
  <c r="S151" i="72"/>
  <c r="R151" i="72"/>
  <c r="Q151" i="72"/>
  <c r="O151" i="72"/>
  <c r="M151" i="72"/>
  <c r="K151" i="72"/>
  <c r="I151" i="72"/>
  <c r="G151" i="72"/>
  <c r="E151" i="72"/>
  <c r="C151" i="72"/>
  <c r="S150" i="72"/>
  <c r="R150" i="72"/>
  <c r="Q150" i="72"/>
  <c r="O150" i="72"/>
  <c r="M150" i="72"/>
  <c r="K150" i="72"/>
  <c r="I150" i="72"/>
  <c r="G150" i="72"/>
  <c r="E150" i="72"/>
  <c r="C150" i="72"/>
  <c r="S149" i="72"/>
  <c r="R149" i="72"/>
  <c r="Q149" i="72"/>
  <c r="O149" i="72"/>
  <c r="M149" i="72"/>
  <c r="K149" i="72"/>
  <c r="I149" i="72"/>
  <c r="G149" i="72"/>
  <c r="E149" i="72"/>
  <c r="C149" i="72"/>
  <c r="S148" i="72"/>
  <c r="R148" i="72"/>
  <c r="Q148" i="72"/>
  <c r="O148" i="72"/>
  <c r="M148" i="72"/>
  <c r="K148" i="72"/>
  <c r="I148" i="72"/>
  <c r="G148" i="72"/>
  <c r="E148" i="72"/>
  <c r="C148" i="72"/>
  <c r="S147" i="72"/>
  <c r="R147" i="72"/>
  <c r="Q147" i="72"/>
  <c r="O147" i="72"/>
  <c r="M147" i="72"/>
  <c r="K147" i="72"/>
  <c r="I147" i="72"/>
  <c r="G147" i="72"/>
  <c r="E147" i="72"/>
  <c r="C147" i="72"/>
  <c r="S146" i="72"/>
  <c r="R146" i="72"/>
  <c r="Q146" i="72"/>
  <c r="O146" i="72"/>
  <c r="M146" i="72"/>
  <c r="K146" i="72"/>
  <c r="I146" i="72"/>
  <c r="G146" i="72"/>
  <c r="E146" i="72"/>
  <c r="C146" i="72"/>
  <c r="S145" i="72"/>
  <c r="R145" i="72"/>
  <c r="Q145" i="72"/>
  <c r="O145" i="72"/>
  <c r="M145" i="72"/>
  <c r="K145" i="72"/>
  <c r="I145" i="72"/>
  <c r="G145" i="72"/>
  <c r="E145" i="72"/>
  <c r="C145" i="72"/>
  <c r="S144" i="72"/>
  <c r="R144" i="72"/>
  <c r="Q144" i="72"/>
  <c r="O144" i="72"/>
  <c r="M144" i="72"/>
  <c r="K144" i="72"/>
  <c r="I144" i="72"/>
  <c r="G144" i="72"/>
  <c r="E144" i="72"/>
  <c r="C144" i="72"/>
  <c r="S143" i="72"/>
  <c r="R143" i="72"/>
  <c r="Q143" i="72"/>
  <c r="O143" i="72"/>
  <c r="M143" i="72"/>
  <c r="K143" i="72"/>
  <c r="I143" i="72"/>
  <c r="G143" i="72"/>
  <c r="E143" i="72"/>
  <c r="C143" i="72"/>
  <c r="S142" i="72"/>
  <c r="R142" i="72"/>
  <c r="Q142" i="72"/>
  <c r="O142" i="72"/>
  <c r="M142" i="72"/>
  <c r="K142" i="72"/>
  <c r="I142" i="72"/>
  <c r="G142" i="72"/>
  <c r="E142" i="72"/>
  <c r="C142" i="72"/>
  <c r="S141" i="72"/>
  <c r="R141" i="72"/>
  <c r="Q141" i="72"/>
  <c r="O141" i="72"/>
  <c r="M141" i="72"/>
  <c r="K141" i="72"/>
  <c r="I141" i="72"/>
  <c r="G141" i="72"/>
  <c r="E141" i="72"/>
  <c r="C141" i="72"/>
  <c r="S140" i="72"/>
  <c r="R140" i="72"/>
  <c r="Q140" i="72"/>
  <c r="O140" i="72"/>
  <c r="M140" i="72"/>
  <c r="K140" i="72"/>
  <c r="I140" i="72"/>
  <c r="G140" i="72"/>
  <c r="E140" i="72"/>
  <c r="C140" i="72"/>
  <c r="S139" i="72"/>
  <c r="R139" i="72"/>
  <c r="Q139" i="72"/>
  <c r="O139" i="72"/>
  <c r="M139" i="72"/>
  <c r="K139" i="72"/>
  <c r="I139" i="72"/>
  <c r="G139" i="72"/>
  <c r="E139" i="72"/>
  <c r="C139" i="72"/>
  <c r="S138" i="72"/>
  <c r="R138" i="72"/>
  <c r="Q138" i="72"/>
  <c r="O138" i="72"/>
  <c r="M138" i="72"/>
  <c r="K138" i="72"/>
  <c r="I138" i="72"/>
  <c r="G138" i="72"/>
  <c r="E138" i="72"/>
  <c r="C138" i="72"/>
  <c r="S137" i="72"/>
  <c r="R137" i="72"/>
  <c r="Q137" i="72"/>
  <c r="O137" i="72"/>
  <c r="M137" i="72"/>
  <c r="K137" i="72"/>
  <c r="I137" i="72"/>
  <c r="G137" i="72"/>
  <c r="E137" i="72"/>
  <c r="C137" i="72"/>
  <c r="S136" i="72"/>
  <c r="R136" i="72"/>
  <c r="Q136" i="72"/>
  <c r="O136" i="72"/>
  <c r="M136" i="72"/>
  <c r="K136" i="72"/>
  <c r="I136" i="72"/>
  <c r="G136" i="72"/>
  <c r="E136" i="72"/>
  <c r="C136" i="72"/>
  <c r="S135" i="72"/>
  <c r="R135" i="72"/>
  <c r="Q135" i="72"/>
  <c r="O135" i="72"/>
  <c r="M135" i="72"/>
  <c r="K135" i="72"/>
  <c r="I135" i="72"/>
  <c r="G135" i="72"/>
  <c r="E135" i="72"/>
  <c r="C135" i="72"/>
  <c r="S134" i="72"/>
  <c r="R134" i="72"/>
  <c r="Q134" i="72"/>
  <c r="O134" i="72"/>
  <c r="M134" i="72"/>
  <c r="K134" i="72"/>
  <c r="I134" i="72"/>
  <c r="G134" i="72"/>
  <c r="E134" i="72"/>
  <c r="C134" i="72"/>
  <c r="S133" i="72"/>
  <c r="R133" i="72"/>
  <c r="Q133" i="72"/>
  <c r="O133" i="72"/>
  <c r="M133" i="72"/>
  <c r="K133" i="72"/>
  <c r="I133" i="72"/>
  <c r="G133" i="72"/>
  <c r="E133" i="72"/>
  <c r="C133" i="72"/>
  <c r="S132" i="72"/>
  <c r="R132" i="72"/>
  <c r="Q132" i="72"/>
  <c r="O132" i="72"/>
  <c r="M132" i="72"/>
  <c r="K132" i="72"/>
  <c r="I132" i="72"/>
  <c r="G132" i="72"/>
  <c r="E132" i="72"/>
  <c r="C132" i="72"/>
  <c r="S131" i="72"/>
  <c r="R131" i="72"/>
  <c r="Q131" i="72"/>
  <c r="O131" i="72"/>
  <c r="M131" i="72"/>
  <c r="K131" i="72"/>
  <c r="I131" i="72"/>
  <c r="G131" i="72"/>
  <c r="E131" i="72"/>
  <c r="C131" i="72"/>
  <c r="S130" i="72"/>
  <c r="R130" i="72"/>
  <c r="Q130" i="72"/>
  <c r="O130" i="72"/>
  <c r="M130" i="72"/>
  <c r="K130" i="72"/>
  <c r="I130" i="72"/>
  <c r="G130" i="72"/>
  <c r="E130" i="72"/>
  <c r="C130" i="72"/>
  <c r="S129" i="72"/>
  <c r="R129" i="72"/>
  <c r="Q129" i="72"/>
  <c r="O129" i="72"/>
  <c r="M129" i="72"/>
  <c r="K129" i="72"/>
  <c r="I129" i="72"/>
  <c r="G129" i="72"/>
  <c r="E129" i="72"/>
  <c r="C129" i="72"/>
  <c r="S128" i="72"/>
  <c r="R128" i="72"/>
  <c r="Q128" i="72"/>
  <c r="O128" i="72"/>
  <c r="M128" i="72"/>
  <c r="K128" i="72"/>
  <c r="I128" i="72"/>
  <c r="G128" i="72"/>
  <c r="E128" i="72"/>
  <c r="C128" i="72"/>
  <c r="S127" i="72"/>
  <c r="R127" i="72"/>
  <c r="Q127" i="72"/>
  <c r="O127" i="72"/>
  <c r="M127" i="72"/>
  <c r="K127" i="72"/>
  <c r="I127" i="72"/>
  <c r="G127" i="72"/>
  <c r="E127" i="72"/>
  <c r="C127" i="72"/>
  <c r="S126" i="72"/>
  <c r="R126" i="72"/>
  <c r="Q126" i="72"/>
  <c r="O126" i="72"/>
  <c r="M126" i="72"/>
  <c r="K126" i="72"/>
  <c r="I126" i="72"/>
  <c r="G126" i="72"/>
  <c r="E126" i="72"/>
  <c r="C126" i="72"/>
  <c r="S125" i="72"/>
  <c r="R125" i="72"/>
  <c r="Q125" i="72"/>
  <c r="O125" i="72"/>
  <c r="M125" i="72"/>
  <c r="K125" i="72"/>
  <c r="I125" i="72"/>
  <c r="G125" i="72"/>
  <c r="E125" i="72"/>
  <c r="C125" i="72"/>
  <c r="S124" i="72"/>
  <c r="R124" i="72"/>
  <c r="Q124" i="72"/>
  <c r="O124" i="72"/>
  <c r="M124" i="72"/>
  <c r="K124" i="72"/>
  <c r="I124" i="72"/>
  <c r="G124" i="72"/>
  <c r="E124" i="72"/>
  <c r="C124" i="72"/>
  <c r="S123" i="72"/>
  <c r="R123" i="72"/>
  <c r="Q123" i="72"/>
  <c r="O123" i="72"/>
  <c r="M123" i="72"/>
  <c r="K123" i="72"/>
  <c r="I123" i="72"/>
  <c r="G123" i="72"/>
  <c r="E123" i="72"/>
  <c r="C123" i="72"/>
  <c r="S122" i="72"/>
  <c r="R122" i="72"/>
  <c r="Q122" i="72"/>
  <c r="O122" i="72"/>
  <c r="M122" i="72"/>
  <c r="K122" i="72"/>
  <c r="I122" i="72"/>
  <c r="G122" i="72"/>
  <c r="E122" i="72"/>
  <c r="C122" i="72"/>
  <c r="S121" i="72"/>
  <c r="R121" i="72"/>
  <c r="Q121" i="72"/>
  <c r="O121" i="72"/>
  <c r="M121" i="72"/>
  <c r="K121" i="72"/>
  <c r="I121" i="72"/>
  <c r="G121" i="72"/>
  <c r="E121" i="72"/>
  <c r="C121" i="72"/>
  <c r="S120" i="72"/>
  <c r="R120" i="72"/>
  <c r="Q120" i="72"/>
  <c r="O120" i="72"/>
  <c r="M120" i="72"/>
  <c r="K120" i="72"/>
  <c r="I120" i="72"/>
  <c r="G120" i="72"/>
  <c r="E120" i="72"/>
  <c r="C120" i="72"/>
  <c r="S119" i="72"/>
  <c r="R119" i="72"/>
  <c r="Q119" i="72"/>
  <c r="O119" i="72"/>
  <c r="M119" i="72"/>
  <c r="K119" i="72"/>
  <c r="I119" i="72"/>
  <c r="G119" i="72"/>
  <c r="E119" i="72"/>
  <c r="C119" i="72"/>
  <c r="S118" i="72"/>
  <c r="R118" i="72"/>
  <c r="Q118" i="72"/>
  <c r="O118" i="72"/>
  <c r="M118" i="72"/>
  <c r="K118" i="72"/>
  <c r="I118" i="72"/>
  <c r="G118" i="72"/>
  <c r="E118" i="72"/>
  <c r="C118" i="72"/>
  <c r="S117" i="72"/>
  <c r="R117" i="72"/>
  <c r="Q117" i="72"/>
  <c r="O117" i="72"/>
  <c r="M117" i="72"/>
  <c r="K117" i="72"/>
  <c r="I117" i="72"/>
  <c r="G117" i="72"/>
  <c r="E117" i="72"/>
  <c r="C117" i="72"/>
  <c r="S116" i="72"/>
  <c r="R116" i="72"/>
  <c r="Q116" i="72"/>
  <c r="O116" i="72"/>
  <c r="M116" i="72"/>
  <c r="K116" i="72"/>
  <c r="I116" i="72"/>
  <c r="G116" i="72"/>
  <c r="E116" i="72"/>
  <c r="C116" i="72"/>
  <c r="S115" i="72"/>
  <c r="R115" i="72"/>
  <c r="Q115" i="72"/>
  <c r="O115" i="72"/>
  <c r="M115" i="72"/>
  <c r="K115" i="72"/>
  <c r="I115" i="72"/>
  <c r="G115" i="72"/>
  <c r="E115" i="72"/>
  <c r="C115" i="72"/>
  <c r="S114" i="72"/>
  <c r="R114" i="72"/>
  <c r="Q114" i="72"/>
  <c r="O114" i="72"/>
  <c r="M114" i="72"/>
  <c r="K114" i="72"/>
  <c r="I114" i="72"/>
  <c r="G114" i="72"/>
  <c r="E114" i="72"/>
  <c r="C114" i="72"/>
  <c r="S113" i="72"/>
  <c r="R113" i="72"/>
  <c r="Q113" i="72"/>
  <c r="O113" i="72"/>
  <c r="M113" i="72"/>
  <c r="K113" i="72"/>
  <c r="I113" i="72"/>
  <c r="G113" i="72"/>
  <c r="E113" i="72"/>
  <c r="C113" i="72"/>
  <c r="S112" i="72"/>
  <c r="R112" i="72"/>
  <c r="Q112" i="72"/>
  <c r="O112" i="72"/>
  <c r="M112" i="72"/>
  <c r="K112" i="72"/>
  <c r="I112" i="72"/>
  <c r="G112" i="72"/>
  <c r="E112" i="72"/>
  <c r="C112" i="72"/>
  <c r="S111" i="72"/>
  <c r="R111" i="72"/>
  <c r="Q111" i="72"/>
  <c r="O111" i="72"/>
  <c r="M111" i="72"/>
  <c r="K111" i="72"/>
  <c r="I111" i="72"/>
  <c r="G111" i="72"/>
  <c r="E111" i="72"/>
  <c r="C111" i="72"/>
  <c r="S110" i="72"/>
  <c r="R110" i="72"/>
  <c r="Q110" i="72"/>
  <c r="O110" i="72"/>
  <c r="M110" i="72"/>
  <c r="K110" i="72"/>
  <c r="I110" i="72"/>
  <c r="G110" i="72"/>
  <c r="E110" i="72"/>
  <c r="C110" i="72"/>
  <c r="S109" i="72"/>
  <c r="R109" i="72"/>
  <c r="Q109" i="72"/>
  <c r="O109" i="72"/>
  <c r="M109" i="72"/>
  <c r="K109" i="72"/>
  <c r="I109" i="72"/>
  <c r="G109" i="72"/>
  <c r="E109" i="72"/>
  <c r="C109" i="72"/>
  <c r="S108" i="72"/>
  <c r="R108" i="72"/>
  <c r="Q108" i="72"/>
  <c r="O108" i="72"/>
  <c r="M108" i="72"/>
  <c r="K108" i="72"/>
  <c r="I108" i="72"/>
  <c r="G108" i="72"/>
  <c r="E108" i="72"/>
  <c r="C108" i="72"/>
  <c r="S107" i="72"/>
  <c r="R107" i="72"/>
  <c r="Q107" i="72"/>
  <c r="O107" i="72"/>
  <c r="M107" i="72"/>
  <c r="K107" i="72"/>
  <c r="I107" i="72"/>
  <c r="G107" i="72"/>
  <c r="E107" i="72"/>
  <c r="C107" i="72"/>
  <c r="S106" i="72"/>
  <c r="R106" i="72"/>
  <c r="Q106" i="72"/>
  <c r="O106" i="72"/>
  <c r="M106" i="72"/>
  <c r="K106" i="72"/>
  <c r="I106" i="72"/>
  <c r="G106" i="72"/>
  <c r="E106" i="72"/>
  <c r="C106" i="72"/>
  <c r="S105" i="72"/>
  <c r="R105" i="72"/>
  <c r="Q105" i="72"/>
  <c r="O105" i="72"/>
  <c r="M105" i="72"/>
  <c r="K105" i="72"/>
  <c r="I105" i="72"/>
  <c r="G105" i="72"/>
  <c r="E105" i="72"/>
  <c r="C105" i="72"/>
  <c r="S104" i="72"/>
  <c r="R104" i="72"/>
  <c r="Q104" i="72"/>
  <c r="O104" i="72"/>
  <c r="M104" i="72"/>
  <c r="K104" i="72"/>
  <c r="I104" i="72"/>
  <c r="G104" i="72"/>
  <c r="E104" i="72"/>
  <c r="C104" i="72"/>
  <c r="S103" i="72"/>
  <c r="R103" i="72"/>
  <c r="Q103" i="72"/>
  <c r="O103" i="72"/>
  <c r="M103" i="72"/>
  <c r="K103" i="72"/>
  <c r="I103" i="72"/>
  <c r="G103" i="72"/>
  <c r="E103" i="72"/>
  <c r="C103" i="72"/>
  <c r="S102" i="72"/>
  <c r="R102" i="72"/>
  <c r="Q102" i="72"/>
  <c r="O102" i="72"/>
  <c r="M102" i="72"/>
  <c r="K102" i="72"/>
  <c r="I102" i="72"/>
  <c r="G102" i="72"/>
  <c r="E102" i="72"/>
  <c r="C102" i="72"/>
  <c r="S101" i="72"/>
  <c r="R101" i="72"/>
  <c r="Q101" i="72"/>
  <c r="O101" i="72"/>
  <c r="M101" i="72"/>
  <c r="K101" i="72"/>
  <c r="I101" i="72"/>
  <c r="G101" i="72"/>
  <c r="E101" i="72"/>
  <c r="C101" i="72"/>
  <c r="S100" i="72"/>
  <c r="R100" i="72"/>
  <c r="Q100" i="72"/>
  <c r="O100" i="72"/>
  <c r="M100" i="72"/>
  <c r="K100" i="72"/>
  <c r="I100" i="72"/>
  <c r="G100" i="72"/>
  <c r="E100" i="72"/>
  <c r="C100" i="72"/>
  <c r="S99" i="72"/>
  <c r="R99" i="72"/>
  <c r="Q99" i="72"/>
  <c r="O99" i="72"/>
  <c r="M99" i="72"/>
  <c r="K99" i="72"/>
  <c r="I99" i="72"/>
  <c r="G99" i="72"/>
  <c r="E99" i="72"/>
  <c r="C99" i="72"/>
  <c r="S98" i="72"/>
  <c r="R98" i="72"/>
  <c r="Q98" i="72"/>
  <c r="O98" i="72"/>
  <c r="M98" i="72"/>
  <c r="K98" i="72"/>
  <c r="I98" i="72"/>
  <c r="G98" i="72"/>
  <c r="E98" i="72"/>
  <c r="C98" i="72"/>
  <c r="S97" i="72"/>
  <c r="R97" i="72"/>
  <c r="Q97" i="72"/>
  <c r="O97" i="72"/>
  <c r="M97" i="72"/>
  <c r="K97" i="72"/>
  <c r="I97" i="72"/>
  <c r="G97" i="72"/>
  <c r="E97" i="72"/>
  <c r="C97" i="72"/>
  <c r="S96" i="72"/>
  <c r="R96" i="72"/>
  <c r="Q96" i="72"/>
  <c r="O96" i="72"/>
  <c r="M96" i="72"/>
  <c r="K96" i="72"/>
  <c r="I96" i="72"/>
  <c r="G96" i="72"/>
  <c r="E96" i="72"/>
  <c r="C96" i="72"/>
  <c r="S95" i="72"/>
  <c r="R95" i="72"/>
  <c r="Q95" i="72"/>
  <c r="O95" i="72"/>
  <c r="M95" i="72"/>
  <c r="K95" i="72"/>
  <c r="I95" i="72"/>
  <c r="G95" i="72"/>
  <c r="E95" i="72"/>
  <c r="C95" i="72"/>
  <c r="S94" i="72"/>
  <c r="R94" i="72"/>
  <c r="Q94" i="72"/>
  <c r="O94" i="72"/>
  <c r="M94" i="72"/>
  <c r="K94" i="72"/>
  <c r="I94" i="72"/>
  <c r="G94" i="72"/>
  <c r="E94" i="72"/>
  <c r="C94" i="72"/>
  <c r="S93" i="72"/>
  <c r="R93" i="72"/>
  <c r="Q93" i="72"/>
  <c r="O93" i="72"/>
  <c r="M93" i="72"/>
  <c r="K93" i="72"/>
  <c r="I93" i="72"/>
  <c r="G93" i="72"/>
  <c r="E93" i="72"/>
  <c r="C93" i="72"/>
  <c r="S92" i="72"/>
  <c r="R92" i="72"/>
  <c r="Q92" i="72"/>
  <c r="O92" i="72"/>
  <c r="M92" i="72"/>
  <c r="K92" i="72"/>
  <c r="I92" i="72"/>
  <c r="G92" i="72"/>
  <c r="E92" i="72"/>
  <c r="C92" i="72"/>
  <c r="S91" i="72"/>
  <c r="R91" i="72"/>
  <c r="Q91" i="72"/>
  <c r="O91" i="72"/>
  <c r="M91" i="72"/>
  <c r="K91" i="72"/>
  <c r="I91" i="72"/>
  <c r="G91" i="72"/>
  <c r="E91" i="72"/>
  <c r="C91" i="72"/>
  <c r="S90" i="72"/>
  <c r="R90" i="72"/>
  <c r="Q90" i="72"/>
  <c r="O90" i="72"/>
  <c r="M90" i="72"/>
  <c r="K90" i="72"/>
  <c r="I90" i="72"/>
  <c r="G90" i="72"/>
  <c r="E90" i="72"/>
  <c r="C90" i="72"/>
  <c r="S89" i="72"/>
  <c r="R89" i="72"/>
  <c r="Q89" i="72"/>
  <c r="O89" i="72"/>
  <c r="M89" i="72"/>
  <c r="K89" i="72"/>
  <c r="I89" i="72"/>
  <c r="G89" i="72"/>
  <c r="E89" i="72"/>
  <c r="C89" i="72"/>
  <c r="S88" i="72"/>
  <c r="R88" i="72"/>
  <c r="Q88" i="72"/>
  <c r="O88" i="72"/>
  <c r="M88" i="72"/>
  <c r="K88" i="72"/>
  <c r="I88" i="72"/>
  <c r="G88" i="72"/>
  <c r="E88" i="72"/>
  <c r="C88" i="72"/>
  <c r="S87" i="72"/>
  <c r="R87" i="72"/>
  <c r="Q87" i="72"/>
  <c r="O87" i="72"/>
  <c r="M87" i="72"/>
  <c r="K87" i="72"/>
  <c r="I87" i="72"/>
  <c r="G87" i="72"/>
  <c r="E87" i="72"/>
  <c r="C87" i="72"/>
  <c r="S86" i="72"/>
  <c r="R86" i="72"/>
  <c r="Q86" i="72"/>
  <c r="O86" i="72"/>
  <c r="M86" i="72"/>
  <c r="K86" i="72"/>
  <c r="I86" i="72"/>
  <c r="G86" i="72"/>
  <c r="E86" i="72"/>
  <c r="C86" i="72"/>
  <c r="S85" i="72"/>
  <c r="R85" i="72"/>
  <c r="Q85" i="72"/>
  <c r="O85" i="72"/>
  <c r="M85" i="72"/>
  <c r="K85" i="72"/>
  <c r="I85" i="72"/>
  <c r="G85" i="72"/>
  <c r="E85" i="72"/>
  <c r="C85" i="72"/>
  <c r="S84" i="72"/>
  <c r="R84" i="72"/>
  <c r="Q84" i="72"/>
  <c r="O84" i="72"/>
  <c r="M84" i="72"/>
  <c r="K84" i="72"/>
  <c r="I84" i="72"/>
  <c r="G84" i="72"/>
  <c r="E84" i="72"/>
  <c r="C84" i="72"/>
  <c r="S83" i="72"/>
  <c r="R83" i="72"/>
  <c r="Q83" i="72"/>
  <c r="O83" i="72"/>
  <c r="M83" i="72"/>
  <c r="K83" i="72"/>
  <c r="I83" i="72"/>
  <c r="G83" i="72"/>
  <c r="E83" i="72"/>
  <c r="C83" i="72"/>
  <c r="S82" i="72"/>
  <c r="R82" i="72"/>
  <c r="Q82" i="72"/>
  <c r="O82" i="72"/>
  <c r="M82" i="72"/>
  <c r="K82" i="72"/>
  <c r="I82" i="72"/>
  <c r="G82" i="72"/>
  <c r="E82" i="72"/>
  <c r="C82" i="72"/>
  <c r="S81" i="72"/>
  <c r="R81" i="72"/>
  <c r="Q81" i="72"/>
  <c r="O81" i="72"/>
  <c r="M81" i="72"/>
  <c r="K81" i="72"/>
  <c r="I81" i="72"/>
  <c r="G81" i="72"/>
  <c r="E81" i="72"/>
  <c r="C81" i="72"/>
  <c r="S80" i="72"/>
  <c r="R80" i="72"/>
  <c r="Q80" i="72"/>
  <c r="O80" i="72"/>
  <c r="M80" i="72"/>
  <c r="K80" i="72"/>
  <c r="I80" i="72"/>
  <c r="G80" i="72"/>
  <c r="E80" i="72"/>
  <c r="C80" i="72"/>
  <c r="S79" i="72"/>
  <c r="R79" i="72"/>
  <c r="Q79" i="72"/>
  <c r="O79" i="72"/>
  <c r="M79" i="72"/>
  <c r="K79" i="72"/>
  <c r="I79" i="72"/>
  <c r="G79" i="72"/>
  <c r="E79" i="72"/>
  <c r="C79" i="72"/>
  <c r="S78" i="72"/>
  <c r="R78" i="72"/>
  <c r="Q78" i="72"/>
  <c r="O78" i="72"/>
  <c r="M78" i="72"/>
  <c r="K78" i="72"/>
  <c r="I78" i="72"/>
  <c r="G78" i="72"/>
  <c r="E78" i="72"/>
  <c r="C78" i="72"/>
  <c r="S77" i="72"/>
  <c r="R77" i="72"/>
  <c r="Q77" i="72"/>
  <c r="O77" i="72"/>
  <c r="M77" i="72"/>
  <c r="K77" i="72"/>
  <c r="I77" i="72"/>
  <c r="G77" i="72"/>
  <c r="E77" i="72"/>
  <c r="C77" i="72"/>
  <c r="S76" i="72"/>
  <c r="R76" i="72"/>
  <c r="Q76" i="72"/>
  <c r="O76" i="72"/>
  <c r="M76" i="72"/>
  <c r="K76" i="72"/>
  <c r="I76" i="72"/>
  <c r="G76" i="72"/>
  <c r="E76" i="72"/>
  <c r="C76" i="72"/>
  <c r="S75" i="72"/>
  <c r="R75" i="72"/>
  <c r="Q75" i="72"/>
  <c r="O75" i="72"/>
  <c r="M75" i="72"/>
  <c r="K75" i="72"/>
  <c r="I75" i="72"/>
  <c r="G75" i="72"/>
  <c r="E75" i="72"/>
  <c r="C75" i="72"/>
  <c r="S74" i="72"/>
  <c r="R74" i="72"/>
  <c r="Q74" i="72"/>
  <c r="O74" i="72"/>
  <c r="M74" i="72"/>
  <c r="K74" i="72"/>
  <c r="I74" i="72"/>
  <c r="G74" i="72"/>
  <c r="E74" i="72"/>
  <c r="C74" i="72"/>
  <c r="S73" i="72"/>
  <c r="R73" i="72"/>
  <c r="Q73" i="72"/>
  <c r="O73" i="72"/>
  <c r="M73" i="72"/>
  <c r="K73" i="72"/>
  <c r="I73" i="72"/>
  <c r="G73" i="72"/>
  <c r="E73" i="72"/>
  <c r="C73" i="72"/>
  <c r="S72" i="72"/>
  <c r="R72" i="72"/>
  <c r="Q72" i="72"/>
  <c r="O72" i="72"/>
  <c r="M72" i="72"/>
  <c r="K72" i="72"/>
  <c r="I72" i="72"/>
  <c r="G72" i="72"/>
  <c r="E72" i="72"/>
  <c r="C72" i="72"/>
  <c r="S71" i="72"/>
  <c r="R71" i="72"/>
  <c r="Q71" i="72"/>
  <c r="O71" i="72"/>
  <c r="M71" i="72"/>
  <c r="K71" i="72"/>
  <c r="I71" i="72"/>
  <c r="G71" i="72"/>
  <c r="E71" i="72"/>
  <c r="C71" i="72"/>
  <c r="S70" i="72"/>
  <c r="R70" i="72"/>
  <c r="Q70" i="72"/>
  <c r="O70" i="72"/>
  <c r="M70" i="72"/>
  <c r="K70" i="72"/>
  <c r="I70" i="72"/>
  <c r="G70" i="72"/>
  <c r="E70" i="72"/>
  <c r="C70" i="72"/>
  <c r="S69" i="72"/>
  <c r="R69" i="72"/>
  <c r="Q69" i="72"/>
  <c r="O69" i="72"/>
  <c r="M69" i="72"/>
  <c r="K69" i="72"/>
  <c r="I69" i="72"/>
  <c r="G69" i="72"/>
  <c r="E69" i="72"/>
  <c r="C69" i="72"/>
  <c r="S68" i="72"/>
  <c r="R68" i="72"/>
  <c r="Q68" i="72"/>
  <c r="O68" i="72"/>
  <c r="M68" i="72"/>
  <c r="K68" i="72"/>
  <c r="I68" i="72"/>
  <c r="G68" i="72"/>
  <c r="E68" i="72"/>
  <c r="C68" i="72"/>
  <c r="S67" i="72"/>
  <c r="R67" i="72"/>
  <c r="Q67" i="72"/>
  <c r="O67" i="72"/>
  <c r="M67" i="72"/>
  <c r="K67" i="72"/>
  <c r="I67" i="72"/>
  <c r="G67" i="72"/>
  <c r="E67" i="72"/>
  <c r="C67" i="72"/>
  <c r="S66" i="72"/>
  <c r="R66" i="72"/>
  <c r="Q66" i="72"/>
  <c r="O66" i="72"/>
  <c r="M66" i="72"/>
  <c r="K66" i="72"/>
  <c r="I66" i="72"/>
  <c r="G66" i="72"/>
  <c r="E66" i="72"/>
  <c r="C66" i="72"/>
  <c r="S65" i="72"/>
  <c r="R65" i="72"/>
  <c r="Q65" i="72"/>
  <c r="O65" i="72"/>
  <c r="M65" i="72"/>
  <c r="K65" i="72"/>
  <c r="I65" i="72"/>
  <c r="G65" i="72"/>
  <c r="E65" i="72"/>
  <c r="C65" i="72"/>
  <c r="S64" i="72"/>
  <c r="R64" i="72"/>
  <c r="Q64" i="72"/>
  <c r="O64" i="72"/>
  <c r="M64" i="72"/>
  <c r="K64" i="72"/>
  <c r="I64" i="72"/>
  <c r="G64" i="72"/>
  <c r="E64" i="72"/>
  <c r="C64" i="72"/>
  <c r="S63" i="72"/>
  <c r="R63" i="72"/>
  <c r="Q63" i="72"/>
  <c r="O63" i="72"/>
  <c r="M63" i="72"/>
  <c r="K63" i="72"/>
  <c r="I63" i="72"/>
  <c r="G63" i="72"/>
  <c r="E63" i="72"/>
  <c r="C63" i="72"/>
  <c r="S62" i="72"/>
  <c r="R62" i="72"/>
  <c r="Q62" i="72"/>
  <c r="O62" i="72"/>
  <c r="M62" i="72"/>
  <c r="K62" i="72"/>
  <c r="I62" i="72"/>
  <c r="G62" i="72"/>
  <c r="E62" i="72"/>
  <c r="C62" i="72"/>
  <c r="S61" i="72"/>
  <c r="R61" i="72"/>
  <c r="Q61" i="72"/>
  <c r="O61" i="72"/>
  <c r="M61" i="72"/>
  <c r="K61" i="72"/>
  <c r="I61" i="72"/>
  <c r="G61" i="72"/>
  <c r="E61" i="72"/>
  <c r="C61" i="72"/>
  <c r="S60" i="72"/>
  <c r="R60" i="72"/>
  <c r="Q60" i="72"/>
  <c r="O60" i="72"/>
  <c r="M60" i="72"/>
  <c r="K60" i="72"/>
  <c r="I60" i="72"/>
  <c r="G60" i="72"/>
  <c r="E60" i="72"/>
  <c r="C60" i="72"/>
  <c r="S59" i="72"/>
  <c r="R59" i="72"/>
  <c r="Q59" i="72"/>
  <c r="O59" i="72"/>
  <c r="M59" i="72"/>
  <c r="K59" i="72"/>
  <c r="I59" i="72"/>
  <c r="G59" i="72"/>
  <c r="E59" i="72"/>
  <c r="C59" i="72"/>
  <c r="S58" i="72"/>
  <c r="R58" i="72"/>
  <c r="Q58" i="72"/>
  <c r="O58" i="72"/>
  <c r="M58" i="72"/>
  <c r="K58" i="72"/>
  <c r="I58" i="72"/>
  <c r="G58" i="72"/>
  <c r="E58" i="72"/>
  <c r="C58" i="72"/>
  <c r="S57" i="72"/>
  <c r="R57" i="72"/>
  <c r="Q57" i="72"/>
  <c r="O57" i="72"/>
  <c r="M57" i="72"/>
  <c r="K57" i="72"/>
  <c r="I57" i="72"/>
  <c r="G57" i="72"/>
  <c r="E57" i="72"/>
  <c r="C57" i="72"/>
  <c r="S56" i="72"/>
  <c r="R56" i="72"/>
  <c r="Q56" i="72"/>
  <c r="O56" i="72"/>
  <c r="M56" i="72"/>
  <c r="K56" i="72"/>
  <c r="I56" i="72"/>
  <c r="G56" i="72"/>
  <c r="E56" i="72"/>
  <c r="C56" i="72"/>
  <c r="S55" i="72"/>
  <c r="R55" i="72"/>
  <c r="Q55" i="72"/>
  <c r="O55" i="72"/>
  <c r="M55" i="72"/>
  <c r="K55" i="72"/>
  <c r="I55" i="72"/>
  <c r="G55" i="72"/>
  <c r="E55" i="72"/>
  <c r="C55" i="72"/>
  <c r="S54" i="72"/>
  <c r="R54" i="72"/>
  <c r="Q54" i="72"/>
  <c r="O54" i="72"/>
  <c r="M54" i="72"/>
  <c r="K54" i="72"/>
  <c r="I54" i="72"/>
  <c r="G54" i="72"/>
  <c r="E54" i="72"/>
  <c r="C54" i="72"/>
  <c r="S53" i="72"/>
  <c r="R53" i="72"/>
  <c r="Q53" i="72"/>
  <c r="O53" i="72"/>
  <c r="M53" i="72"/>
  <c r="K53" i="72"/>
  <c r="I53" i="72"/>
  <c r="G53" i="72"/>
  <c r="E53" i="72"/>
  <c r="C53" i="72"/>
  <c r="S52" i="72"/>
  <c r="R52" i="72"/>
  <c r="Q52" i="72"/>
  <c r="O52" i="72"/>
  <c r="M52" i="72"/>
  <c r="K52" i="72"/>
  <c r="I52" i="72"/>
  <c r="G52" i="72"/>
  <c r="E52" i="72"/>
  <c r="C52" i="72"/>
  <c r="S51" i="72"/>
  <c r="R51" i="72"/>
  <c r="Q51" i="72"/>
  <c r="O51" i="72"/>
  <c r="M51" i="72"/>
  <c r="K51" i="72"/>
  <c r="I51" i="72"/>
  <c r="G51" i="72"/>
  <c r="E51" i="72"/>
  <c r="C51" i="72"/>
  <c r="S50" i="72"/>
  <c r="R50" i="72"/>
  <c r="Q50" i="72"/>
  <c r="O50" i="72"/>
  <c r="M50" i="72"/>
  <c r="K50" i="72"/>
  <c r="I50" i="72"/>
  <c r="G50" i="72"/>
  <c r="E50" i="72"/>
  <c r="C50" i="72"/>
  <c r="S49" i="72"/>
  <c r="R49" i="72"/>
  <c r="Q49" i="72"/>
  <c r="O49" i="72"/>
  <c r="M49" i="72"/>
  <c r="K49" i="72"/>
  <c r="I49" i="72"/>
  <c r="G49" i="72"/>
  <c r="E49" i="72"/>
  <c r="C49" i="72"/>
  <c r="S48" i="72"/>
  <c r="R48" i="72"/>
  <c r="Q48" i="72"/>
  <c r="O48" i="72"/>
  <c r="M48" i="72"/>
  <c r="K48" i="72"/>
  <c r="I48" i="72"/>
  <c r="G48" i="72"/>
  <c r="E48" i="72"/>
  <c r="C48" i="72"/>
  <c r="S47" i="72"/>
  <c r="R47" i="72"/>
  <c r="Q47" i="72"/>
  <c r="O47" i="72"/>
  <c r="M47" i="72"/>
  <c r="K47" i="72"/>
  <c r="I47" i="72"/>
  <c r="G47" i="72"/>
  <c r="E47" i="72"/>
  <c r="C47" i="72"/>
  <c r="S46" i="72"/>
  <c r="R46" i="72"/>
  <c r="Q46" i="72"/>
  <c r="O46" i="72"/>
  <c r="M46" i="72"/>
  <c r="K46" i="72"/>
  <c r="I46" i="72"/>
  <c r="G46" i="72"/>
  <c r="E46" i="72"/>
  <c r="C46" i="72"/>
  <c r="S45" i="72"/>
  <c r="R45" i="72"/>
  <c r="Q45" i="72"/>
  <c r="O45" i="72"/>
  <c r="M45" i="72"/>
  <c r="K45" i="72"/>
  <c r="I45" i="72"/>
  <c r="G45" i="72"/>
  <c r="E45" i="72"/>
  <c r="C45" i="72"/>
  <c r="S44" i="72"/>
  <c r="R44" i="72"/>
  <c r="Q44" i="72"/>
  <c r="O44" i="72"/>
  <c r="M44" i="72"/>
  <c r="K44" i="72"/>
  <c r="I44" i="72"/>
  <c r="G44" i="72"/>
  <c r="E44" i="72"/>
  <c r="C44" i="72"/>
  <c r="S43" i="72"/>
  <c r="R43" i="72"/>
  <c r="Q43" i="72"/>
  <c r="O43" i="72"/>
  <c r="M43" i="72"/>
  <c r="K43" i="72"/>
  <c r="I43" i="72"/>
  <c r="G43" i="72"/>
  <c r="E43" i="72"/>
  <c r="C43" i="72"/>
  <c r="S42" i="72"/>
  <c r="R42" i="72"/>
  <c r="Q42" i="72"/>
  <c r="O42" i="72"/>
  <c r="M42" i="72"/>
  <c r="K42" i="72"/>
  <c r="I42" i="72"/>
  <c r="G42" i="72"/>
  <c r="E42" i="72"/>
  <c r="C42" i="72"/>
  <c r="S41" i="72"/>
  <c r="R41" i="72"/>
  <c r="Q41" i="72"/>
  <c r="O41" i="72"/>
  <c r="M41" i="72"/>
  <c r="K41" i="72"/>
  <c r="I41" i="72"/>
  <c r="G41" i="72"/>
  <c r="E41" i="72"/>
  <c r="C41" i="72"/>
  <c r="S40" i="72"/>
  <c r="R40" i="72"/>
  <c r="Q40" i="72"/>
  <c r="O40" i="72"/>
  <c r="M40" i="72"/>
  <c r="K40" i="72"/>
  <c r="I40" i="72"/>
  <c r="G40" i="72"/>
  <c r="E40" i="72"/>
  <c r="C40" i="72"/>
  <c r="S39" i="72"/>
  <c r="R39" i="72"/>
  <c r="Q39" i="72"/>
  <c r="O39" i="72"/>
  <c r="M39" i="72"/>
  <c r="K39" i="72"/>
  <c r="I39" i="72"/>
  <c r="G39" i="72"/>
  <c r="E39" i="72"/>
  <c r="C39" i="72"/>
  <c r="S38" i="72"/>
  <c r="R38" i="72"/>
  <c r="Q38" i="72"/>
  <c r="O38" i="72"/>
  <c r="M38" i="72"/>
  <c r="K38" i="72"/>
  <c r="I38" i="72"/>
  <c r="G38" i="72"/>
  <c r="E38" i="72"/>
  <c r="C38" i="72"/>
  <c r="S37" i="72"/>
  <c r="R37" i="72"/>
  <c r="Q37" i="72"/>
  <c r="O37" i="72"/>
  <c r="M37" i="72"/>
  <c r="K37" i="72"/>
  <c r="I37" i="72"/>
  <c r="G37" i="72"/>
  <c r="E37" i="72"/>
  <c r="C37" i="72"/>
  <c r="S36" i="72"/>
  <c r="R36" i="72"/>
  <c r="Q36" i="72"/>
  <c r="O36" i="72"/>
  <c r="M36" i="72"/>
  <c r="K36" i="72"/>
  <c r="I36" i="72"/>
  <c r="G36" i="72"/>
  <c r="E36" i="72"/>
  <c r="C36" i="72"/>
  <c r="S35" i="72"/>
  <c r="R35" i="72"/>
  <c r="Q35" i="72"/>
  <c r="O35" i="72"/>
  <c r="M35" i="72"/>
  <c r="K35" i="72"/>
  <c r="I35" i="72"/>
  <c r="G35" i="72"/>
  <c r="E35" i="72"/>
  <c r="C35" i="72"/>
  <c r="S34" i="72"/>
  <c r="R34" i="72"/>
  <c r="Q34" i="72"/>
  <c r="O34" i="72"/>
  <c r="M34" i="72"/>
  <c r="K34" i="72"/>
  <c r="I34" i="72"/>
  <c r="G34" i="72"/>
  <c r="E34" i="72"/>
  <c r="C34" i="72"/>
  <c r="S33" i="72"/>
  <c r="R33" i="72"/>
  <c r="Q33" i="72"/>
  <c r="O33" i="72"/>
  <c r="M33" i="72"/>
  <c r="K33" i="72"/>
  <c r="I33" i="72"/>
  <c r="G33" i="72"/>
  <c r="E33" i="72"/>
  <c r="C33" i="72"/>
  <c r="S32" i="72"/>
  <c r="R32" i="72"/>
  <c r="Q32" i="72"/>
  <c r="O32" i="72"/>
  <c r="M32" i="72"/>
  <c r="K32" i="72"/>
  <c r="I32" i="72"/>
  <c r="G32" i="72"/>
  <c r="E32" i="72"/>
  <c r="C32" i="72"/>
  <c r="S31" i="72"/>
  <c r="R31" i="72"/>
  <c r="Q31" i="72"/>
  <c r="O31" i="72"/>
  <c r="M31" i="72"/>
  <c r="K31" i="72"/>
  <c r="I31" i="72"/>
  <c r="G31" i="72"/>
  <c r="E31" i="72"/>
  <c r="C31" i="72"/>
  <c r="S30" i="72"/>
  <c r="R30" i="72"/>
  <c r="Q30" i="72"/>
  <c r="O30" i="72"/>
  <c r="M30" i="72"/>
  <c r="K30" i="72"/>
  <c r="I30" i="72"/>
  <c r="G30" i="72"/>
  <c r="E30" i="72"/>
  <c r="C30" i="72"/>
  <c r="S29" i="72"/>
  <c r="R29" i="72"/>
  <c r="Q29" i="72"/>
  <c r="O29" i="72"/>
  <c r="M29" i="72"/>
  <c r="K29" i="72"/>
  <c r="I29" i="72"/>
  <c r="G29" i="72"/>
  <c r="E29" i="72"/>
  <c r="C29" i="72"/>
  <c r="S28" i="72"/>
  <c r="R28" i="72"/>
  <c r="Q28" i="72"/>
  <c r="O28" i="72"/>
  <c r="M28" i="72"/>
  <c r="K28" i="72"/>
  <c r="I28" i="72"/>
  <c r="G28" i="72"/>
  <c r="E28" i="72"/>
  <c r="C28" i="72"/>
  <c r="S27" i="72"/>
  <c r="R27" i="72"/>
  <c r="Q27" i="72"/>
  <c r="O27" i="72"/>
  <c r="M27" i="72"/>
  <c r="K27" i="72"/>
  <c r="I27" i="72"/>
  <c r="G27" i="72"/>
  <c r="E27" i="72"/>
  <c r="C27" i="72"/>
  <c r="S26" i="72"/>
  <c r="R26" i="72"/>
  <c r="Q26" i="72"/>
  <c r="O26" i="72"/>
  <c r="M26" i="72"/>
  <c r="K26" i="72"/>
  <c r="I26" i="72"/>
  <c r="G26" i="72"/>
  <c r="E26" i="72"/>
  <c r="C26" i="72"/>
  <c r="S25" i="72"/>
  <c r="R25" i="72"/>
  <c r="Q25" i="72"/>
  <c r="O25" i="72"/>
  <c r="M25" i="72"/>
  <c r="K25" i="72"/>
  <c r="I25" i="72"/>
  <c r="G25" i="72"/>
  <c r="E25" i="72"/>
  <c r="C25" i="72"/>
  <c r="S24" i="72"/>
  <c r="P23" i="72"/>
  <c r="N23" i="72"/>
  <c r="L23" i="72"/>
  <c r="J23" i="72"/>
  <c r="H23" i="72"/>
  <c r="F23" i="72"/>
  <c r="D23" i="72"/>
  <c r="B22" i="72"/>
  <c r="D12" i="72"/>
  <c r="E12" i="72"/>
  <c r="F12" i="72"/>
  <c r="G12" i="72"/>
  <c r="H12" i="72"/>
  <c r="I12" i="72"/>
  <c r="J12" i="72"/>
  <c r="K12" i="72"/>
  <c r="L12" i="72"/>
  <c r="M12" i="72"/>
  <c r="N12" i="72"/>
  <c r="O12" i="72"/>
  <c r="P12" i="72"/>
  <c r="Q12" i="72"/>
  <c r="R12" i="72"/>
  <c r="S12" i="72"/>
  <c r="D10" i="72"/>
  <c r="E10" i="72"/>
  <c r="F10" i="72"/>
  <c r="G10" i="72"/>
  <c r="H10" i="72"/>
  <c r="I10" i="72"/>
  <c r="J10" i="72"/>
  <c r="K10" i="72"/>
  <c r="L10" i="72"/>
  <c r="M10" i="72"/>
  <c r="N10" i="72"/>
  <c r="O10" i="72"/>
  <c r="P10" i="72"/>
  <c r="Q10" i="72"/>
  <c r="R10" i="72"/>
  <c r="S10" i="72"/>
  <c r="D8" i="72"/>
  <c r="E8" i="72"/>
  <c r="F8" i="72"/>
  <c r="G8" i="72"/>
  <c r="H8" i="72"/>
  <c r="I8" i="72"/>
  <c r="J8" i="72"/>
  <c r="K8" i="72"/>
  <c r="L8" i="72"/>
  <c r="M8" i="72"/>
  <c r="N8" i="72"/>
  <c r="O8" i="72"/>
  <c r="P8" i="72"/>
  <c r="Q8" i="72"/>
  <c r="R8" i="72"/>
  <c r="S8" i="72"/>
  <c r="D6" i="72"/>
  <c r="E6" i="72"/>
  <c r="F6" i="72"/>
  <c r="G6" i="72"/>
  <c r="H6" i="72"/>
  <c r="I6" i="72"/>
  <c r="J6" i="72"/>
  <c r="K6" i="72"/>
  <c r="L6" i="72"/>
  <c r="M6" i="72"/>
  <c r="N6" i="72"/>
  <c r="O6" i="72"/>
  <c r="P6" i="72"/>
  <c r="Q6" i="72"/>
  <c r="R6" i="72"/>
  <c r="S6" i="72"/>
  <c r="S2" i="72"/>
  <c r="R2" i="72"/>
  <c r="Q2" i="72"/>
  <c r="P2" i="72"/>
  <c r="O2" i="72"/>
  <c r="N2" i="72"/>
  <c r="M2" i="72"/>
  <c r="L2" i="72"/>
  <c r="K2" i="72"/>
  <c r="J2" i="72"/>
  <c r="I2" i="72"/>
  <c r="H2" i="72"/>
  <c r="G2" i="72"/>
  <c r="F2" i="72"/>
  <c r="E2" i="72"/>
  <c r="D2" i="72"/>
  <c r="C2" i="72"/>
  <c r="R22" i="73"/>
  <c r="B21" i="73"/>
  <c r="B20" i="73"/>
  <c r="B20" i="72"/>
  <c r="R22" i="72"/>
  <c r="B21" i="72"/>
  <c r="G48" i="39"/>
  <c r="I48" i="39"/>
  <c r="I9" i="39"/>
  <c r="G9" i="39"/>
  <c r="I7" i="39"/>
  <c r="G7" i="39"/>
  <c r="C19" i="6"/>
  <c r="Q73" i="71"/>
  <c r="Q60" i="71"/>
  <c r="D60" i="71"/>
  <c r="Q59" i="71"/>
  <c r="K59" i="71"/>
  <c r="P75" i="71"/>
  <c r="F58" i="71"/>
  <c r="Q52" i="71"/>
  <c r="J50" i="71"/>
  <c r="J51" i="71"/>
  <c r="M47" i="71"/>
  <c r="L46" i="71"/>
  <c r="F33" i="71"/>
  <c r="F60" i="71"/>
  <c r="F31" i="71"/>
  <c r="F23" i="71"/>
  <c r="D24" i="71"/>
  <c r="D22" i="71"/>
  <c r="F20" i="71"/>
  <c r="M19" i="71"/>
  <c r="F18" i="71"/>
  <c r="M17" i="71"/>
  <c r="F17" i="71"/>
  <c r="F15" i="71"/>
  <c r="Q73" i="70"/>
  <c r="Q60" i="70"/>
  <c r="D60" i="70"/>
  <c r="Q59" i="70"/>
  <c r="K59" i="70"/>
  <c r="P75" i="70"/>
  <c r="F58" i="70"/>
  <c r="Q52" i="70"/>
  <c r="J50" i="70"/>
  <c r="J51" i="70"/>
  <c r="M47" i="70"/>
  <c r="L46" i="70"/>
  <c r="F33" i="70"/>
  <c r="F60" i="70"/>
  <c r="F31" i="70"/>
  <c r="F23" i="70"/>
  <c r="D24" i="70"/>
  <c r="D23" i="70"/>
  <c r="D22" i="70"/>
  <c r="F20" i="70"/>
  <c r="M19" i="70"/>
  <c r="F18" i="70"/>
  <c r="M17" i="70"/>
  <c r="F17" i="70"/>
  <c r="F15" i="70"/>
  <c r="G10" i="68"/>
  <c r="G12" i="68"/>
  <c r="G39" i="68"/>
  <c r="G41" i="68"/>
  <c r="G40" i="68"/>
  <c r="E42" i="68"/>
  <c r="E34" i="68"/>
  <c r="G34" i="68"/>
  <c r="G33" i="68"/>
  <c r="F33" i="68"/>
  <c r="G32" i="68"/>
  <c r="F32" i="68"/>
  <c r="G31" i="68"/>
  <c r="F31" i="68"/>
  <c r="G30" i="68"/>
  <c r="F30" i="68"/>
  <c r="G29" i="68"/>
  <c r="F29" i="68"/>
  <c r="G28" i="68"/>
  <c r="F28" i="68"/>
  <c r="G27" i="68"/>
  <c r="F27" i="68"/>
  <c r="G26" i="68"/>
  <c r="F26" i="68"/>
  <c r="G25" i="68"/>
  <c r="F25" i="68"/>
  <c r="G24" i="68"/>
  <c r="F24" i="68"/>
  <c r="G23" i="68"/>
  <c r="F23" i="68"/>
  <c r="G22" i="68"/>
  <c r="F22" i="68"/>
  <c r="G14" i="68"/>
  <c r="F14" i="68"/>
  <c r="G13" i="68"/>
  <c r="F13" i="68"/>
  <c r="F12" i="68"/>
  <c r="F10" i="68"/>
  <c r="G8" i="68"/>
  <c r="F8" i="68"/>
  <c r="G42" i="68"/>
  <c r="F7" i="68"/>
  <c r="D23" i="71"/>
  <c r="P62" i="71"/>
  <c r="P62" i="70"/>
  <c r="B27" i="9"/>
  <c r="D27" i="9"/>
  <c r="D30" i="9"/>
  <c r="C33" i="21"/>
  <c r="H33" i="21"/>
  <c r="C40" i="39"/>
  <c r="F15" i="15"/>
  <c r="F17" i="15"/>
  <c r="B22" i="1"/>
  <c r="C2" i="65"/>
  <c r="D101" i="21"/>
  <c r="D77" i="21"/>
  <c r="E77" i="21"/>
  <c r="F77" i="21"/>
  <c r="D79" i="21"/>
  <c r="E79" i="21"/>
  <c r="D81" i="21"/>
  <c r="E81" i="21"/>
  <c r="F81" i="21"/>
  <c r="D85" i="21"/>
  <c r="F23" i="21"/>
  <c r="F33" i="21"/>
  <c r="AA33" i="21"/>
  <c r="R47" i="21"/>
  <c r="J33" i="21"/>
  <c r="AC33" i="21"/>
  <c r="V47" i="21"/>
  <c r="D3" i="4"/>
  <c r="B2" i="1"/>
  <c r="AH5" i="59"/>
  <c r="AG5" i="59"/>
  <c r="AE5" i="59"/>
  <c r="AF5" i="59"/>
  <c r="AD5" i="59"/>
  <c r="Q6" i="59"/>
  <c r="Q5" i="59"/>
  <c r="P6" i="59"/>
  <c r="P5" i="59"/>
  <c r="O6" i="59"/>
  <c r="O5" i="59"/>
  <c r="N6" i="59"/>
  <c r="N5" i="59"/>
  <c r="M19" i="46"/>
  <c r="I20" i="46"/>
  <c r="A6" i="1"/>
  <c r="A7" i="1"/>
  <c r="J50" i="15"/>
  <c r="J51" i="15"/>
  <c r="M47" i="15"/>
  <c r="C1" i="65"/>
  <c r="H1" i="65"/>
  <c r="I5" i="3"/>
  <c r="K5" i="3"/>
  <c r="D8" i="59"/>
  <c r="AH6" i="59"/>
  <c r="AG6" i="59"/>
  <c r="AE6" i="59"/>
  <c r="AF6" i="59"/>
  <c r="AD6" i="59"/>
  <c r="I3" i="59"/>
  <c r="L3" i="59"/>
  <c r="K3" i="59"/>
  <c r="AG3" i="59"/>
  <c r="J3" i="59"/>
  <c r="BC13" i="3"/>
  <c r="BD13" i="3"/>
  <c r="BE13" i="3"/>
  <c r="BF13" i="3"/>
  <c r="BG13" i="3"/>
  <c r="BH13" i="3"/>
  <c r="BI13" i="3"/>
  <c r="BJ13" i="3"/>
  <c r="BK13" i="3"/>
  <c r="BM13" i="3"/>
  <c r="BN13" i="3"/>
  <c r="BO13" i="3"/>
  <c r="BP13" i="3"/>
  <c r="BQ13" i="3"/>
  <c r="BR13" i="3"/>
  <c r="BS13" i="3"/>
  <c r="BT13" i="3"/>
  <c r="AE7" i="59"/>
  <c r="AF7" i="59"/>
  <c r="AG7" i="59"/>
  <c r="AH7" i="59"/>
  <c r="AD7" i="59"/>
  <c r="Q7" i="59"/>
  <c r="P7" i="59"/>
  <c r="O7" i="59"/>
  <c r="N7" i="59"/>
  <c r="N8" i="59"/>
  <c r="Q8" i="59"/>
  <c r="P8" i="59"/>
  <c r="O8" i="59"/>
  <c r="L4" i="9"/>
  <c r="A30" i="51"/>
  <c r="M4" i="9"/>
  <c r="A30" i="64"/>
  <c r="K59" i="15"/>
  <c r="Q74" i="44"/>
  <c r="Q61" i="44"/>
  <c r="Q60" i="44"/>
  <c r="Q53" i="44"/>
  <c r="J51" i="44"/>
  <c r="J52" i="44"/>
  <c r="M48" i="44"/>
  <c r="A16" i="55"/>
  <c r="A15" i="55"/>
  <c r="L26" i="4"/>
  <c r="A10" i="55"/>
  <c r="A9" i="55"/>
  <c r="A8" i="55"/>
  <c r="A6" i="54"/>
  <c r="A8" i="54"/>
  <c r="A7" i="54"/>
  <c r="A27" i="51"/>
  <c r="D5" i="46"/>
  <c r="Q9" i="59"/>
  <c r="O9" i="59"/>
  <c r="N10" i="59"/>
  <c r="O10" i="59"/>
  <c r="P10" i="59"/>
  <c r="Q10" i="59"/>
  <c r="N9" i="59"/>
  <c r="P9" i="59"/>
  <c r="F11" i="59"/>
  <c r="V11" i="59"/>
  <c r="K75" i="9"/>
  <c r="K6" i="4"/>
  <c r="L76" i="9"/>
  <c r="E18" i="66"/>
  <c r="F18" i="66"/>
  <c r="E19" i="66"/>
  <c r="F19" i="66"/>
  <c r="E20" i="66"/>
  <c r="F20" i="66"/>
  <c r="E21" i="66"/>
  <c r="F21" i="66"/>
  <c r="E22" i="66"/>
  <c r="F22" i="66"/>
  <c r="E23" i="66"/>
  <c r="F23" i="66"/>
  <c r="B3" i="66"/>
  <c r="E7" i="59"/>
  <c r="E6" i="59"/>
  <c r="E5" i="59"/>
  <c r="F10" i="59"/>
  <c r="F9" i="59"/>
  <c r="F7" i="59"/>
  <c r="U7" i="59"/>
  <c r="AD3" i="59"/>
  <c r="AE3" i="59"/>
  <c r="AF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3" i="65"/>
  <c r="D7"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C42"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C30"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Y22" i="59"/>
  <c r="Z22" i="59"/>
  <c r="N22" i="59"/>
  <c r="X22" i="59"/>
  <c r="Q21" i="59"/>
  <c r="AB21" i="59"/>
  <c r="P21" i="59"/>
  <c r="AA21" i="59"/>
  <c r="O21" i="59"/>
  <c r="Y18" i="59"/>
  <c r="Z18" i="59"/>
  <c r="N21" i="59"/>
  <c r="X21" i="59"/>
  <c r="Q20" i="59"/>
  <c r="P20" i="59"/>
  <c r="O20" i="59"/>
  <c r="C21" i="59"/>
  <c r="C22" i="59"/>
  <c r="C23" i="59"/>
  <c r="N20" i="59"/>
  <c r="B21" i="59"/>
  <c r="B22" i="59"/>
  <c r="B23" i="59"/>
  <c r="S23" i="59"/>
  <c r="D20" i="59"/>
  <c r="Q19" i="59"/>
  <c r="P19" i="59"/>
  <c r="AA19" i="59"/>
  <c r="O19" i="59"/>
  <c r="Y19" i="59"/>
  <c r="Z19" i="59"/>
  <c r="N19" i="59"/>
  <c r="X19" i="59"/>
  <c r="Q18" i="59"/>
  <c r="P18" i="59"/>
  <c r="AA18" i="59"/>
  <c r="O18" i="59"/>
  <c r="N18" i="59"/>
  <c r="X18" i="59"/>
  <c r="Q17" i="59"/>
  <c r="P17" i="59"/>
  <c r="O17" i="59"/>
  <c r="Y17" i="59"/>
  <c r="Z17" i="59"/>
  <c r="N17" i="59"/>
  <c r="X17" i="59"/>
  <c r="Q16" i="59"/>
  <c r="F17" i="59"/>
  <c r="P16" i="59"/>
  <c r="E17" i="59"/>
  <c r="E18" i="59"/>
  <c r="E19" i="59"/>
  <c r="U19" i="59"/>
  <c r="O16" i="59"/>
  <c r="N16" i="59"/>
  <c r="D16" i="59"/>
  <c r="Q15" i="59"/>
  <c r="AB15" i="59"/>
  <c r="P15" i="59"/>
  <c r="AA15" i="59"/>
  <c r="O15" i="59"/>
  <c r="N15" i="59"/>
  <c r="Q14" i="59"/>
  <c r="P14" i="59"/>
  <c r="O14" i="59"/>
  <c r="Y14" i="59"/>
  <c r="Z14" i="59"/>
  <c r="N14" i="59"/>
  <c r="X14" i="59"/>
  <c r="Q13" i="59"/>
  <c r="AB13" i="59"/>
  <c r="P13" i="59"/>
  <c r="AA13" i="59"/>
  <c r="O13" i="59"/>
  <c r="N13" i="59"/>
  <c r="Q12" i="59"/>
  <c r="P12" i="59"/>
  <c r="AA12" i="59"/>
  <c r="O12" i="59"/>
  <c r="C13" i="59"/>
  <c r="C14" i="59"/>
  <c r="N12" i="59"/>
  <c r="B13" i="59"/>
  <c r="B14" i="59"/>
  <c r="B15" i="59"/>
  <c r="S15" i="59"/>
  <c r="D12" i="59"/>
  <c r="X3" i="59"/>
  <c r="X11" i="59"/>
  <c r="AA10" i="59"/>
  <c r="Y9" i="59"/>
  <c r="Z9" i="59"/>
  <c r="AB11" i="59"/>
  <c r="AB10" i="59"/>
  <c r="E13" i="59"/>
  <c r="E14" i="59"/>
  <c r="E15" i="59"/>
  <c r="U15" i="59"/>
  <c r="B34" i="59"/>
  <c r="B35" i="59"/>
  <c r="S35" i="59"/>
  <c r="E35" i="59"/>
  <c r="U35" i="59"/>
  <c r="S51" i="59"/>
  <c r="AA22" i="59"/>
  <c r="F18" i="59"/>
  <c r="F19" i="59"/>
  <c r="V19" i="59"/>
  <c r="F26" i="59"/>
  <c r="F27" i="59"/>
  <c r="V27" i="59"/>
  <c r="F38" i="59"/>
  <c r="F39" i="59"/>
  <c r="V39" i="59"/>
  <c r="F46" i="59"/>
  <c r="F47" i="59"/>
  <c r="V47" i="59"/>
  <c r="D13" i="59"/>
  <c r="C26" i="59"/>
  <c r="D25" i="59"/>
  <c r="D30" i="59"/>
  <c r="D29" i="59"/>
  <c r="C34" i="59"/>
  <c r="C35" i="59"/>
  <c r="C38" i="59"/>
  <c r="D37" i="59"/>
  <c r="D41" i="59"/>
  <c r="C46" i="59"/>
  <c r="D45" i="59"/>
  <c r="E49" i="59"/>
  <c r="P48" i="59"/>
  <c r="B49" i="59"/>
  <c r="Q50" i="59"/>
  <c r="T51" i="59"/>
  <c r="O51" i="59"/>
  <c r="D51" i="59"/>
  <c r="C50" i="59"/>
  <c r="P51" i="59"/>
  <c r="U51" i="59"/>
  <c r="Q51" i="59"/>
  <c r="E54" i="59"/>
  <c r="E53" i="59"/>
  <c r="D55" i="59"/>
  <c r="C58" i="59"/>
  <c r="E58" i="59"/>
  <c r="E57" i="59"/>
  <c r="D59" i="59"/>
  <c r="E62" i="59"/>
  <c r="E61" i="59"/>
  <c r="D63" i="59"/>
  <c r="C66" i="59"/>
  <c r="C70" i="59"/>
  <c r="D70" i="59"/>
  <c r="U16" i="4"/>
  <c r="S16" i="4"/>
  <c r="Q16" i="4"/>
  <c r="O16" i="4"/>
  <c r="M16" i="4"/>
  <c r="N16" i="4"/>
  <c r="K16" i="4"/>
  <c r="C69" i="59"/>
  <c r="D69" i="59"/>
  <c r="C49" i="59"/>
  <c r="D49" i="59"/>
  <c r="O50" i="59"/>
  <c r="D50" i="59"/>
  <c r="D66" i="59"/>
  <c r="C65" i="59"/>
  <c r="D65" i="59"/>
  <c r="D58" i="59"/>
  <c r="C57" i="59"/>
  <c r="D57" i="59"/>
  <c r="N48" i="59"/>
  <c r="N49" i="59"/>
  <c r="C47" i="59"/>
  <c r="D46" i="59"/>
  <c r="C39" i="59"/>
  <c r="D38" i="59"/>
  <c r="D34" i="59"/>
  <c r="C27" i="59"/>
  <c r="D26" i="59"/>
  <c r="D22" i="59"/>
  <c r="C15" i="59"/>
  <c r="D14" i="59"/>
  <c r="T15" i="59"/>
  <c r="D15" i="59"/>
  <c r="T27" i="59"/>
  <c r="D27" i="59"/>
  <c r="T39" i="59"/>
  <c r="D39" i="59"/>
  <c r="T47" i="59"/>
  <c r="D47" i="59"/>
  <c r="O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C21" i="21"/>
  <c r="Z27" i="40"/>
  <c r="Q27" i="40"/>
  <c r="D96" i="40"/>
  <c r="E96" i="40"/>
  <c r="F96" i="40"/>
  <c r="F27" i="40"/>
  <c r="AA27" i="40"/>
  <c r="Z31" i="39"/>
  <c r="Q31" i="39"/>
  <c r="D105" i="39"/>
  <c r="E105" i="39"/>
  <c r="G20" i="20"/>
  <c r="B85" i="46"/>
  <c r="C22" i="20"/>
  <c r="B65" i="46"/>
  <c r="S18" i="36"/>
  <c r="S21" i="37"/>
  <c r="C31" i="39"/>
  <c r="B74" i="46"/>
  <c r="E66" i="36"/>
  <c r="H18" i="35"/>
  <c r="J18" i="35"/>
  <c r="H21" i="37"/>
  <c r="J21" i="37"/>
  <c r="E84" i="34"/>
  <c r="F84" i="34"/>
  <c r="G84" i="34"/>
  <c r="J21" i="34"/>
  <c r="H21" i="34"/>
  <c r="F21" i="33"/>
  <c r="H21" i="33"/>
  <c r="J21" i="33"/>
  <c r="F83" i="21"/>
  <c r="G83" i="21"/>
  <c r="H27" i="40"/>
  <c r="F23" i="15"/>
  <c r="D22" i="15"/>
  <c r="G17" i="11"/>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A13" i="1"/>
  <c r="B13" i="1"/>
  <c r="E13" i="1"/>
  <c r="A8" i="1"/>
  <c r="A9" i="1"/>
  <c r="A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I19" i="4"/>
  <c r="H19" i="4"/>
  <c r="G19" i="4"/>
  <c r="F9" i="1"/>
  <c r="F19" i="4"/>
  <c r="F8" i="1"/>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0" i="6"/>
  <c r="E21" i="6"/>
  <c r="E22" i="6"/>
  <c r="E23" i="6"/>
  <c r="E24" i="6"/>
  <c r="E25" i="6"/>
  <c r="E26" i="6"/>
  <c r="C35" i="4"/>
  <c r="E16" i="12"/>
  <c r="F14" i="12"/>
  <c r="F15" i="12"/>
  <c r="F17" i="12"/>
  <c r="E19" i="12"/>
  <c r="E21" i="12"/>
  <c r="E22" i="12"/>
  <c r="F23" i="12"/>
  <c r="F25" i="12"/>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M16" i="3"/>
  <c r="BM17" i="3"/>
  <c r="BO16" i="3"/>
  <c r="BO17" i="3"/>
  <c r="BN16" i="3"/>
  <c r="BN17" i="3"/>
  <c r="BP16" i="3"/>
  <c r="BP17" i="3"/>
  <c r="BQ16" i="3"/>
  <c r="BQ17" i="3"/>
  <c r="BS16" i="3"/>
  <c r="BS17" i="3"/>
  <c r="BR16" i="3"/>
  <c r="BR17" i="3"/>
  <c r="BT16" i="3"/>
  <c r="BT17" i="3"/>
  <c r="BD17" i="3"/>
  <c r="BB17" i="3"/>
  <c r="BC17" i="3"/>
  <c r="BE17" i="3"/>
  <c r="BF17" i="3"/>
  <c r="BG17" i="3"/>
  <c r="BH17" i="3"/>
  <c r="BI17" i="3"/>
  <c r="BJ17" i="3"/>
  <c r="BK17"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G9" i="12"/>
  <c r="J5" i="3"/>
  <c r="BE10" i="3"/>
  <c r="BB570" i="3"/>
  <c r="BC570" i="3"/>
  <c r="BD570" i="3"/>
  <c r="BE570" i="3"/>
  <c r="BA570" i="3"/>
  <c r="AZ570" i="3"/>
  <c r="BF570" i="3"/>
  <c r="BF5" i="3"/>
  <c r="BG570" i="3"/>
  <c r="BG5"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F35" i="21"/>
  <c r="AA35" i="21"/>
  <c r="W33" i="21"/>
  <c r="J10" i="21"/>
  <c r="AC10" i="21"/>
  <c r="H26"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W8" i="21"/>
  <c r="H39" i="37"/>
  <c r="AB39" i="37"/>
  <c r="AB27" i="35"/>
  <c r="S10" i="40"/>
  <c r="W10" i="40"/>
  <c r="S11" i="40"/>
  <c r="U11" i="40"/>
  <c r="S36" i="40"/>
  <c r="U36" i="40"/>
  <c r="S40" i="39"/>
  <c r="S36" i="39"/>
  <c r="F11" i="21"/>
  <c r="S11" i="21"/>
  <c r="AC40" i="21"/>
  <c r="AA38" i="21"/>
  <c r="AB36"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G483" i="3"/>
  <c r="G515" i="3"/>
  <c r="G507" i="3"/>
  <c r="G501" i="3"/>
  <c r="BL17"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c r="H78" i="40"/>
  <c r="I78" i="40"/>
  <c r="J78" i="40"/>
  <c r="K78" i="40"/>
  <c r="L78" i="40"/>
  <c r="M78" i="40"/>
  <c r="BH5" i="3"/>
  <c r="R16" i="4"/>
  <c r="P16" i="4"/>
  <c r="D3" i="35"/>
  <c r="G4" i="4"/>
  <c r="S37" i="34"/>
  <c r="J16" i="35"/>
  <c r="W16" i="35"/>
  <c r="AC26" i="36"/>
  <c r="W25" i="35"/>
  <c r="AZ354" i="3"/>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AB26" i="21"/>
  <c r="U26" i="21"/>
  <c r="S33" i="21"/>
  <c r="U39" i="21"/>
  <c r="W9"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97" i="39"/>
  <c r="H27" i="39"/>
  <c r="AB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AB25" i="39"/>
  <c r="U37" i="34"/>
  <c r="AB37" i="34"/>
  <c r="W41" i="40"/>
  <c r="J23" i="40"/>
  <c r="AC23" i="40"/>
  <c r="F23" i="40"/>
  <c r="S23" i="40"/>
  <c r="AC15" i="40"/>
  <c r="W15" i="40"/>
  <c r="AB16" i="39"/>
  <c r="W14" i="39"/>
  <c r="U23" i="35"/>
  <c r="AB23" i="35"/>
  <c r="H20" i="35"/>
  <c r="F20" i="35"/>
  <c r="S20" i="35"/>
  <c r="H15" i="34"/>
  <c r="AB15" i="34"/>
  <c r="F78" i="34"/>
  <c r="G78" i="34"/>
  <c r="J15" i="34"/>
  <c r="AC15" i="34"/>
  <c r="H41" i="33"/>
  <c r="U41" i="33"/>
  <c r="F30" i="40"/>
  <c r="AA30" i="40"/>
  <c r="H100" i="40"/>
  <c r="I100" i="40"/>
  <c r="J100" i="40"/>
  <c r="K100" i="40"/>
  <c r="L100" i="40"/>
  <c r="M100" i="40"/>
  <c r="AB38" i="34"/>
  <c r="AZ486" i="3"/>
  <c r="AZ504" i="3"/>
  <c r="AZ529" i="3"/>
  <c r="AZ537" i="3"/>
  <c r="AZ548" i="3"/>
  <c r="AB37" i="39"/>
  <c r="U39" i="39"/>
  <c r="J29" i="39"/>
  <c r="AC29" i="39"/>
  <c r="AB33" i="36"/>
  <c r="AA11" i="36"/>
  <c r="AA14" i="35"/>
  <c r="S14" i="35"/>
  <c r="G99" i="37"/>
  <c r="H99" i="37"/>
  <c r="I99" i="37"/>
  <c r="J99" i="37"/>
  <c r="K99" i="37"/>
  <c r="L99" i="37"/>
  <c r="M99" i="37"/>
  <c r="F33" i="37"/>
  <c r="U46" i="34"/>
  <c r="AC30" i="34"/>
  <c r="AA14" i="34"/>
  <c r="W12" i="34"/>
  <c r="U29" i="33"/>
  <c r="AC13" i="33"/>
  <c r="U17" i="34"/>
  <c r="AA11" i="34"/>
  <c r="W32" i="33"/>
  <c r="H15" i="33"/>
  <c r="U15" i="33"/>
  <c r="AA11" i="33"/>
  <c r="AA40" i="21"/>
  <c r="U16" i="40"/>
  <c r="AB34" i="40"/>
  <c r="AB42" i="40"/>
  <c r="U42" i="40"/>
  <c r="AC16" i="40"/>
  <c r="W32" i="40"/>
  <c r="H25" i="40"/>
  <c r="AB25" i="40"/>
  <c r="W15" i="39"/>
  <c r="J37" i="34"/>
  <c r="AC37" i="34"/>
  <c r="J36" i="33"/>
  <c r="W36" i="33"/>
  <c r="AB23" i="40"/>
  <c r="G97" i="39"/>
  <c r="S16" i="39"/>
  <c r="S15" i="34"/>
  <c r="AA15" i="34"/>
  <c r="AA41" i="33"/>
  <c r="F106" i="33"/>
  <c r="G106" i="33"/>
  <c r="H106" i="33"/>
  <c r="I106" i="33"/>
  <c r="J106" i="33"/>
  <c r="K106" i="33"/>
  <c r="L106" i="33"/>
  <c r="M106" i="33"/>
  <c r="J34" i="33"/>
  <c r="AC34" i="33"/>
  <c r="U30" i="40"/>
  <c r="AA37" i="39"/>
  <c r="W29" i="35"/>
  <c r="AC39" i="39"/>
  <c r="W39" i="39"/>
  <c r="AA39" i="39"/>
  <c r="S39" i="39"/>
  <c r="AB46" i="39"/>
  <c r="AB44" i="39"/>
  <c r="AC33" i="39"/>
  <c r="AA33"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U20" i="35"/>
  <c r="AB20" i="35"/>
  <c r="W23" i="40"/>
  <c r="D73" i="9"/>
  <c r="N73" i="9"/>
  <c r="AP11" i="1"/>
  <c r="B11" i="1"/>
  <c r="E11" i="1"/>
  <c r="B9" i="1"/>
  <c r="E9" i="1"/>
  <c r="B7" i="1"/>
  <c r="E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43"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14" i="39"/>
  <c r="AB15" i="39"/>
  <c r="U11" i="39"/>
  <c r="U41" i="39"/>
  <c r="AB38" i="39"/>
  <c r="S25" i="39"/>
  <c r="S38" i="39"/>
  <c r="B22" i="63"/>
  <c r="M20" i="15"/>
  <c r="D96" i="9"/>
  <c r="F28" i="15"/>
  <c r="M18" i="15"/>
  <c r="A18" i="64"/>
  <c r="B74" i="63"/>
  <c r="C53" i="10"/>
  <c r="A25" i="64"/>
  <c r="A18" i="51"/>
  <c r="B14" i="63"/>
  <c r="BA16" i="3"/>
  <c r="BA17" i="3"/>
  <c r="AZ17" i="3"/>
  <c r="F3" i="35"/>
  <c r="K1" i="43"/>
  <c r="K1" i="12"/>
  <c r="BK5" i="3"/>
  <c r="BO5" i="3"/>
  <c r="BP5" i="3"/>
  <c r="BN5" i="3"/>
  <c r="BL18" i="3"/>
  <c r="AZ18" i="3"/>
  <c r="BC5" i="3"/>
  <c r="E8" i="6"/>
  <c r="BD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B6" i="63"/>
  <c r="L5" i="54"/>
  <c r="B39" i="63"/>
  <c r="K5" i="54"/>
  <c r="B38" i="63"/>
  <c r="T41" i="4"/>
  <c r="A17" i="64"/>
  <c r="B46" i="50"/>
  <c r="B4" i="63"/>
  <c r="H73" i="46"/>
  <c r="H74" i="46"/>
  <c r="H86" i="46"/>
  <c r="H82" i="46"/>
  <c r="H63" i="46"/>
  <c r="H59" i="46"/>
  <c r="H64" i="46"/>
  <c r="H60" i="46"/>
  <c r="H10" i="48"/>
  <c r="H87" i="46"/>
  <c r="H85" i="46"/>
  <c r="H83" i="46"/>
  <c r="B6" i="1"/>
  <c r="E6" i="1"/>
  <c r="B10" i="1"/>
  <c r="E10" i="1"/>
  <c r="B8" i="1"/>
  <c r="E8" i="1"/>
  <c r="B12" i="1"/>
  <c r="E12"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c r="W37" i="40"/>
  <c r="S17" i="40"/>
  <c r="W30" i="40"/>
  <c r="S34" i="40"/>
  <c r="U17" i="40"/>
  <c r="U38" i="40"/>
  <c r="S40" i="40"/>
  <c r="S42" i="40"/>
  <c r="J31" i="39"/>
  <c r="AC31" i="39"/>
  <c r="S45" i="39"/>
  <c r="W41" i="39"/>
  <c r="AB33" i="39"/>
  <c r="AC46" i="39"/>
  <c r="W42" i="39"/>
  <c r="W36"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17" i="51"/>
  <c r="B13" i="63"/>
  <c r="D12" i="11"/>
  <c r="C12" i="11"/>
  <c r="G29" i="6"/>
  <c r="AZ16" i="3"/>
  <c r="E14" i="6"/>
  <c r="E66" i="39"/>
  <c r="E15" i="6"/>
  <c r="E67" i="39"/>
  <c r="E13" i="6"/>
  <c r="E65" i="39"/>
  <c r="H70" i="46"/>
  <c r="A9" i="64"/>
  <c r="A9" i="51"/>
  <c r="B9" i="63"/>
  <c r="A25" i="51"/>
  <c r="B18" i="63"/>
  <c r="A3" i="55"/>
  <c r="B56" i="63"/>
  <c r="E4" i="4"/>
  <c r="B21" i="55"/>
  <c r="B72" i="63"/>
  <c r="C4" i="4"/>
  <c r="B20" i="55"/>
  <c r="B70" i="63"/>
  <c r="G66" i="36"/>
  <c r="J18" i="36"/>
  <c r="F33" i="44"/>
  <c r="F31" i="15"/>
  <c r="F58" i="15"/>
  <c r="M17" i="15"/>
  <c r="M19" i="44"/>
  <c r="W18" i="36"/>
  <c r="AC18" i="36"/>
  <c r="AG6" i="1"/>
  <c r="L20" i="6"/>
  <c r="L46" i="15"/>
  <c r="C45" i="9"/>
  <c r="H14" i="66"/>
  <c r="B7" i="66"/>
  <c r="C44" i="9"/>
  <c r="G14" i="66"/>
  <c r="O40" i="9"/>
  <c r="K31" i="9"/>
  <c r="K32" i="9"/>
  <c r="R7" i="54"/>
  <c r="B52" i="63"/>
  <c r="N69" i="9"/>
  <c r="M86" i="9"/>
  <c r="N86" i="9"/>
  <c r="K29" i="9"/>
  <c r="K30" i="9"/>
  <c r="N76" i="9"/>
  <c r="C46" i="9"/>
  <c r="K33" i="9"/>
  <c r="O41" i="9"/>
  <c r="I14" i="66"/>
  <c r="B8" i="66"/>
  <c r="K34" i="9"/>
  <c r="R8" i="54"/>
  <c r="B54" i="63"/>
  <c r="M83" i="9"/>
  <c r="N83" i="9"/>
  <c r="N89" i="9"/>
  <c r="O89" i="9"/>
  <c r="M85" i="9"/>
  <c r="N85" i="9"/>
  <c r="M87" i="9"/>
  <c r="N87" i="9"/>
  <c r="M88" i="9"/>
  <c r="N88" i="9"/>
  <c r="M84" i="9"/>
  <c r="N84" i="9"/>
  <c r="O39" i="9"/>
  <c r="R6" i="54"/>
  <c r="B50" i="63"/>
  <c r="AZ520" i="3"/>
  <c r="AC27" i="40"/>
  <c r="E69" i="46"/>
  <c r="B67" i="46"/>
  <c r="S23" i="39"/>
  <c r="H35" i="21"/>
  <c r="F108" i="21"/>
  <c r="G108" i="21"/>
  <c r="H108" i="21"/>
  <c r="I108" i="21"/>
  <c r="J108" i="21"/>
  <c r="K108" i="21"/>
  <c r="L108" i="21"/>
  <c r="M108" i="21"/>
  <c r="J35" i="21"/>
  <c r="F37" i="21"/>
  <c r="J37" i="21"/>
  <c r="H37" i="21"/>
  <c r="H113" i="21"/>
  <c r="G123" i="21"/>
  <c r="H123" i="21"/>
  <c r="I123" i="21"/>
  <c r="J123" i="21"/>
  <c r="K123" i="21"/>
  <c r="L123" i="21"/>
  <c r="M123" i="21"/>
  <c r="H42" i="21"/>
  <c r="J42" i="21"/>
  <c r="F42" i="21"/>
  <c r="H72" i="46"/>
  <c r="E11" i="6"/>
  <c r="E10" i="6"/>
  <c r="E12" i="6"/>
  <c r="E59" i="40"/>
  <c r="H69" i="46"/>
  <c r="H77" i="46"/>
  <c r="H76" i="46"/>
  <c r="AB10" i="33"/>
  <c r="AC35" i="33"/>
  <c r="U11" i="34"/>
  <c r="W17" i="34"/>
  <c r="AC13" i="40"/>
  <c r="AA34" i="33"/>
  <c r="S41" i="40"/>
  <c r="U47" i="39"/>
  <c r="W34" i="40"/>
  <c r="AA29" i="35"/>
  <c r="U41" i="40"/>
  <c r="S47" i="39"/>
  <c r="W40" i="40"/>
  <c r="H47" i="46"/>
  <c r="G103" i="39"/>
  <c r="AA36" i="35"/>
  <c r="AB15" i="37"/>
  <c r="U12" i="37"/>
  <c r="S27" i="37"/>
  <c r="AC41" i="34"/>
  <c r="U28" i="21"/>
  <c r="S45" i="21"/>
  <c r="AA27" i="33"/>
  <c r="W31" i="34"/>
  <c r="AB14" i="21"/>
  <c r="U46" i="21"/>
  <c r="AB13" i="21"/>
  <c r="AB40" i="37"/>
  <c r="W46" i="33"/>
  <c r="W35" i="35"/>
  <c r="H5" i="3"/>
  <c r="J9" i="33"/>
  <c r="H9" i="33"/>
  <c r="F9" i="33"/>
  <c r="F9" i="36"/>
  <c r="H9" i="36"/>
  <c r="H24" i="36"/>
  <c r="G553" i="3"/>
  <c r="G548" i="3"/>
  <c r="AZ392" i="3"/>
  <c r="AZ397" i="3"/>
  <c r="AZ408" i="3"/>
  <c r="AZ413" i="3"/>
  <c r="AZ424" i="3"/>
  <c r="AZ437" i="3"/>
  <c r="AZ451" i="3"/>
  <c r="AZ457" i="3"/>
  <c r="AZ470" i="3"/>
  <c r="AZ473" i="3"/>
  <c r="AZ350" i="3"/>
  <c r="AZ211" i="3"/>
  <c r="AZ227" i="3"/>
  <c r="AZ240" i="3"/>
  <c r="AZ243" i="3"/>
  <c r="AZ279" i="3"/>
  <c r="AZ113" i="3"/>
  <c r="AZ116" i="3"/>
  <c r="AZ129" i="3"/>
  <c r="AZ132" i="3"/>
  <c r="AZ145" i="3"/>
  <c r="AZ148" i="3"/>
  <c r="G536" i="3"/>
  <c r="G524" i="3"/>
  <c r="G512" i="3"/>
  <c r="AZ447" i="3"/>
  <c r="AZ387" i="3"/>
  <c r="AZ216" i="3"/>
  <c r="AZ219" i="3"/>
  <c r="AZ235" i="3"/>
  <c r="AZ251" i="3"/>
  <c r="AZ271" i="3"/>
  <c r="AZ287" i="3"/>
  <c r="AZ156" i="3"/>
  <c r="AZ159" i="3"/>
  <c r="AZ21" i="3"/>
  <c r="D1" i="57"/>
  <c r="E10" i="57"/>
  <c r="I21" i="57"/>
  <c r="D35" i="59"/>
  <c r="T35" i="59"/>
  <c r="D23" i="59"/>
  <c r="T23" i="59"/>
  <c r="A2" i="55"/>
  <c r="B55" i="63"/>
  <c r="AZ172" i="3"/>
  <c r="AZ175" i="3"/>
  <c r="AZ28" i="3"/>
  <c r="AZ34" i="3"/>
  <c r="AZ37" i="3"/>
  <c r="AZ44" i="3"/>
  <c r="AZ50" i="3"/>
  <c r="AZ53" i="3"/>
  <c r="AZ60" i="3"/>
  <c r="AZ72" i="3"/>
  <c r="AZ77" i="3"/>
  <c r="AZ92" i="3"/>
  <c r="AZ97" i="3"/>
  <c r="AZ108" i="3"/>
  <c r="H31" i="39"/>
  <c r="AB31" i="39"/>
  <c r="F31" i="39"/>
  <c r="S31" i="39"/>
  <c r="F105" i="39"/>
  <c r="G105" i="39"/>
  <c r="AA21" i="21"/>
  <c r="S21" i="21"/>
  <c r="D42" i="59"/>
  <c r="C43" i="59"/>
  <c r="C17" i="59"/>
  <c r="Y16" i="59"/>
  <c r="Z16" i="59"/>
  <c r="Y8" i="59"/>
  <c r="Z8" i="59"/>
  <c r="Y10" i="59"/>
  <c r="Z10" i="59"/>
  <c r="Y3" i="59"/>
  <c r="Z3" i="59"/>
  <c r="D23" i="15"/>
  <c r="J21" i="21"/>
  <c r="H21" i="21"/>
  <c r="B54" i="46"/>
  <c r="C27" i="40"/>
  <c r="S27" i="40"/>
  <c r="S21" i="34"/>
  <c r="S18" i="35"/>
  <c r="P49" i="59"/>
  <c r="D21" i="59"/>
  <c r="Y11" i="59"/>
  <c r="Z11" i="59"/>
  <c r="AA17" i="59"/>
  <c r="AA16" i="59"/>
  <c r="AA14" i="59"/>
  <c r="E21" i="59"/>
  <c r="E22" i="59"/>
  <c r="E23" i="59"/>
  <c r="U23" i="59"/>
  <c r="AA20" i="59"/>
  <c r="AB22" i="59"/>
  <c r="AB8" i="59"/>
  <c r="T55" i="59"/>
  <c r="C54" i="59"/>
  <c r="T63" i="59"/>
  <c r="C62" i="59"/>
  <c r="B11" i="59"/>
  <c r="X9" i="59"/>
  <c r="E11" i="59"/>
  <c r="AA11" i="59"/>
  <c r="AA8" i="59"/>
  <c r="L16" i="4"/>
  <c r="X12" i="59"/>
  <c r="AB12" i="59"/>
  <c r="F13" i="59"/>
  <c r="F14" i="59"/>
  <c r="F15" i="59"/>
  <c r="V15" i="59"/>
  <c r="Y13" i="59"/>
  <c r="Z13" i="59"/>
  <c r="AB14" i="59"/>
  <c r="Y15" i="59"/>
  <c r="Z15" i="59"/>
  <c r="X16" i="59"/>
  <c r="B17" i="59"/>
  <c r="B18" i="59"/>
  <c r="B19" i="59"/>
  <c r="S19" i="59"/>
  <c r="AB16" i="59"/>
  <c r="AB18" i="59"/>
  <c r="X20" i="59"/>
  <c r="AB20" i="59"/>
  <c r="F21" i="59"/>
  <c r="F22" i="59"/>
  <c r="F23" i="59"/>
  <c r="V23" i="59"/>
  <c r="Q49" i="59"/>
  <c r="Q48" i="59"/>
  <c r="T11" i="59"/>
  <c r="C10" i="59"/>
  <c r="AB12" i="46"/>
  <c r="AJ12" i="46"/>
  <c r="C6" i="59"/>
  <c r="T7" i="59"/>
  <c r="Y20" i="59"/>
  <c r="Z20" i="59"/>
  <c r="AB17" i="59"/>
  <c r="X13" i="59"/>
  <c r="Y12" i="59"/>
  <c r="Z12" i="59"/>
  <c r="F6" i="59"/>
  <c r="F5" i="59"/>
  <c r="V7" i="59"/>
  <c r="O76" i="9"/>
  <c r="K76" i="9"/>
  <c r="K77" i="9"/>
  <c r="K79" i="9"/>
  <c r="K81" i="9"/>
  <c r="X8" i="59"/>
  <c r="X10" i="59"/>
  <c r="Y6" i="59"/>
  <c r="Z6" i="59"/>
  <c r="P62" i="15"/>
  <c r="P75" i="15"/>
  <c r="X6" i="59"/>
  <c r="X5" i="59"/>
  <c r="X7" i="59"/>
  <c r="B7" i="59"/>
  <c r="BL13" i="3"/>
  <c r="F19" i="21"/>
  <c r="G81" i="21"/>
  <c r="H19" i="21"/>
  <c r="J19" i="21"/>
  <c r="F79" i="21"/>
  <c r="F17" i="21"/>
  <c r="H17" i="21"/>
  <c r="A28" i="64"/>
  <c r="AH10" i="46"/>
  <c r="AH12" i="46"/>
  <c r="AD10" i="46"/>
  <c r="AD12" i="46"/>
  <c r="Y21" i="59"/>
  <c r="Z21" i="59"/>
  <c r="AB19" i="59"/>
  <c r="X15" i="59"/>
  <c r="D11" i="59"/>
  <c r="AA7" i="59"/>
  <c r="AA3" i="59"/>
  <c r="AA9" i="59"/>
  <c r="Y7" i="59"/>
  <c r="Z7" i="59"/>
  <c r="AB7" i="59"/>
  <c r="AB6" i="59"/>
  <c r="AB3" i="59"/>
  <c r="AB9" i="59"/>
  <c r="AA6" i="59"/>
  <c r="Y5" i="59"/>
  <c r="Z5" i="59"/>
  <c r="AB5" i="59"/>
  <c r="BL5" i="3"/>
  <c r="AA5" i="59"/>
  <c r="F15" i="21"/>
  <c r="G77" i="21"/>
  <c r="H15" i="21"/>
  <c r="J15" i="21"/>
  <c r="C20" i="46"/>
  <c r="I4" i="6"/>
  <c r="G3" i="46"/>
  <c r="AP6" i="1"/>
  <c r="G6" i="1"/>
  <c r="M43" i="9"/>
  <c r="M44" i="9"/>
  <c r="S23" i="21"/>
  <c r="AA23" i="21"/>
  <c r="E85" i="21"/>
  <c r="H32" i="21"/>
  <c r="F101" i="21"/>
  <c r="G101" i="21"/>
  <c r="J32" i="21"/>
  <c r="G1" i="15"/>
  <c r="G1" i="44"/>
  <c r="AA15" i="21"/>
  <c r="S15" i="21"/>
  <c r="AA17" i="21"/>
  <c r="S17" i="21"/>
  <c r="U21" i="21"/>
  <c r="AB21" i="21"/>
  <c r="D17" i="59"/>
  <c r="C18" i="59"/>
  <c r="AB9" i="36"/>
  <c r="U9" i="36"/>
  <c r="AC9" i="33"/>
  <c r="W9" i="33"/>
  <c r="AA42" i="21"/>
  <c r="S42" i="21"/>
  <c r="W35" i="21"/>
  <c r="AC35" i="21"/>
  <c r="AB15" i="21"/>
  <c r="U15" i="21"/>
  <c r="AC19" i="21"/>
  <c r="W19" i="21"/>
  <c r="C9" i="59"/>
  <c r="D9" i="59"/>
  <c r="D10" i="59"/>
  <c r="E10" i="59"/>
  <c r="E9" i="59"/>
  <c r="U11" i="59"/>
  <c r="B10" i="59"/>
  <c r="B9" i="59"/>
  <c r="S11" i="59"/>
  <c r="AA9" i="33"/>
  <c r="S9" i="33"/>
  <c r="U42" i="21"/>
  <c r="AB42" i="21"/>
  <c r="W37" i="21"/>
  <c r="AC37" i="21"/>
  <c r="U35" i="21"/>
  <c r="AB35" i="21"/>
  <c r="AC15" i="21"/>
  <c r="W15" i="21"/>
  <c r="AB17" i="21"/>
  <c r="U17" i="21"/>
  <c r="J17" i="21"/>
  <c r="G79" i="21"/>
  <c r="AB19" i="21"/>
  <c r="U19" i="21"/>
  <c r="AA19" i="21"/>
  <c r="S19" i="21"/>
  <c r="B6" i="59"/>
  <c r="B5" i="59"/>
  <c r="S7" i="59"/>
  <c r="C5" i="59"/>
  <c r="D5" i="59"/>
  <c r="D6" i="59"/>
  <c r="C61" i="59"/>
  <c r="D61" i="59"/>
  <c r="D62" i="59"/>
  <c r="D54" i="59"/>
  <c r="C53" i="59"/>
  <c r="D53" i="59"/>
  <c r="AC21" i="21"/>
  <c r="W21" i="21"/>
  <c r="D43" i="59"/>
  <c r="T43" i="59"/>
  <c r="AB24" i="36"/>
  <c r="U24" i="36"/>
  <c r="AA9" i="36"/>
  <c r="S9" i="36"/>
  <c r="AB9" i="33"/>
  <c r="U9" i="33"/>
  <c r="W42" i="21"/>
  <c r="AC42" i="21"/>
  <c r="AB37" i="21"/>
  <c r="U37" i="21"/>
  <c r="AA37" i="21"/>
  <c r="S37" i="21"/>
  <c r="F85" i="21"/>
  <c r="G85" i="21"/>
  <c r="H23" i="21"/>
  <c r="J23" i="21"/>
  <c r="AC32" i="21"/>
  <c r="W32" i="21"/>
  <c r="F32" i="21"/>
  <c r="H101" i="21"/>
  <c r="I101" i="21"/>
  <c r="J101" i="21"/>
  <c r="K101" i="21"/>
  <c r="L101" i="21"/>
  <c r="M101" i="21"/>
  <c r="AB32" i="21"/>
  <c r="U32" i="21"/>
  <c r="H83" i="39"/>
  <c r="I83" i="39"/>
  <c r="J83" i="39"/>
  <c r="K83" i="39"/>
  <c r="L83" i="39"/>
  <c r="M83" i="39"/>
  <c r="C19" i="59"/>
  <c r="D18" i="59"/>
  <c r="AC17" i="21"/>
  <c r="W17" i="21"/>
  <c r="U23" i="21"/>
  <c r="AB23" i="21"/>
  <c r="AC23" i="21"/>
  <c r="W23" i="21"/>
  <c r="AA32" i="21"/>
  <c r="S32" i="21"/>
  <c r="D19" i="59"/>
  <c r="T19" i="59"/>
  <c r="M25" i="44"/>
  <c r="M24" i="15"/>
  <c r="J36" i="15"/>
  <c r="J4" i="65"/>
  <c r="E13" i="67"/>
  <c r="M23" i="15"/>
  <c r="F8" i="44"/>
  <c r="F14" i="67"/>
  <c r="E12" i="67"/>
  <c r="F40" i="44"/>
  <c r="F10" i="44"/>
  <c r="M29" i="44"/>
  <c r="J5" i="65"/>
  <c r="B9" i="67"/>
  <c r="M24" i="44"/>
  <c r="I4" i="65"/>
  <c r="I3" i="65"/>
  <c r="F45" i="44"/>
  <c r="F18" i="44"/>
  <c r="M30" i="44"/>
  <c r="E14" i="67"/>
  <c r="J6" i="65"/>
  <c r="F9" i="44"/>
  <c r="M11" i="44"/>
  <c r="F12" i="67"/>
  <c r="B8" i="67"/>
  <c r="M8" i="44"/>
  <c r="M22" i="15"/>
  <c r="E8" i="67"/>
  <c r="I7" i="65"/>
  <c r="F15" i="44"/>
  <c r="M28" i="15"/>
  <c r="M26" i="15"/>
  <c r="M27" i="15"/>
  <c r="M31" i="44"/>
  <c r="F13" i="67"/>
  <c r="M28" i="44"/>
  <c r="L47" i="15"/>
  <c r="M29" i="15"/>
  <c r="E11" i="67"/>
  <c r="F43" i="44"/>
  <c r="F9" i="67"/>
  <c r="I6" i="65"/>
  <c r="B10" i="67"/>
  <c r="F38" i="44"/>
  <c r="E10" i="67"/>
  <c r="J15" i="15"/>
  <c r="F8" i="67"/>
  <c r="F11" i="44"/>
  <c r="E9" i="67"/>
  <c r="F11" i="67"/>
  <c r="F28" i="44"/>
  <c r="M10" i="44"/>
  <c r="J3" i="65"/>
  <c r="B11" i="67"/>
  <c r="L49" i="44"/>
  <c r="B12" i="67"/>
  <c r="J17" i="44"/>
  <c r="M26" i="44"/>
  <c r="B14" i="67"/>
  <c r="F39" i="44"/>
  <c r="B13" i="67"/>
  <c r="J7" i="65"/>
  <c r="L48" i="44"/>
  <c r="F10" i="67"/>
  <c r="O12" i="12"/>
  <c r="AB43" i="39"/>
  <c r="F32" i="71"/>
  <c r="F59" i="71"/>
  <c r="F28" i="71"/>
  <c r="C28" i="71"/>
  <c r="F32" i="70"/>
  <c r="F59" i="70"/>
  <c r="F28" i="70"/>
  <c r="C28" i="70"/>
  <c r="M18" i="70"/>
  <c r="M18" i="71"/>
  <c r="M20" i="71"/>
  <c r="F34" i="71"/>
  <c r="F61" i="71"/>
  <c r="F34" i="70"/>
  <c r="F61" i="70"/>
  <c r="M20" i="70"/>
  <c r="E29" i="6"/>
  <c r="K15" i="1"/>
  <c r="F30" i="6"/>
  <c r="G30" i="6"/>
  <c r="G31" i="6"/>
  <c r="O11" i="12"/>
  <c r="O10" i="12"/>
  <c r="L27" i="6"/>
  <c r="F93" i="39"/>
  <c r="G93" i="39"/>
  <c r="H17" i="39"/>
  <c r="AB17" i="39"/>
  <c r="F91" i="39"/>
  <c r="G91" i="39"/>
  <c r="F17" i="39"/>
  <c r="AA17" i="39"/>
  <c r="J17" i="39"/>
  <c r="W17" i="39"/>
  <c r="C16" i="46"/>
  <c r="C5" i="46"/>
  <c r="B14" i="52"/>
  <c r="E4" i="52"/>
  <c r="B8" i="52"/>
  <c r="B5" i="52"/>
  <c r="AA21" i="39"/>
  <c r="W23" i="39"/>
  <c r="U23" i="39"/>
  <c r="S29" i="39"/>
  <c r="S27" i="39"/>
  <c r="AC21" i="39"/>
  <c r="AC17" i="39"/>
  <c r="AC43" i="39"/>
  <c r="AB21" i="39"/>
  <c r="W29" i="39"/>
  <c r="AB29" i="39"/>
  <c r="AA31" i="39"/>
  <c r="U31" i="39"/>
  <c r="W31" i="39"/>
  <c r="W34" i="39"/>
  <c r="U34" i="39"/>
  <c r="S34" i="39"/>
  <c r="U27" i="39"/>
  <c r="W27" i="39"/>
  <c r="S17" i="39"/>
  <c r="U17" i="39"/>
  <c r="W13" i="39"/>
  <c r="S13" i="39"/>
  <c r="G1" i="71"/>
  <c r="G1" i="70"/>
  <c r="E7" i="52"/>
  <c r="B22" i="52"/>
  <c r="B11" i="52"/>
  <c r="B16" i="52"/>
  <c r="B7" i="52"/>
  <c r="C21" i="4"/>
  <c r="O5" i="54"/>
  <c r="B45" i="63"/>
  <c r="E6" i="52"/>
  <c r="E21" i="52"/>
  <c r="B13" i="52"/>
  <c r="E8" i="52"/>
  <c r="E16" i="52"/>
  <c r="E5" i="52"/>
  <c r="E10" i="52"/>
  <c r="B9" i="52"/>
  <c r="B1" i="66"/>
  <c r="E64" i="39"/>
  <c r="E62" i="40"/>
  <c r="E58" i="39"/>
  <c r="E53" i="40"/>
  <c r="F27" i="6"/>
  <c r="F31" i="6"/>
  <c r="E297" i="3"/>
  <c r="E16" i="6"/>
  <c r="E280" i="3"/>
  <c r="E492" i="3"/>
  <c r="E170" i="3"/>
  <c r="AD6" i="3"/>
  <c r="R6" i="3"/>
  <c r="E327" i="3"/>
  <c r="E389" i="3"/>
  <c r="E84" i="3"/>
  <c r="E431" i="3"/>
  <c r="E38" i="3"/>
  <c r="E313" i="3"/>
  <c r="E405" i="3"/>
  <c r="E190" i="3"/>
  <c r="E93" i="3"/>
  <c r="E282" i="3"/>
  <c r="E375" i="3"/>
  <c r="E83" i="3"/>
  <c r="E222" i="3"/>
  <c r="E430" i="3"/>
  <c r="E77" i="3"/>
  <c r="E552" i="3"/>
  <c r="F18" i="11"/>
  <c r="C18" i="11"/>
  <c r="AB33" i="21"/>
  <c r="U33" i="21"/>
  <c r="E63" i="39"/>
  <c r="E58" i="40"/>
  <c r="E60" i="40"/>
  <c r="E61" i="40"/>
  <c r="H16" i="1"/>
  <c r="AH11" i="46"/>
  <c r="AH13" i="46"/>
  <c r="AI11" i="46"/>
  <c r="AI13" i="46"/>
  <c r="Z11" i="46"/>
  <c r="Z13" i="46"/>
  <c r="Z7" i="46"/>
  <c r="C23" i="46"/>
  <c r="C21" i="46"/>
  <c r="F22" i="46"/>
  <c r="AJ11" i="46"/>
  <c r="AJ13" i="46"/>
  <c r="H101" i="46"/>
  <c r="L101" i="46"/>
  <c r="B113" i="46"/>
  <c r="AB11" i="46"/>
  <c r="AB13" i="46"/>
  <c r="F101" i="46"/>
  <c r="M101" i="46"/>
  <c r="I101" i="46"/>
  <c r="AE11" i="46"/>
  <c r="AE13" i="46"/>
  <c r="H22" i="46"/>
  <c r="Y11" i="46"/>
  <c r="Y13" i="46"/>
  <c r="AA11" i="46"/>
  <c r="AA13" i="46"/>
  <c r="AF11" i="46"/>
  <c r="AF13" i="46"/>
  <c r="AD11" i="46"/>
  <c r="AD13" i="46"/>
  <c r="AC11" i="46"/>
  <c r="AC13" i="46"/>
  <c r="D101" i="46"/>
  <c r="J101" i="46"/>
  <c r="N101" i="46"/>
  <c r="C101" i="46"/>
  <c r="G22" i="46"/>
  <c r="E101" i="46"/>
  <c r="K101" i="46"/>
  <c r="G101" i="46"/>
  <c r="E22" i="46"/>
  <c r="N104" i="45"/>
  <c r="AG11" i="46"/>
  <c r="AG13" i="46"/>
  <c r="B30" i="9"/>
  <c r="G19" i="46"/>
  <c r="N67" i="9"/>
  <c r="C9" i="40"/>
  <c r="C65" i="40"/>
  <c r="C9" i="39"/>
  <c r="C70" i="39"/>
  <c r="C7" i="37"/>
  <c r="C52" i="37"/>
  <c r="C7" i="36"/>
  <c r="C46" i="36"/>
  <c r="C7" i="35"/>
  <c r="C48" i="35"/>
  <c r="C7" i="33"/>
  <c r="C58" i="33"/>
  <c r="C42" i="1"/>
  <c r="D38" i="4"/>
  <c r="C39" i="4"/>
  <c r="C7" i="34"/>
  <c r="C59" i="34"/>
  <c r="C7" i="21"/>
  <c r="N1" i="65"/>
  <c r="AP16" i="1"/>
  <c r="F22" i="11"/>
  <c r="K17" i="4"/>
  <c r="A22" i="51"/>
  <c r="B16" i="63"/>
  <c r="F70" i="15"/>
  <c r="F65" i="15"/>
  <c r="Q72" i="15"/>
  <c r="F50" i="15"/>
  <c r="C8" i="44"/>
  <c r="L56" i="15"/>
  <c r="I54" i="15"/>
  <c r="J57" i="15"/>
  <c r="J55" i="15"/>
  <c r="J58" i="15"/>
  <c r="Q51" i="15"/>
  <c r="L60" i="15"/>
  <c r="L57" i="15"/>
  <c r="F63" i="15"/>
  <c r="J58" i="44"/>
  <c r="J56" i="44"/>
  <c r="J59" i="44"/>
  <c r="Q52" i="44"/>
  <c r="I55" i="44"/>
  <c r="J60" i="44"/>
  <c r="L57" i="44"/>
  <c r="J61" i="44"/>
  <c r="Q50" i="44"/>
  <c r="J54" i="44"/>
  <c r="L60" i="44"/>
  <c r="L59" i="44"/>
  <c r="M9" i="44"/>
  <c r="L59" i="15"/>
  <c r="L58" i="15"/>
  <c r="F64" i="15"/>
  <c r="F49" i="15"/>
  <c r="C29" i="44"/>
  <c r="F67" i="15"/>
  <c r="J8" i="44"/>
  <c r="Q73" i="44"/>
  <c r="J1" i="65"/>
  <c r="I1" i="65"/>
  <c r="E20" i="46"/>
  <c r="B6" i="52"/>
  <c r="B23" i="52"/>
  <c r="E9" i="52"/>
  <c r="B4" i="52"/>
  <c r="B10" i="52"/>
  <c r="E11" i="52"/>
  <c r="M29" i="70"/>
  <c r="J36" i="70"/>
  <c r="L48" i="71"/>
  <c r="L48" i="70"/>
  <c r="J15" i="70"/>
  <c r="M22" i="71"/>
  <c r="M26" i="70"/>
  <c r="N7" i="65"/>
  <c r="M26" i="71"/>
  <c r="M28" i="71"/>
  <c r="M22" i="70"/>
  <c r="L47" i="70"/>
  <c r="N5" i="65"/>
  <c r="M23" i="71"/>
  <c r="N6" i="65"/>
  <c r="M27" i="70"/>
  <c r="J15" i="71"/>
  <c r="M23" i="70"/>
  <c r="N3" i="65"/>
  <c r="M28" i="70"/>
  <c r="M29" i="71"/>
  <c r="J36" i="71"/>
  <c r="L47" i="71"/>
  <c r="F16" i="70"/>
  <c r="F16" i="71"/>
  <c r="C18" i="44"/>
  <c r="M27" i="71"/>
  <c r="M24" i="70"/>
  <c r="M24" i="71"/>
  <c r="E3" i="65"/>
  <c r="C8" i="66"/>
  <c r="C7" i="66"/>
  <c r="F24" i="43"/>
  <c r="C26" i="43"/>
  <c r="D24" i="43"/>
  <c r="D10" i="11"/>
  <c r="D44" i="9"/>
  <c r="E30" i="6"/>
  <c r="E68" i="39"/>
  <c r="L10" i="12"/>
  <c r="W19" i="39"/>
  <c r="S19" i="39"/>
  <c r="U19" i="39"/>
  <c r="F50" i="70"/>
  <c r="L59" i="70"/>
  <c r="L58" i="70"/>
  <c r="Q72" i="70"/>
  <c r="F64" i="70"/>
  <c r="F67" i="70"/>
  <c r="F63" i="70"/>
  <c r="F65" i="70"/>
  <c r="L57" i="70"/>
  <c r="J57" i="70"/>
  <c r="J55" i="70"/>
  <c r="J58" i="70"/>
  <c r="Q51" i="70"/>
  <c r="L56" i="70"/>
  <c r="L60" i="70"/>
  <c r="I54" i="70"/>
  <c r="J53" i="70"/>
  <c r="F70" i="70"/>
  <c r="F49" i="70"/>
  <c r="F50" i="71"/>
  <c r="L59" i="71"/>
  <c r="L58" i="71"/>
  <c r="Q72" i="71"/>
  <c r="F65" i="71"/>
  <c r="L57" i="71"/>
  <c r="J53" i="71"/>
  <c r="I54" i="71"/>
  <c r="L56" i="71"/>
  <c r="L60" i="71"/>
  <c r="J57" i="71"/>
  <c r="J55" i="71"/>
  <c r="J58" i="71"/>
  <c r="Q51" i="71"/>
  <c r="F64" i="71"/>
  <c r="F67" i="71"/>
  <c r="F63" i="71"/>
  <c r="F70" i="71"/>
  <c r="F49" i="71"/>
  <c r="E57" i="3"/>
  <c r="E434" i="3"/>
  <c r="E146" i="3"/>
  <c r="E388" i="3"/>
  <c r="E124" i="3"/>
  <c r="E409" i="3"/>
  <c r="E570" i="3"/>
  <c r="E55" i="3"/>
  <c r="E114" i="3"/>
  <c r="W6" i="3"/>
  <c r="E53" i="3"/>
  <c r="E151" i="3"/>
  <c r="E70" i="3"/>
  <c r="AP6" i="3"/>
  <c r="E143" i="3"/>
  <c r="E200" i="3"/>
  <c r="E132" i="3"/>
  <c r="E193" i="3"/>
  <c r="E152" i="3"/>
  <c r="E89" i="3"/>
  <c r="E157" i="3"/>
  <c r="E413" i="3"/>
  <c r="E394" i="3"/>
  <c r="E348" i="3"/>
  <c r="E192" i="3"/>
  <c r="E293" i="3"/>
  <c r="E469" i="3"/>
  <c r="E412" i="3"/>
  <c r="E27" i="3"/>
  <c r="E148" i="3"/>
  <c r="E185" i="3"/>
  <c r="E109" i="3"/>
  <c r="E468" i="3"/>
  <c r="E410" i="3"/>
  <c r="E142" i="3"/>
  <c r="E343" i="3"/>
  <c r="E230" i="3"/>
  <c r="E62" i="3"/>
  <c r="E103" i="3"/>
  <c r="E127" i="3"/>
  <c r="AH6" i="3"/>
  <c r="E534" i="3"/>
  <c r="E156" i="3"/>
  <c r="E457" i="3"/>
  <c r="M6" i="3"/>
  <c r="E201" i="3"/>
  <c r="E295" i="3"/>
  <c r="E161" i="3"/>
  <c r="E270" i="3"/>
  <c r="E395" i="3"/>
  <c r="D45" i="9"/>
  <c r="D46" i="9"/>
  <c r="D22" i="46"/>
  <c r="D16" i="43"/>
  <c r="C16" i="43"/>
  <c r="E359" i="3"/>
  <c r="P6" i="3"/>
  <c r="E125" i="3"/>
  <c r="E387" i="3"/>
  <c r="E104" i="3"/>
  <c r="E49" i="3"/>
  <c r="E283" i="3"/>
  <c r="X6" i="3"/>
  <c r="E46" i="3"/>
  <c r="E69" i="3"/>
  <c r="I3" i="6"/>
  <c r="E460" i="3"/>
  <c r="E549" i="3"/>
  <c r="E249" i="3"/>
  <c r="E149" i="3"/>
  <c r="E450" i="3"/>
  <c r="E209" i="3"/>
  <c r="E464" i="3"/>
  <c r="E59" i="3"/>
  <c r="AN6" i="3"/>
  <c r="AO6" i="3"/>
  <c r="D13" i="11"/>
  <c r="C13" i="11"/>
  <c r="E299" i="3"/>
  <c r="E391" i="3"/>
  <c r="E91" i="3"/>
  <c r="E421" i="3"/>
  <c r="E140" i="3"/>
  <c r="E64" i="3"/>
  <c r="E21" i="3"/>
  <c r="E294" i="3"/>
  <c r="E376" i="3"/>
  <c r="E94" i="3"/>
  <c r="E278" i="3"/>
  <c r="E427" i="3"/>
  <c r="E381" i="3"/>
  <c r="E535" i="3"/>
  <c r="E561" i="3"/>
  <c r="AA6" i="3"/>
  <c r="E31" i="3"/>
  <c r="E221" i="3"/>
  <c r="E437" i="3"/>
  <c r="E446" i="3"/>
  <c r="E241" i="3"/>
  <c r="E30" i="3"/>
  <c r="E374" i="3"/>
  <c r="E404" i="3"/>
  <c r="E100" i="3"/>
  <c r="E165" i="3"/>
  <c r="E428" i="3"/>
  <c r="E304" i="3"/>
  <c r="E237" i="3"/>
  <c r="E131" i="3"/>
  <c r="E36" i="3"/>
  <c r="E202" i="3"/>
  <c r="E44" i="3"/>
  <c r="E414" i="3"/>
  <c r="E238" i="3"/>
  <c r="E92" i="3"/>
  <c r="E408" i="3"/>
  <c r="E418" i="3"/>
  <c r="E471" i="3"/>
  <c r="E41" i="3"/>
  <c r="E250" i="3"/>
  <c r="E411" i="3"/>
  <c r="E86" i="3"/>
  <c r="E23" i="3"/>
  <c r="E265" i="3"/>
  <c r="AM6" i="3"/>
  <c r="E337" i="3"/>
  <c r="E158" i="3"/>
  <c r="E472" i="3"/>
  <c r="E253" i="3"/>
  <c r="E537" i="3"/>
  <c r="E54" i="3"/>
  <c r="E452" i="3"/>
  <c r="E475" i="3"/>
  <c r="E333" i="3"/>
  <c r="E195" i="3"/>
  <c r="E266" i="3"/>
  <c r="I6" i="3"/>
  <c r="Z6" i="3"/>
  <c r="E520" i="3"/>
  <c r="E213" i="3"/>
  <c r="E536" i="3"/>
  <c r="E397" i="3"/>
  <c r="E462" i="3"/>
  <c r="E47" i="3"/>
  <c r="E545" i="3"/>
  <c r="E184" i="3"/>
  <c r="E482" i="3"/>
  <c r="E473" i="3"/>
  <c r="N6" i="3"/>
  <c r="E232" i="3"/>
  <c r="E68" i="3"/>
  <c r="E147" i="3"/>
  <c r="E439" i="3"/>
  <c r="E117" i="3"/>
  <c r="E528" i="3"/>
  <c r="E349" i="3"/>
  <c r="E311" i="3"/>
  <c r="E424" i="3"/>
  <c r="E164" i="3"/>
  <c r="E262" i="3"/>
  <c r="E274" i="3"/>
  <c r="E463" i="3"/>
  <c r="E32" i="3"/>
  <c r="E292" i="3"/>
  <c r="E547" i="3"/>
  <c r="E426" i="3"/>
  <c r="E447" i="3"/>
  <c r="E60" i="3"/>
  <c r="E33" i="3"/>
  <c r="E75" i="3"/>
  <c r="Q6" i="3"/>
  <c r="E178" i="3"/>
  <c r="E119" i="3"/>
  <c r="J6" i="3"/>
  <c r="E500" i="3"/>
  <c r="E48" i="3"/>
  <c r="E97" i="3"/>
  <c r="E438" i="3"/>
  <c r="AE6" i="3"/>
  <c r="E455" i="3"/>
  <c r="E289" i="3"/>
  <c r="E363" i="3"/>
  <c r="E113" i="3"/>
  <c r="E79" i="3"/>
  <c r="E425" i="3"/>
  <c r="E189" i="3"/>
  <c r="E507" i="3"/>
  <c r="E332" i="3"/>
  <c r="E245" i="3"/>
  <c r="E139" i="3"/>
  <c r="E52" i="3"/>
  <c r="E445" i="3"/>
  <c r="E451" i="3"/>
  <c r="E556" i="3"/>
  <c r="U6" i="3"/>
  <c r="E291" i="3"/>
  <c r="E305" i="3"/>
  <c r="E527" i="3"/>
  <c r="E443" i="3"/>
  <c r="E78" i="3"/>
  <c r="E296" i="3"/>
  <c r="E225" i="3"/>
  <c r="E423" i="3"/>
  <c r="E206" i="3"/>
  <c r="E321" i="3"/>
  <c r="E548" i="3"/>
  <c r="AK6" i="3"/>
  <c r="E218" i="3"/>
  <c r="E110" i="3"/>
  <c r="E174" i="3"/>
  <c r="E98" i="3"/>
  <c r="E398" i="3"/>
  <c r="E135" i="3"/>
  <c r="E459" i="3"/>
  <c r="E470" i="3"/>
  <c r="E263" i="3"/>
  <c r="E99" i="3"/>
  <c r="E223" i="3"/>
  <c r="E205" i="3"/>
  <c r="E399" i="3"/>
  <c r="E478" i="3"/>
  <c r="E317" i="3"/>
  <c r="E357" i="3"/>
  <c r="E179" i="3"/>
  <c r="AS6" i="3"/>
  <c r="E444" i="3"/>
  <c r="E383" i="3"/>
  <c r="E247" i="3"/>
  <c r="E568" i="3"/>
  <c r="E539" i="3"/>
  <c r="E401" i="3"/>
  <c r="E272" i="3"/>
  <c r="E102" i="3"/>
  <c r="E25" i="3"/>
  <c r="E258" i="3"/>
  <c r="E479"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476" i="3"/>
  <c r="E390" i="3"/>
  <c r="E199" i="3"/>
  <c r="E115" i="3"/>
  <c r="E454" i="3"/>
  <c r="E442" i="3"/>
  <c r="E129" i="3"/>
  <c r="E533" i="3"/>
  <c r="E231" i="3"/>
  <c r="E82" i="3"/>
  <c r="E441" i="3"/>
  <c r="E415" i="3"/>
  <c r="E28" i="3"/>
  <c r="E168" i="3"/>
  <c r="E407" i="3"/>
  <c r="E136" i="3"/>
  <c r="E37" i="3"/>
  <c r="E166" i="3"/>
  <c r="E204" i="3"/>
  <c r="E449" i="3"/>
  <c r="E196" i="3"/>
  <c r="E259" i="3"/>
  <c r="E308" i="3"/>
  <c r="E416" i="3"/>
  <c r="E96" i="3"/>
  <c r="E160" i="3"/>
  <c r="E242" i="3"/>
  <c r="E133" i="3"/>
  <c r="E87" i="3"/>
  <c r="E458" i="3"/>
  <c r="E29" i="3"/>
  <c r="E256" i="3"/>
  <c r="E491" i="3"/>
  <c r="E319" i="3"/>
  <c r="E456" i="3"/>
  <c r="E569" i="3"/>
  <c r="AJ6" i="3"/>
  <c r="E546" i="3"/>
  <c r="E15" i="3"/>
  <c r="E251" i="3"/>
  <c r="E56" i="3"/>
  <c r="E122" i="3"/>
  <c r="E208" i="3"/>
  <c r="E338" i="3"/>
  <c r="E506" i="3"/>
  <c r="E562" i="3"/>
  <c r="E571" i="3"/>
  <c r="E518" i="3"/>
  <c r="E497" i="3"/>
  <c r="E167" i="3"/>
  <c r="E566" i="3"/>
  <c r="E515" i="3"/>
  <c r="E553" i="3"/>
  <c r="E494" i="3"/>
  <c r="E273" i="3"/>
  <c r="E542" i="3"/>
  <c r="E563" i="3"/>
  <c r="E254" i="3"/>
  <c r="E112" i="3"/>
  <c r="E341" i="3"/>
  <c r="E268" i="3"/>
  <c r="E316" i="3"/>
  <c r="E175" i="3"/>
  <c r="E318" i="3"/>
  <c r="E565" i="3"/>
  <c r="E380" i="3"/>
  <c r="E503" i="3"/>
  <c r="E56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94" i="3"/>
  <c r="E187" i="3"/>
  <c r="E435" i="3"/>
  <c r="E215" i="3"/>
  <c r="E490" i="3"/>
  <c r="E63" i="3"/>
  <c r="E422" i="3"/>
  <c r="E22" i="3"/>
  <c r="E186" i="3"/>
  <c r="E101" i="3"/>
  <c r="E367" i="3"/>
  <c r="E80" i="3"/>
  <c r="E141" i="3"/>
  <c r="E34" i="3"/>
  <c r="E550" i="3"/>
  <c r="E85" i="3"/>
  <c r="E257" i="3"/>
  <c r="O6" i="3"/>
  <c r="E207" i="3"/>
  <c r="E43" i="3"/>
  <c r="E276" i="3"/>
  <c r="E370" i="3"/>
  <c r="E526" i="3"/>
  <c r="E477" i="3"/>
  <c r="E540" i="3"/>
  <c r="E134" i="3"/>
  <c r="AI6" i="3"/>
  <c r="E239" i="3"/>
  <c r="E234" i="3"/>
  <c r="E128" i="3"/>
  <c r="E176" i="3"/>
  <c r="E554" i="3"/>
  <c r="E525" i="3"/>
  <c r="K6" i="3"/>
  <c r="E353" i="3"/>
  <c r="E50" i="3"/>
  <c r="E236" i="3"/>
  <c r="E474" i="3"/>
  <c r="E171" i="3"/>
  <c r="E354" i="3"/>
  <c r="E531" i="3"/>
  <c r="E495"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0"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C6" i="3"/>
  <c r="C24" i="9"/>
  <c r="C25" i="9"/>
  <c r="K104" i="46"/>
  <c r="K106" i="46"/>
  <c r="K107" i="46"/>
  <c r="K103" i="46"/>
  <c r="K102" i="46"/>
  <c r="K105" i="46"/>
  <c r="K109" i="46"/>
  <c r="N109" i="46"/>
  <c r="N103" i="46"/>
  <c r="N105" i="46"/>
  <c r="N107" i="46"/>
  <c r="N102" i="46"/>
  <c r="N106" i="46"/>
  <c r="N104" i="46"/>
  <c r="D105" i="46"/>
  <c r="D102" i="46"/>
  <c r="D106" i="46"/>
  <c r="D103" i="46"/>
  <c r="D107" i="46"/>
  <c r="D104" i="46"/>
  <c r="D109" i="46"/>
  <c r="M103" i="46"/>
  <c r="M105" i="46"/>
  <c r="M102" i="46"/>
  <c r="M109" i="46"/>
  <c r="M106" i="46"/>
  <c r="M104" i="46"/>
  <c r="M107" i="46"/>
  <c r="L104" i="46"/>
  <c r="L105" i="46"/>
  <c r="L102" i="46"/>
  <c r="L109" i="46"/>
  <c r="L103" i="46"/>
  <c r="L106" i="46"/>
  <c r="L107" i="46"/>
  <c r="G104" i="46"/>
  <c r="G106" i="46"/>
  <c r="G102" i="46"/>
  <c r="G105" i="46"/>
  <c r="G109" i="46"/>
  <c r="G103" i="46"/>
  <c r="G107" i="46"/>
  <c r="E104" i="46"/>
  <c r="E109" i="46"/>
  <c r="E105" i="46"/>
  <c r="E106" i="46"/>
  <c r="E107" i="46"/>
  <c r="E102" i="46"/>
  <c r="E103" i="46"/>
  <c r="C102" i="46"/>
  <c r="C106" i="46"/>
  <c r="C103" i="46"/>
  <c r="C107" i="46"/>
  <c r="C109" i="46"/>
  <c r="C104" i="46"/>
  <c r="C105" i="46"/>
  <c r="J103" i="46"/>
  <c r="J105" i="46"/>
  <c r="J107" i="46"/>
  <c r="J102" i="46"/>
  <c r="J104" i="46"/>
  <c r="J106" i="46"/>
  <c r="J109" i="46"/>
  <c r="I103" i="46"/>
  <c r="I105" i="46"/>
  <c r="I107" i="46"/>
  <c r="I109" i="46"/>
  <c r="I104" i="46"/>
  <c r="I102" i="46"/>
  <c r="I106" i="46"/>
  <c r="F102" i="46"/>
  <c r="F106" i="46"/>
  <c r="F103" i="46"/>
  <c r="F107" i="46"/>
  <c r="F104" i="46"/>
  <c r="F105" i="46"/>
  <c r="F109" i="46"/>
  <c r="D116" i="46"/>
  <c r="E116" i="46"/>
  <c r="F116" i="46"/>
  <c r="G116" i="46"/>
  <c r="H116" i="46"/>
  <c r="D118" i="46"/>
  <c r="E118" i="46"/>
  <c r="F118" i="46"/>
  <c r="I117" i="46"/>
  <c r="J117" i="46"/>
  <c r="K117" i="46"/>
  <c r="L117" i="46"/>
  <c r="M117" i="46"/>
  <c r="B116" i="46"/>
  <c r="C116" i="46"/>
  <c r="B117" i="46"/>
  <c r="C117" i="46"/>
  <c r="B118" i="46"/>
  <c r="C118" i="46"/>
  <c r="I116" i="46"/>
  <c r="J116" i="46"/>
  <c r="K116" i="46"/>
  <c r="L116" i="46"/>
  <c r="M116" i="46"/>
  <c r="D115" i="46"/>
  <c r="E115" i="46"/>
  <c r="F115" i="46"/>
  <c r="G115" i="46"/>
  <c r="H115" i="46"/>
  <c r="B115" i="46"/>
  <c r="G118" i="46"/>
  <c r="H118" i="46"/>
  <c r="D117" i="46"/>
  <c r="E117" i="46"/>
  <c r="F117" i="46"/>
  <c r="G117" i="46"/>
  <c r="H117" i="46"/>
  <c r="I115" i="46"/>
  <c r="J115" i="46"/>
  <c r="K115" i="46"/>
  <c r="L115" i="46"/>
  <c r="M115" i="46"/>
  <c r="I118" i="46"/>
  <c r="J118" i="46"/>
  <c r="K118" i="46"/>
  <c r="L118" i="46"/>
  <c r="M118" i="46"/>
  <c r="H103" i="46"/>
  <c r="H105" i="46"/>
  <c r="H107" i="46"/>
  <c r="H109" i="46"/>
  <c r="H104" i="46"/>
  <c r="H106" i="46"/>
  <c r="H102" i="46"/>
  <c r="D59" i="34"/>
  <c r="E59" i="34"/>
  <c r="F59" i="34"/>
  <c r="G59" i="34"/>
  <c r="H59" i="34"/>
  <c r="I59" i="34"/>
  <c r="J59" i="34"/>
  <c r="K59" i="34"/>
  <c r="L59" i="34"/>
  <c r="M59" i="34"/>
  <c r="N59" i="34"/>
  <c r="O59" i="34"/>
  <c r="J7" i="34"/>
  <c r="F7" i="34"/>
  <c r="H7" i="34"/>
  <c r="C27" i="43"/>
  <c r="C31" i="43"/>
  <c r="C15" i="43"/>
  <c r="C30" i="44"/>
  <c r="C25" i="12"/>
  <c r="C28" i="15"/>
  <c r="D48" i="35"/>
  <c r="E48" i="35"/>
  <c r="F48" i="35"/>
  <c r="G48" i="35"/>
  <c r="H48" i="35"/>
  <c r="I48" i="35"/>
  <c r="J48" i="35"/>
  <c r="K48" i="35"/>
  <c r="L48" i="35"/>
  <c r="M48" i="35"/>
  <c r="N48" i="35"/>
  <c r="O48" i="35"/>
  <c r="D52" i="37"/>
  <c r="E52" i="37"/>
  <c r="F52" i="37"/>
  <c r="G52" i="37"/>
  <c r="H52" i="37"/>
  <c r="I52" i="37"/>
  <c r="J52" i="37"/>
  <c r="K52" i="37"/>
  <c r="L52" i="37"/>
  <c r="M52" i="37"/>
  <c r="N52" i="37"/>
  <c r="O52" i="37"/>
  <c r="J7" i="37"/>
  <c r="D65" i="40"/>
  <c r="C67" i="40"/>
  <c r="P21" i="46"/>
  <c r="O19" i="46"/>
  <c r="P24" i="46"/>
  <c r="B68" i="40"/>
  <c r="P25" i="46"/>
  <c r="B73" i="39"/>
  <c r="P23" i="46"/>
  <c r="P22" i="46"/>
  <c r="M20" i="46"/>
  <c r="C19" i="46"/>
  <c r="C58" i="21"/>
  <c r="D58" i="21"/>
  <c r="E58" i="21"/>
  <c r="F58" i="21"/>
  <c r="G58" i="21"/>
  <c r="H58" i="21"/>
  <c r="I58" i="21"/>
  <c r="J58" i="21"/>
  <c r="K58" i="21"/>
  <c r="L58" i="21"/>
  <c r="M58" i="21"/>
  <c r="N58" i="21"/>
  <c r="O58" i="21"/>
  <c r="I7" i="21"/>
  <c r="G7" i="21"/>
  <c r="H7" i="21"/>
  <c r="E7" i="21"/>
  <c r="D58" i="33"/>
  <c r="E58" i="33"/>
  <c r="F58" i="33"/>
  <c r="G58" i="33"/>
  <c r="H58" i="33"/>
  <c r="I58" i="33"/>
  <c r="J58" i="33"/>
  <c r="K58" i="33"/>
  <c r="L58" i="33"/>
  <c r="M58" i="33"/>
  <c r="N58" i="33"/>
  <c r="O58" i="33"/>
  <c r="D46" i="36"/>
  <c r="E46" i="36"/>
  <c r="F46" i="36"/>
  <c r="G46" i="36"/>
  <c r="H46" i="36"/>
  <c r="I46" i="36"/>
  <c r="J46" i="36"/>
  <c r="K46" i="36"/>
  <c r="L46" i="36"/>
  <c r="M46" i="36"/>
  <c r="N46" i="36"/>
  <c r="O46" i="36"/>
  <c r="C72" i="39"/>
  <c r="D70" i="39"/>
  <c r="F17" i="11"/>
  <c r="C17" i="11"/>
  <c r="C19" i="11"/>
  <c r="N17" i="46"/>
  <c r="M17" i="46"/>
  <c r="O17" i="46"/>
  <c r="P17" i="46"/>
  <c r="Q62" i="15"/>
  <c r="Q75" i="15"/>
  <c r="Q63" i="44"/>
  <c r="Q76" i="44"/>
  <c r="C48" i="15"/>
  <c r="Q74" i="15"/>
  <c r="Q61" i="15"/>
  <c r="Q75" i="44"/>
  <c r="Q62" i="44"/>
  <c r="F1" i="44"/>
  <c r="Q54" i="44"/>
  <c r="Q53" i="15"/>
  <c r="Q67" i="15"/>
  <c r="Q58" i="15"/>
  <c r="C16" i="71"/>
  <c r="C16" i="70"/>
  <c r="K16" i="1"/>
  <c r="M13" i="44"/>
  <c r="J12" i="44"/>
  <c r="J7" i="44"/>
  <c r="J26" i="44"/>
  <c r="C48" i="70"/>
  <c r="C48" i="71"/>
  <c r="Q53" i="71"/>
  <c r="F1" i="71"/>
  <c r="Q61" i="71"/>
  <c r="Q74" i="71"/>
  <c r="Q53" i="70"/>
  <c r="F1" i="70"/>
  <c r="Q67" i="70"/>
  <c r="Q58" i="70"/>
  <c r="Q75" i="70"/>
  <c r="Q62" i="70"/>
  <c r="Q67" i="71"/>
  <c r="Q58" i="71"/>
  <c r="Q62" i="71"/>
  <c r="Q75" i="71"/>
  <c r="Q61" i="70"/>
  <c r="Q74" i="70"/>
  <c r="F13" i="44"/>
  <c r="C12" i="44"/>
  <c r="C7" i="44"/>
  <c r="C40" i="44"/>
  <c r="K24" i="6"/>
  <c r="M24" i="6"/>
  <c r="I24" i="6"/>
  <c r="S24" i="6"/>
  <c r="K23" i="6"/>
  <c r="M23" i="6"/>
  <c r="I23" i="6"/>
  <c r="S23" i="6"/>
  <c r="K20" i="6"/>
  <c r="M20" i="6"/>
  <c r="I20" i="6"/>
  <c r="S20" i="6"/>
  <c r="E31" i="6"/>
  <c r="K22" i="6"/>
  <c r="M22" i="6"/>
  <c r="I22" i="6"/>
  <c r="S22" i="6"/>
  <c r="K21" i="6"/>
  <c r="M21" i="6"/>
  <c r="I21" i="6"/>
  <c r="S21" i="6"/>
  <c r="K26" i="6"/>
  <c r="M26" i="6"/>
  <c r="I26" i="6"/>
  <c r="S26" i="6"/>
  <c r="K25" i="6"/>
  <c r="M25" i="6"/>
  <c r="I25" i="6"/>
  <c r="S25" i="6"/>
  <c r="H6" i="3"/>
  <c r="E6" i="3"/>
  <c r="C52" i="15"/>
  <c r="C47" i="15"/>
  <c r="S2" i="46"/>
  <c r="S3" i="46"/>
  <c r="S4" i="46"/>
  <c r="S7" i="46"/>
  <c r="S6" i="46"/>
  <c r="S5" i="46"/>
  <c r="F7" i="36"/>
  <c r="F7" i="33"/>
  <c r="F7" i="37"/>
  <c r="H7" i="37"/>
  <c r="H7" i="35"/>
  <c r="F7" i="35"/>
  <c r="AY82" i="3"/>
  <c r="AY37" i="3"/>
  <c r="AY41" i="3"/>
  <c r="AY203" i="3"/>
  <c r="AY128" i="3"/>
  <c r="AY95" i="3"/>
  <c r="AY36" i="3"/>
  <c r="AY150" i="3"/>
  <c r="AY246" i="3"/>
  <c r="AY216" i="3"/>
  <c r="AY333" i="3"/>
  <c r="AY432" i="3"/>
  <c r="AY408" i="3"/>
  <c r="AY28" i="3"/>
  <c r="AY117" i="3"/>
  <c r="AY280" i="3"/>
  <c r="AY374" i="3"/>
  <c r="AY311" i="3"/>
  <c r="AY486" i="3"/>
  <c r="AY67" i="3"/>
  <c r="AY159" i="3"/>
  <c r="AY105" i="3"/>
  <c r="AY293" i="3"/>
  <c r="AY386" i="3"/>
  <c r="AY411" i="3"/>
  <c r="AY187" i="3"/>
  <c r="AY271" i="3"/>
  <c r="AY445" i="3"/>
  <c r="AY38" i="3"/>
  <c r="AY200" i="3"/>
  <c r="AY227" i="3"/>
  <c r="AY335" i="3"/>
  <c r="AY558" i="3"/>
  <c r="AY111" i="3"/>
  <c r="AY120" i="3"/>
  <c r="AY224" i="3"/>
  <c r="AY424" i="3"/>
  <c r="AY13" i="3"/>
  <c r="AY21" i="3"/>
  <c r="AY191" i="3"/>
  <c r="AY92" i="3"/>
  <c r="AY118" i="3"/>
  <c r="AY209" i="3"/>
  <c r="AY416" i="3"/>
  <c r="AY55" i="3"/>
  <c r="AY250" i="3"/>
  <c r="AY560" i="3"/>
  <c r="AY141" i="3"/>
  <c r="AY310" i="3"/>
  <c r="AY459" i="3"/>
  <c r="AY226" i="3"/>
  <c r="AY400" i="3"/>
  <c r="AY162" i="3"/>
  <c r="AY380" i="3"/>
  <c r="AY22" i="3"/>
  <c r="AY211" i="3"/>
  <c r="AY562" i="3"/>
  <c r="AY73" i="3"/>
  <c r="AY57" i="3"/>
  <c r="AY349" i="3"/>
  <c r="AY149" i="3"/>
  <c r="AY463" i="3"/>
  <c r="AY372" i="3"/>
  <c r="AY376" i="3"/>
  <c r="AY230" i="3"/>
  <c r="AY13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100" i="3"/>
  <c r="AY126" i="3"/>
  <c r="AY291" i="3"/>
  <c r="AY422" i="3"/>
  <c r="AY324" i="3"/>
  <c r="AY258" i="3"/>
  <c r="AY168" i="3"/>
  <c r="AY155" i="3"/>
  <c r="AY450" i="3"/>
  <c r="AY307"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541" i="3"/>
  <c r="AY466" i="3"/>
  <c r="AY496" i="3"/>
  <c r="AY474" i="3"/>
  <c r="AY482" i="3"/>
  <c r="AY441" i="3"/>
  <c r="AY491" i="3"/>
  <c r="AY301" i="3"/>
  <c r="AY403" i="3"/>
  <c r="AY514" i="3"/>
  <c r="AY454" i="3"/>
  <c r="AY499" i="3"/>
  <c r="AY391" i="3"/>
  <c r="AY507"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64" i="3"/>
  <c r="AY42" i="3"/>
  <c r="AY515" i="3"/>
  <c r="AY175" i="3"/>
  <c r="AY264" i="3"/>
  <c r="AY80" i="3"/>
  <c r="AY58" i="3"/>
  <c r="AY179" i="3"/>
  <c r="AY274" i="3"/>
  <c r="AY275" i="3"/>
  <c r="AY556" i="3"/>
  <c r="AY414" i="3"/>
  <c r="AY114" i="3"/>
  <c r="AY304" i="3"/>
  <c r="AY123" i="3"/>
  <c r="AY172" i="3"/>
  <c r="AY183" i="3"/>
  <c r="AY257" i="3"/>
  <c r="AY337" i="3"/>
  <c r="BS6" i="3"/>
  <c r="AY25" i="3"/>
  <c r="AY254" i="3"/>
  <c r="AY341" i="3"/>
  <c r="AY394" i="3"/>
  <c r="AY103" i="3"/>
  <c r="AY52" i="3"/>
  <c r="AY204" i="3"/>
  <c r="AY31" i="3"/>
  <c r="AY317" i="3"/>
  <c r="AY181" i="3"/>
  <c r="AY65" i="3"/>
  <c r="AY350" i="3"/>
  <c r="AY346" i="3"/>
  <c r="AY225" i="3"/>
  <c r="AY184" i="3"/>
  <c r="AY537" i="3"/>
  <c r="AY262" i="3"/>
  <c r="AY379" i="3"/>
  <c r="AY62" i="3"/>
  <c r="AY542" i="3"/>
  <c r="AY405" i="3"/>
  <c r="AY442" i="3"/>
  <c r="AY572" i="3"/>
  <c r="AY99" i="3"/>
  <c r="AY207" i="3"/>
  <c r="AY40" i="3"/>
  <c r="AY281" i="3"/>
  <c r="AY322" i="3"/>
  <c r="AY395" i="3"/>
  <c r="AY189" i="3"/>
  <c r="AY393" i="3"/>
  <c r="BO6" i="3"/>
  <c r="AY490" i="3"/>
  <c r="AY210" i="3"/>
  <c r="AY297" i="3"/>
  <c r="AY462" i="3"/>
  <c r="AY47" i="3"/>
  <c r="AY361" i="3"/>
  <c r="AY39" i="3"/>
  <c r="AY464" i="3"/>
  <c r="AY122" i="3"/>
  <c r="BT6" i="3"/>
  <c r="AY323" i="3"/>
  <c r="AY370" i="3"/>
  <c r="AY388" i="3"/>
  <c r="AY485" i="3"/>
  <c r="AY244" i="3"/>
  <c r="AY399" i="3"/>
  <c r="AY199" i="3"/>
  <c r="AY174" i="3"/>
  <c r="AY351" i="3"/>
  <c r="AY328" i="3"/>
  <c r="AY63" i="3"/>
  <c r="AY71" i="3"/>
  <c r="AY440" i="3"/>
  <c r="AY195" i="3"/>
  <c r="AY362" i="3"/>
  <c r="AY570" i="3"/>
  <c r="AY521" i="3"/>
  <c r="BE6" i="3"/>
  <c r="AY508" i="3"/>
  <c r="AY469" i="3"/>
  <c r="AY263" i="3"/>
  <c r="AY231" i="3"/>
  <c r="AY549" i="3"/>
  <c r="AY88" i="3"/>
  <c r="AY129" i="3"/>
  <c r="AY104" i="3"/>
  <c r="AY259" i="3"/>
  <c r="AY368" i="3"/>
  <c r="AY409" i="3"/>
  <c r="AY171" i="3"/>
  <c r="AY365" i="3"/>
  <c r="AY471" i="3"/>
  <c r="AY138" i="3"/>
  <c r="AY316" i="3"/>
  <c r="AY29" i="3"/>
  <c r="AY367" i="3"/>
  <c r="BL6" i="3"/>
  <c r="AY160" i="3"/>
  <c r="AY277" i="3"/>
  <c r="AY467" i="3"/>
  <c r="AY479" i="3"/>
  <c r="AY139" i="3"/>
  <c r="AY364" i="3"/>
  <c r="AY70" i="3"/>
  <c r="AY238" i="3"/>
  <c r="BK6" i="3"/>
  <c r="AY115" i="3"/>
  <c r="AY435" i="3"/>
  <c r="AY197" i="3"/>
  <c r="AY359" i="3"/>
  <c r="AY76" i="3"/>
  <c r="AY282" i="3"/>
  <c r="AY321" i="3"/>
  <c r="AY53" i="3"/>
  <c r="AY98" i="3"/>
  <c r="AY232" i="3"/>
  <c r="AY49" i="3"/>
  <c r="AY326" i="3"/>
  <c r="AY294" i="3"/>
  <c r="AY269" i="3"/>
  <c r="AY161" i="3"/>
  <c r="AY101" i="3"/>
  <c r="AY305"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504" i="3"/>
  <c r="AY182" i="3"/>
  <c r="AY217" i="3"/>
  <c r="AY427" i="3"/>
  <c r="AY214" i="3"/>
  <c r="AY116" i="3"/>
  <c r="AY548" i="3"/>
  <c r="AY81" i="3"/>
  <c r="AY342" i="3"/>
  <c r="AY279"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167" i="3"/>
  <c r="AY439" i="3"/>
  <c r="AY180" i="3"/>
  <c r="AY477" i="3"/>
  <c r="AY292" i="3"/>
  <c r="AY452" i="3"/>
  <c r="AY165" i="3"/>
  <c r="AY252" i="3"/>
  <c r="BM6" i="3"/>
  <c r="AY260" i="3"/>
  <c r="AY423" i="3"/>
  <c r="AY228" i="3"/>
  <c r="AY18" i="3"/>
  <c r="AY234" i="3"/>
  <c r="AY402" i="3"/>
  <c r="AY343" i="3"/>
  <c r="AY265" i="3"/>
  <c r="AY50" i="3"/>
  <c r="AY166" i="3"/>
  <c r="AY413" i="3"/>
  <c r="AY319" i="3"/>
  <c r="AY144" i="3"/>
  <c r="AY397" i="3"/>
  <c r="AY135" i="3"/>
  <c r="AY30" i="3"/>
  <c r="AY382" i="3"/>
  <c r="AY429" i="3"/>
  <c r="AY43" i="3"/>
  <c r="AY501" i="3"/>
  <c r="AY481" i="3"/>
  <c r="AY510" i="3"/>
  <c r="AY401" i="3"/>
  <c r="AY495" i="3"/>
  <c r="AY267" i="3"/>
  <c r="AY363" i="3"/>
  <c r="AY545" i="3"/>
  <c r="AY339" i="3"/>
  <c r="AY433" i="3"/>
  <c r="AY547" i="3"/>
  <c r="AY455" i="3"/>
  <c r="AY332" i="3"/>
  <c r="AY51" i="3"/>
  <c r="AY106" i="3"/>
  <c r="AY146" i="3"/>
  <c r="AY315" i="3"/>
  <c r="AY302" i="3"/>
  <c r="BQ6" i="3"/>
  <c r="AY151" i="3"/>
  <c r="AY360" i="3"/>
  <c r="AY531" i="3"/>
  <c r="AY137" i="3"/>
  <c r="AY565" i="3"/>
  <c r="BP6" i="3"/>
  <c r="AY553" i="3"/>
  <c r="AY480" i="3"/>
  <c r="AY90" i="3"/>
  <c r="AY358" i="3"/>
  <c r="AY344" i="3"/>
  <c r="AY223" i="3"/>
  <c r="AY190" i="3"/>
  <c r="AY235" i="3"/>
  <c r="AY421" i="3"/>
  <c r="AY205" i="3"/>
  <c r="AY255" i="3"/>
  <c r="AY354" i="3"/>
  <c r="AY121" i="3"/>
  <c r="AY164" i="3"/>
  <c r="AY177" i="3"/>
  <c r="AY524" i="3"/>
  <c r="AY300" i="3"/>
  <c r="AY69" i="3"/>
  <c r="AY26" i="3"/>
  <c r="AY529" i="3"/>
  <c r="AY145" i="3"/>
  <c r="AY248" i="3"/>
  <c r="AY472" i="3"/>
  <c r="AY96" i="3"/>
  <c r="AY233" i="3"/>
  <c r="AY329" i="3"/>
  <c r="AY131" i="3"/>
  <c r="AY206" i="3"/>
  <c r="AY520" i="3"/>
  <c r="AY249" i="3"/>
  <c r="AY453" i="3"/>
  <c r="AY154" i="3"/>
  <c r="AY75" i="3"/>
  <c r="AY384" i="3"/>
  <c r="AY425" i="3"/>
  <c r="AY202" i="3"/>
  <c r="AY286" i="3"/>
  <c r="AY398" i="3"/>
  <c r="AY169" i="3"/>
  <c r="AY348" i="3"/>
  <c r="AY72" i="3"/>
  <c r="AY241" i="3"/>
  <c r="AY85" i="3"/>
  <c r="AY266" i="3"/>
  <c r="AY369" i="3"/>
  <c r="AY156" i="3"/>
  <c r="AY229" i="3"/>
  <c r="AY14" i="3"/>
  <c r="AY74" i="3"/>
  <c r="AY136" i="3"/>
  <c r="AY448" i="3"/>
  <c r="AY381" i="3"/>
  <c r="AY178" i="3"/>
  <c r="AY550" i="3"/>
  <c r="AY389" i="3"/>
  <c r="AY340" i="3"/>
  <c r="AY272"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83" i="3"/>
  <c r="AY45" i="3"/>
  <c r="AY383" i="3"/>
  <c r="AY170" i="3"/>
  <c r="AY476" i="3"/>
  <c r="AY366" i="3"/>
  <c r="AY256" i="3"/>
  <c r="AY295" i="3"/>
  <c r="AY194" i="3"/>
  <c r="AY16"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94" i="3"/>
  <c r="AY511" i="3"/>
  <c r="AY536" i="3"/>
  <c r="BJ6" i="3"/>
  <c r="AY517" i="3"/>
  <c r="AY535" i="3"/>
  <c r="AY523" i="3"/>
  <c r="AY487" i="3"/>
  <c r="AY571" i="3"/>
  <c r="AY509" i="3"/>
  <c r="AY554" i="3"/>
  <c r="AY539" i="3"/>
  <c r="AY532" i="3"/>
  <c r="AY564" i="3"/>
  <c r="C115" i="46"/>
  <c r="D113" i="46"/>
  <c r="J22" i="46"/>
  <c r="AA7" i="37"/>
  <c r="R42" i="37"/>
  <c r="S7" i="37"/>
  <c r="U7" i="37"/>
  <c r="AB7" i="37"/>
  <c r="T42" i="37"/>
  <c r="G42" i="37"/>
  <c r="U7" i="35"/>
  <c r="AB7" i="35"/>
  <c r="T38" i="35"/>
  <c r="G38" i="35"/>
  <c r="S7" i="35"/>
  <c r="AA7" i="35"/>
  <c r="R38" i="35"/>
  <c r="AA7" i="34"/>
  <c r="R49" i="34"/>
  <c r="S7" i="34"/>
  <c r="S7" i="36"/>
  <c r="AA7" i="36"/>
  <c r="R36" i="36"/>
  <c r="AA7" i="33"/>
  <c r="R48" i="33"/>
  <c r="S7" i="33"/>
  <c r="AB7" i="21"/>
  <c r="T48" i="21"/>
  <c r="G48" i="21"/>
  <c r="U7" i="21"/>
  <c r="D72" i="39"/>
  <c r="E70" i="39"/>
  <c r="H7" i="36"/>
  <c r="J7" i="36"/>
  <c r="J7" i="33"/>
  <c r="H7" i="33"/>
  <c r="F7" i="21"/>
  <c r="J7" i="21"/>
  <c r="T8" i="46"/>
  <c r="V8" i="46"/>
  <c r="T16" i="46"/>
  <c r="V16" i="46"/>
  <c r="T15" i="46"/>
  <c r="V15" i="46"/>
  <c r="C36" i="46"/>
  <c r="T10" i="46"/>
  <c r="V10" i="46"/>
  <c r="T14" i="46"/>
  <c r="V14" i="46"/>
  <c r="T9" i="46"/>
  <c r="V9" i="46"/>
  <c r="T13" i="46"/>
  <c r="V13" i="46"/>
  <c r="C39" i="46"/>
  <c r="C35" i="46"/>
  <c r="C29" i="46"/>
  <c r="T2" i="46"/>
  <c r="V2" i="46"/>
  <c r="T3" i="46"/>
  <c r="V3" i="46"/>
  <c r="T6" i="46"/>
  <c r="V6" i="46"/>
  <c r="T12" i="46"/>
  <c r="V12" i="46"/>
  <c r="T11" i="46"/>
  <c r="V11" i="46"/>
  <c r="C38" i="46"/>
  <c r="C34" i="46"/>
  <c r="C37" i="46"/>
  <c r="C33" i="46"/>
  <c r="T4" i="46"/>
  <c r="V4" i="46"/>
  <c r="T7" i="46"/>
  <c r="V7" i="46"/>
  <c r="T5" i="46"/>
  <c r="V5" i="46"/>
  <c r="D67" i="40"/>
  <c r="E65" i="40"/>
  <c r="AC7" i="37"/>
  <c r="V42" i="37"/>
  <c r="I42" i="37"/>
  <c r="W7" i="37"/>
  <c r="J7" i="35"/>
  <c r="AB7" i="34"/>
  <c r="T49" i="34"/>
  <c r="G49" i="34"/>
  <c r="U7" i="34"/>
  <c r="AC7" i="34"/>
  <c r="V49" i="34"/>
  <c r="I49" i="34"/>
  <c r="W7" i="34"/>
  <c r="J24" i="15"/>
  <c r="J18" i="15"/>
  <c r="C20" i="11"/>
  <c r="C21" i="11"/>
  <c r="C22" i="11"/>
  <c r="C23" i="11"/>
  <c r="B2" i="11"/>
  <c r="J28" i="44"/>
  <c r="F21" i="43"/>
  <c r="F26" i="44"/>
  <c r="C26" i="44"/>
  <c r="AE8" i="1"/>
  <c r="L52" i="44"/>
  <c r="AE7" i="1"/>
  <c r="M16" i="1"/>
  <c r="N16" i="1"/>
  <c r="C29" i="43"/>
  <c r="C34" i="44"/>
  <c r="J20" i="44"/>
  <c r="F68" i="15"/>
  <c r="F68" i="71"/>
  <c r="C52" i="71"/>
  <c r="C47" i="71"/>
  <c r="J24" i="71"/>
  <c r="J18" i="71"/>
  <c r="C52" i="70"/>
  <c r="C47" i="70"/>
  <c r="J24" i="70"/>
  <c r="J18" i="70"/>
  <c r="K27" i="6"/>
  <c r="E63" i="40"/>
  <c r="D22" i="6"/>
  <c r="D9" i="6"/>
  <c r="D21" i="6"/>
  <c r="D23" i="6"/>
  <c r="F46" i="9"/>
  <c r="F44" i="9"/>
  <c r="D26" i="6"/>
  <c r="D5" i="6"/>
  <c r="D13" i="6"/>
  <c r="D14" i="6"/>
  <c r="E44" i="9"/>
  <c r="F45" i="9"/>
  <c r="D24" i="6"/>
  <c r="D12" i="6"/>
  <c r="D29" i="6"/>
  <c r="D10" i="6"/>
  <c r="D28" i="6"/>
  <c r="D30" i="6"/>
  <c r="D8" i="6"/>
  <c r="D15" i="6"/>
  <c r="B2" i="66"/>
  <c r="C22" i="4"/>
  <c r="D11" i="6"/>
  <c r="E45" i="9"/>
  <c r="D25" i="6"/>
  <c r="D6" i="6"/>
  <c r="D20" i="6"/>
  <c r="E46" i="9"/>
  <c r="H26" i="6"/>
  <c r="R26" i="6"/>
  <c r="H23" i="6"/>
  <c r="H21" i="6"/>
  <c r="R21" i="6"/>
  <c r="H24" i="6"/>
  <c r="R24" i="6"/>
  <c r="H25" i="6"/>
  <c r="R25" i="6"/>
  <c r="H20" i="6"/>
  <c r="H22" i="6"/>
  <c r="R22" i="6"/>
  <c r="I53" i="34"/>
  <c r="J53" i="34"/>
  <c r="G53" i="34"/>
  <c r="H53" i="34"/>
  <c r="G54" i="34"/>
  <c r="H54" i="34"/>
  <c r="E67" i="40"/>
  <c r="F65" i="40"/>
  <c r="G37" i="46"/>
  <c r="I37" i="46"/>
  <c r="E37" i="46"/>
  <c r="G38" i="46"/>
  <c r="I38" i="46"/>
  <c r="E38" i="46"/>
  <c r="C30" i="46"/>
  <c r="E30" i="46"/>
  <c r="E29" i="46"/>
  <c r="E39" i="46"/>
  <c r="G39" i="46"/>
  <c r="I39" i="46"/>
  <c r="AA7" i="21"/>
  <c r="R48" i="21"/>
  <c r="S7" i="21"/>
  <c r="AC7" i="33"/>
  <c r="V48" i="33"/>
  <c r="I48" i="33"/>
  <c r="W7" i="33"/>
  <c r="AB7" i="36"/>
  <c r="T36" i="36"/>
  <c r="G36" i="36"/>
  <c r="U7" i="36"/>
  <c r="E36" i="36"/>
  <c r="R37" i="36"/>
  <c r="E49" i="34"/>
  <c r="R50" i="34"/>
  <c r="R43" i="37"/>
  <c r="E42" i="37"/>
  <c r="AC7" i="35"/>
  <c r="V38" i="35"/>
  <c r="I38" i="35"/>
  <c r="W7" i="35"/>
  <c r="I46" i="37"/>
  <c r="J46" i="37"/>
  <c r="I47" i="37"/>
  <c r="J47" i="37"/>
  <c r="E33" i="46"/>
  <c r="G33" i="46"/>
  <c r="I33" i="46"/>
  <c r="G34" i="46"/>
  <c r="I34" i="46"/>
  <c r="E34" i="46"/>
  <c r="G35" i="46"/>
  <c r="I35" i="46"/>
  <c r="E35" i="46"/>
  <c r="E36" i="46"/>
  <c r="G36" i="46"/>
  <c r="I36" i="46"/>
  <c r="AC7" i="21"/>
  <c r="V48" i="21"/>
  <c r="I48" i="21"/>
  <c r="G53" i="21"/>
  <c r="H53" i="21"/>
  <c r="W7" i="21"/>
  <c r="AB7" i="33"/>
  <c r="T48" i="33"/>
  <c r="G48" i="33"/>
  <c r="U7" i="33"/>
  <c r="W7" i="36"/>
  <c r="AC7" i="36"/>
  <c r="V36" i="36"/>
  <c r="I36" i="36"/>
  <c r="E72" i="39"/>
  <c r="F70" i="39"/>
  <c r="G52" i="21"/>
  <c r="H52" i="21"/>
  <c r="R49" i="33"/>
  <c r="E48" i="33"/>
  <c r="R39" i="35"/>
  <c r="E38" i="35"/>
  <c r="G42" i="35"/>
  <c r="H42" i="35"/>
  <c r="G43" i="35"/>
  <c r="H43" i="35"/>
  <c r="G47" i="37"/>
  <c r="H47" i="37"/>
  <c r="G46" i="37"/>
  <c r="H46" i="37"/>
  <c r="Q69" i="44"/>
  <c r="L58" i="44"/>
  <c r="L61" i="44"/>
  <c r="L47" i="44"/>
  <c r="C59" i="15"/>
  <c r="C65" i="15"/>
  <c r="C60" i="15"/>
  <c r="B3" i="11"/>
  <c r="B4" i="11"/>
  <c r="B5" i="11"/>
  <c r="C23" i="43"/>
  <c r="D21" i="43"/>
  <c r="F46" i="44"/>
  <c r="C17" i="71"/>
  <c r="C17" i="70"/>
  <c r="F7" i="67"/>
  <c r="C19" i="44"/>
  <c r="J31" i="44"/>
  <c r="L16" i="1"/>
  <c r="C13" i="43"/>
  <c r="O16" i="1"/>
  <c r="F68" i="70"/>
  <c r="C59" i="71"/>
  <c r="C65" i="71"/>
  <c r="C60" i="71"/>
  <c r="C59" i="70"/>
  <c r="C65" i="70"/>
  <c r="C60" i="70"/>
  <c r="R20" i="6"/>
  <c r="M27" i="6"/>
  <c r="T12" i="1"/>
  <c r="D16" i="6"/>
  <c r="D27" i="6"/>
  <c r="N5" i="54"/>
  <c r="B43" i="63"/>
  <c r="A20" i="64"/>
  <c r="A6" i="64"/>
  <c r="A6" i="51"/>
  <c r="B7" i="63"/>
  <c r="A20" i="51"/>
  <c r="B15" i="63"/>
  <c r="R23" i="6"/>
  <c r="D7" i="66"/>
  <c r="D8" i="66"/>
  <c r="D31" i="6"/>
  <c r="E4" i="67"/>
  <c r="C38" i="35"/>
  <c r="C39" i="35"/>
  <c r="B3" i="35"/>
  <c r="B2" i="35"/>
  <c r="C49" i="33"/>
  <c r="B3" i="33"/>
  <c r="B2" i="33"/>
  <c r="C48" i="33"/>
  <c r="G52" i="33"/>
  <c r="H52" i="33"/>
  <c r="G53" i="33"/>
  <c r="H53" i="33"/>
  <c r="I52" i="21"/>
  <c r="J52" i="21"/>
  <c r="I43" i="35"/>
  <c r="J43" i="35"/>
  <c r="I42" i="35"/>
  <c r="J42" i="35"/>
  <c r="E46" i="37"/>
  <c r="F46" i="37"/>
  <c r="E47" i="37"/>
  <c r="F47" i="37"/>
  <c r="C50" i="34"/>
  <c r="B3" i="34"/>
  <c r="B2" i="34"/>
  <c r="C49" i="34"/>
  <c r="C36" i="36"/>
  <c r="C37" i="36"/>
  <c r="B3" i="36"/>
  <c r="B2" i="36"/>
  <c r="C26" i="46"/>
  <c r="G65" i="40"/>
  <c r="F67" i="40"/>
  <c r="E43" i="35"/>
  <c r="F43" i="35"/>
  <c r="E42" i="35"/>
  <c r="F42" i="35"/>
  <c r="E52" i="33"/>
  <c r="F52" i="33"/>
  <c r="E53" i="33"/>
  <c r="F53" i="33"/>
  <c r="F72" i="39"/>
  <c r="G70" i="39"/>
  <c r="I41" i="36"/>
  <c r="J41" i="36"/>
  <c r="I40" i="36"/>
  <c r="J40" i="36"/>
  <c r="C43" i="37"/>
  <c r="B3" i="37"/>
  <c r="B2" i="37"/>
  <c r="C42" i="37"/>
  <c r="E54" i="34"/>
  <c r="F54" i="34"/>
  <c r="E53" i="34"/>
  <c r="F53" i="34"/>
  <c r="E40" i="36"/>
  <c r="F40" i="36"/>
  <c r="E41" i="36"/>
  <c r="F41" i="36"/>
  <c r="G41" i="36"/>
  <c r="H41" i="36"/>
  <c r="G40" i="36"/>
  <c r="H40" i="36"/>
  <c r="I52" i="33"/>
  <c r="J52" i="33"/>
  <c r="I53" i="33"/>
  <c r="J53" i="33"/>
  <c r="R49" i="21"/>
  <c r="E48" i="21"/>
  <c r="C27" i="46"/>
  <c r="I54" i="34"/>
  <c r="J54" i="34"/>
  <c r="Q68" i="44"/>
  <c r="Q59" i="44"/>
  <c r="E7" i="67"/>
  <c r="Q58" i="44"/>
  <c r="Q64" i="44"/>
  <c r="Q49" i="44"/>
  <c r="Q55" i="44"/>
  <c r="Q67" i="44"/>
  <c r="Q77" i="44"/>
  <c r="C14" i="43"/>
  <c r="C17" i="43"/>
  <c r="S19" i="6"/>
  <c r="S27" i="6"/>
  <c r="I27" i="6"/>
  <c r="T11" i="1"/>
  <c r="T10" i="1"/>
  <c r="T13" i="1"/>
  <c r="T7" i="1"/>
  <c r="T8" i="1"/>
  <c r="T9" i="1"/>
  <c r="I6" i="6"/>
  <c r="I5" i="6"/>
  <c r="E3" i="67"/>
  <c r="E53" i="21"/>
  <c r="F53" i="21"/>
  <c r="E52" i="21"/>
  <c r="F52" i="21"/>
  <c r="H70" i="39"/>
  <c r="G72" i="39"/>
  <c r="G67" i="40"/>
  <c r="H65" i="40"/>
  <c r="C49" i="21"/>
  <c r="B3" i="21"/>
  <c r="C48" i="21"/>
  <c r="B2" i="46"/>
  <c r="I53" i="21"/>
  <c r="J53" i="21"/>
  <c r="B7" i="67"/>
  <c r="C16" i="44"/>
  <c r="C18" i="43"/>
  <c r="C19" i="43"/>
  <c r="C25" i="43"/>
  <c r="C24" i="43"/>
  <c r="C18" i="70"/>
  <c r="C15" i="70"/>
  <c r="C18" i="71"/>
  <c r="C15" i="71"/>
  <c r="C17" i="44"/>
  <c r="C20" i="44"/>
  <c r="T16" i="1"/>
  <c r="H27" i="6"/>
  <c r="B2" i="67"/>
  <c r="B2" i="21"/>
  <c r="H67" i="40"/>
  <c r="I65" i="40"/>
  <c r="B4" i="46"/>
  <c r="D4" i="46"/>
  <c r="B3" i="46"/>
  <c r="H72" i="39"/>
  <c r="I70" i="39"/>
  <c r="C22" i="43"/>
  <c r="C21" i="43"/>
  <c r="C28" i="43"/>
  <c r="C30" i="43"/>
  <c r="C32" i="43"/>
  <c r="B2" i="43"/>
  <c r="C21" i="44"/>
  <c r="C22" i="44"/>
  <c r="C25" i="44"/>
  <c r="R9" i="1"/>
  <c r="R7" i="1"/>
  <c r="R11" i="1"/>
  <c r="R8" i="1"/>
  <c r="R12" i="1"/>
  <c r="R10" i="1"/>
  <c r="R27" i="6"/>
  <c r="R13" i="1"/>
  <c r="J70" i="39"/>
  <c r="I72" i="39"/>
  <c r="J65" i="40"/>
  <c r="I67" i="40"/>
  <c r="B3" i="67"/>
  <c r="B4" i="67"/>
  <c r="M21" i="71"/>
  <c r="M21" i="15"/>
  <c r="M21" i="70"/>
  <c r="F37" i="44"/>
  <c r="M23" i="44"/>
  <c r="B4" i="43"/>
  <c r="B5" i="43"/>
  <c r="B3" i="43"/>
  <c r="C28" i="44"/>
  <c r="C31" i="44"/>
  <c r="J19" i="70"/>
  <c r="J20" i="71"/>
  <c r="F62" i="71"/>
  <c r="C61" i="71"/>
  <c r="C58" i="71"/>
  <c r="F62" i="70"/>
  <c r="C61" i="70"/>
  <c r="C58" i="70"/>
  <c r="J20" i="70"/>
  <c r="J20" i="15"/>
  <c r="F62" i="15"/>
  <c r="C61" i="15"/>
  <c r="C58" i="15"/>
  <c r="C36" i="44"/>
  <c r="J22" i="44"/>
  <c r="R16" i="1"/>
  <c r="K65" i="40"/>
  <c r="J67" i="40"/>
  <c r="K70" i="39"/>
  <c r="J72" i="39"/>
  <c r="C15" i="44"/>
  <c r="Q72" i="44"/>
  <c r="J16" i="44"/>
  <c r="J15" i="44"/>
  <c r="J25" i="44"/>
  <c r="C39" i="44"/>
  <c r="J21" i="44"/>
  <c r="J19" i="44"/>
  <c r="Q51" i="44"/>
  <c r="C38" i="44"/>
  <c r="C35" i="44"/>
  <c r="C33" i="44"/>
  <c r="J14" i="70"/>
  <c r="J22" i="70"/>
  <c r="J59" i="70"/>
  <c r="J60" i="70"/>
  <c r="Q49" i="70"/>
  <c r="C56" i="70"/>
  <c r="C63" i="70"/>
  <c r="Q50" i="70"/>
  <c r="J17" i="70"/>
  <c r="C55" i="70"/>
  <c r="C64" i="70"/>
  <c r="J19" i="71"/>
  <c r="J17" i="71"/>
  <c r="C56" i="71"/>
  <c r="C63" i="71"/>
  <c r="J14" i="71"/>
  <c r="Q50" i="71"/>
  <c r="J59" i="71"/>
  <c r="J60" i="71"/>
  <c r="Q49" i="71"/>
  <c r="J19" i="15"/>
  <c r="J17" i="15"/>
  <c r="Q50" i="15"/>
  <c r="J14" i="15"/>
  <c r="C56" i="15"/>
  <c r="C63" i="15"/>
  <c r="J59" i="15"/>
  <c r="J60" i="15"/>
  <c r="Q49" i="15"/>
  <c r="K72" i="39"/>
  <c r="L70" i="39"/>
  <c r="K67" i="40"/>
  <c r="L65" i="40"/>
  <c r="C57" i="70"/>
  <c r="C66" i="70"/>
  <c r="C67" i="70"/>
  <c r="C70" i="70"/>
  <c r="C43" i="44"/>
  <c r="J24" i="44"/>
  <c r="J18" i="44"/>
  <c r="J27" i="44"/>
  <c r="C32" i="44"/>
  <c r="C42" i="44"/>
  <c r="Q71" i="44"/>
  <c r="Q70" i="44"/>
  <c r="J13" i="70"/>
  <c r="J23" i="70"/>
  <c r="J16" i="70"/>
  <c r="J25" i="70"/>
  <c r="Q71" i="70"/>
  <c r="J35" i="70"/>
  <c r="Q70" i="70"/>
  <c r="Q69" i="70"/>
  <c r="Q71" i="71"/>
  <c r="J35" i="71"/>
  <c r="C55" i="71"/>
  <c r="C64" i="71"/>
  <c r="C57" i="71"/>
  <c r="C66" i="71"/>
  <c r="C67" i="71"/>
  <c r="J13" i="71"/>
  <c r="J23" i="71"/>
  <c r="J22" i="71"/>
  <c r="J22" i="15"/>
  <c r="J13" i="15"/>
  <c r="J23" i="15"/>
  <c r="J35" i="15"/>
  <c r="Q71" i="15"/>
  <c r="C55" i="15"/>
  <c r="C64" i="15"/>
  <c r="C57" i="15"/>
  <c r="C66" i="15"/>
  <c r="C67" i="15"/>
  <c r="C70" i="15"/>
  <c r="M65" i="40"/>
  <c r="L67" i="40"/>
  <c r="L72" i="39"/>
  <c r="M70" i="39"/>
  <c r="L51" i="71"/>
  <c r="L51" i="15"/>
  <c r="C44" i="44"/>
  <c r="C45" i="44"/>
  <c r="B2" i="44"/>
  <c r="B4" i="44"/>
  <c r="Q48" i="70"/>
  <c r="Q54" i="70"/>
  <c r="J39" i="71"/>
  <c r="J40" i="71"/>
  <c r="J39" i="70"/>
  <c r="J40" i="70"/>
  <c r="J16" i="71"/>
  <c r="J25" i="71"/>
  <c r="Q68" i="71"/>
  <c r="C70" i="71"/>
  <c r="Q70" i="71"/>
  <c r="Q69" i="71"/>
  <c r="C46" i="71"/>
  <c r="Q68" i="15"/>
  <c r="Q70" i="15"/>
  <c r="Q69" i="15"/>
  <c r="J39" i="15"/>
  <c r="J40" i="15"/>
  <c r="J16" i="15"/>
  <c r="J25" i="15"/>
  <c r="M67" i="40"/>
  <c r="N65" i="40"/>
  <c r="N67" i="40"/>
  <c r="N70" i="39"/>
  <c r="N72" i="39"/>
  <c r="M72" i="39"/>
  <c r="L51" i="70"/>
  <c r="B5" i="44"/>
  <c r="C46" i="70"/>
  <c r="Q66" i="70"/>
  <c r="Q76" i="70"/>
  <c r="B3" i="44"/>
  <c r="J42" i="70"/>
  <c r="J43" i="70"/>
  <c r="C43" i="70"/>
  <c r="Q57" i="70"/>
  <c r="Q63" i="70"/>
  <c r="Q68" i="70"/>
  <c r="Q57" i="71"/>
  <c r="Q63" i="71"/>
  <c r="C43" i="71"/>
  <c r="Q66" i="71"/>
  <c r="Q76" i="71"/>
  <c r="Q48" i="71"/>
  <c r="Q54" i="71"/>
  <c r="J42" i="71"/>
  <c r="J43" i="71"/>
  <c r="Q48" i="15"/>
  <c r="Q54" i="15"/>
  <c r="J42" i="15"/>
  <c r="J43" i="15"/>
  <c r="C43" i="15"/>
  <c r="C46" i="15"/>
  <c r="Q57" i="15"/>
  <c r="Q63" i="15"/>
  <c r="Q66" i="15"/>
  <c r="Q76" i="15"/>
  <c r="H9" i="39"/>
  <c r="F9" i="39"/>
  <c r="J9" i="39"/>
  <c r="J9" i="40"/>
  <c r="H9" i="40"/>
  <c r="F9" i="40"/>
  <c r="AA9" i="40"/>
  <c r="R44" i="40"/>
  <c r="S9" i="40"/>
  <c r="AC9" i="40"/>
  <c r="V44" i="40"/>
  <c r="I44" i="40"/>
  <c r="W9" i="40"/>
  <c r="S9" i="39"/>
  <c r="AA9" i="39"/>
  <c r="AB9" i="40"/>
  <c r="T44" i="40"/>
  <c r="G44" i="40"/>
  <c r="U9" i="40"/>
  <c r="AC9" i="39"/>
  <c r="W9" i="39"/>
  <c r="U9" i="39"/>
  <c r="AB9" i="39"/>
  <c r="G49" i="40"/>
  <c r="H49" i="40"/>
  <c r="G48" i="40"/>
  <c r="H48" i="40"/>
  <c r="I48" i="40"/>
  <c r="J48" i="40"/>
  <c r="E44" i="40"/>
  <c r="I49" i="40"/>
  <c r="J49" i="40"/>
  <c r="R45" i="40"/>
  <c r="C45" i="40"/>
  <c r="C44" i="40"/>
  <c r="E48" i="40"/>
  <c r="F48" i="40"/>
  <c r="E49" i="40"/>
  <c r="F49" i="40"/>
  <c r="B54" i="40"/>
  <c r="F54" i="40"/>
  <c r="B61" i="40"/>
  <c r="F61" i="40"/>
  <c r="B55" i="40"/>
  <c r="F55" i="40"/>
  <c r="B59" i="40"/>
  <c r="F59" i="40"/>
  <c r="B62" i="40"/>
  <c r="F62" i="40"/>
  <c r="B60" i="40"/>
  <c r="F60" i="40"/>
  <c r="B57" i="40"/>
  <c r="F57" i="40"/>
  <c r="B58" i="40"/>
  <c r="F58" i="40"/>
  <c r="B56" i="40"/>
  <c r="F56" i="40"/>
  <c r="B53" i="40"/>
  <c r="F53" i="40"/>
  <c r="F63" i="40"/>
  <c r="B2" i="40"/>
  <c r="B4" i="12"/>
  <c r="B5" i="40"/>
  <c r="B4" i="40"/>
  <c r="B3" i="40"/>
  <c r="D21" i="9"/>
  <c r="L44" i="9"/>
  <c r="B5" i="12"/>
  <c r="D16" i="66"/>
  <c r="F16" i="66"/>
  <c r="K16" i="66"/>
  <c r="E16" i="66"/>
  <c r="G16" i="66"/>
  <c r="D17" i="66"/>
  <c r="G17" i="66"/>
  <c r="E17" i="66"/>
  <c r="F17" i="66"/>
  <c r="K17"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C33" i="9"/>
  <c r="R24" i="31"/>
  <c r="S24" i="31"/>
  <c r="R25" i="31"/>
  <c r="S25" i="31"/>
  <c r="R26" i="31"/>
  <c r="S26" i="31"/>
  <c r="S22" i="31"/>
  <c r="B20" i="31"/>
  <c r="D15" i="66"/>
  <c r="B5" i="66"/>
  <c r="E5" i="66"/>
  <c r="C5" i="66"/>
  <c r="D5" i="66"/>
  <c r="G15" i="66"/>
  <c r="B6" i="66"/>
  <c r="D6" i="66"/>
  <c r="C6" i="66"/>
  <c r="B3" i="39"/>
  <c r="C20" i="9"/>
  <c r="G20" i="9"/>
  <c r="E15" i="66"/>
  <c r="R22" i="31"/>
  <c r="B21" i="31"/>
  <c r="W12" i="39"/>
  <c r="F12" i="40"/>
  <c r="S12" i="40"/>
  <c r="AA12" i="40"/>
  <c r="J12" i="40"/>
  <c r="W12" i="40"/>
  <c r="AC12" i="40"/>
  <c r="S12" i="39"/>
  <c r="U12" i="39"/>
  <c r="H12" i="40"/>
  <c r="U12" i="40"/>
  <c r="AB12" i="40"/>
  <c r="I49" i="39"/>
  <c r="I53" i="39"/>
  <c r="J53" i="39"/>
  <c r="G49" i="39"/>
  <c r="G53" i="39"/>
  <c r="H53" i="39"/>
  <c r="G54" i="39"/>
  <c r="H54" i="39"/>
  <c r="C49" i="39"/>
  <c r="E49" i="39"/>
  <c r="I54" i="39"/>
  <c r="J54" i="39"/>
  <c r="E54" i="39"/>
  <c r="F54" i="39"/>
  <c r="E53" i="39"/>
  <c r="F53" i="39"/>
  <c r="L43" i="9"/>
  <c r="D22" i="9"/>
  <c r="B5" i="39"/>
  <c r="B4" i="39"/>
  <c r="C21" i="9"/>
  <c r="G21" i="9"/>
  <c r="G22" i="9"/>
  <c r="N43" i="9"/>
  <c r="C35" i="9"/>
  <c r="F42" i="9"/>
  <c r="O43" i="9"/>
  <c r="C34" i="9"/>
  <c r="M38" i="9"/>
  <c r="K27" i="9"/>
  <c r="E42" i="9"/>
  <c r="P5" i="54"/>
  <c r="B46" i="63"/>
  <c r="N68" i="9"/>
  <c r="R5" i="54"/>
  <c r="B48" i="63"/>
  <c r="D42" i="9"/>
  <c r="Q5" i="54"/>
  <c r="B47" i="63"/>
  <c r="N38" i="9"/>
  <c r="K28" i="9"/>
  <c r="O38" i="9"/>
  <c r="K25" i="9"/>
  <c r="K26" i="9"/>
  <c r="E14" i="66"/>
  <c r="D63" i="9"/>
  <c r="C82" i="9"/>
  <c r="C81" i="9"/>
  <c r="C85" i="9"/>
  <c r="C86" i="9"/>
  <c r="D72" i="9"/>
  <c r="D70" i="9"/>
  <c r="C103" i="9"/>
  <c r="C111" i="9"/>
  <c r="C104" i="9"/>
  <c r="C113" i="9"/>
  <c r="C114" i="9"/>
  <c r="E114" i="9"/>
  <c r="E115" i="9"/>
  <c r="C90" i="9"/>
  <c r="C96" i="9"/>
  <c r="C91" i="9"/>
  <c r="C97" i="9"/>
  <c r="C98" i="9"/>
  <c r="E98" i="9"/>
  <c r="E99" i="9"/>
  <c r="C99" i="9"/>
  <c r="D71" i="9"/>
  <c r="D66" i="9"/>
  <c r="N72" i="9"/>
  <c r="C115" i="9"/>
  <c r="D76" i="9"/>
  <c r="D74" i="9"/>
  <c r="N74" i="9"/>
  <c r="D77" i="9"/>
  <c r="N75" i="9"/>
  <c r="O77" i="9"/>
  <c r="O79" i="9"/>
  <c r="O81" i="9"/>
  <c r="O80" i="9"/>
  <c r="Q77" i="9"/>
  <c r="O78" i="9"/>
  <c r="F14" i="66"/>
  <c r="K14" i="66"/>
  <c r="F15" i="66"/>
  <c r="K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<sst xmlns="http://schemas.openxmlformats.org/spreadsheetml/2006/main" count="8453" uniqueCount="3293">
  <si>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</si>
  <si>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</si>
  <si>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</si>
  <si>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</si>
  <si>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</si>
  <si>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</si>
  <si>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</si>
  <si>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</si>
  <si>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</si>
  <si>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</si>
  <si>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</si>
  <si>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</si>
  <si>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</si>
  <si>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</si>
  <si>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</si>
  <si>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</si>
  <si>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</si>
  <si>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</si>
  <si>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</si>
  <si>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</si>
  <si>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</si>
  <si>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</si>
  <si>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</si>
  <si>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</si>
  <si>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</si>
  <si>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</si>
  <si>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</si>
  <si>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</si>
  <si>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</si>
  <si>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</si>
  <si>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</si>
  <si>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</si>
  <si>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</si>
  <si>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</si>
  <si>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</si>
  <si>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</si>
  <si>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</si>
  <si>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</si>
  <si>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</si>
  <si>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</si>
  <si>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</si>
  <si>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</si>
  <si>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</si>
  <si>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</si>
  <si>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</si>
  <si>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</si>
  <si>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</si>
  <si>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</si>
  <si>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</si>
  <si>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</si>
  <si>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</si>
  <si>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</si>
  <si>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</si>
  <si>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</si>
  <si>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</si>
  <si>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</si>
  <si>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</si>
  <si>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</si>
  <si>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</si>
  <si>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</si>
  <si>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</si>
  <si>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</si>
  <si>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</si>
  <si>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</si>
  <si>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</si>
  <si>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</si>
  <si>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</si>
  <si>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</si>
  <si>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</si>
  <si>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</si>
  <si>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</si>
  <si>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</si>
  <si>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</si>
  <si>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</si>
  <si>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</si>
  <si>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</si>
  <si>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</si>
  <si>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</si>
  <si>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</si>
  <si>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</si>
  <si>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</si>
  <si>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</si>
  <si>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</si>
  <si>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</si>
  <si>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</si>
  <si>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</si>
  <si>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</si>
  <si>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</si>
  <si>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</si>
  <si>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</si>
  <si>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</si>
  <si>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</si>
  <si>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</si>
  <si>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</si>
  <si>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</si>
  <si>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</si>
  <si>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</si>
  <si>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</si>
  <si>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</si>
  <si>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</si>
  <si>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</si>
  <si>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</si>
  <si>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</si>
  <si>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</si>
  <si>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</si>
  <si>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</si>
  <si>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</si>
  <si>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</si>
  <si>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</si>
  <si>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</si>
  <si>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</si>
  <si>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</si>
  <si>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</si>
  <si>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</si>
  <si>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</si>
  <si>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</si>
  <si>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</si>
  <si>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</si>
  <si>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</si>
  <si>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</si>
  <si>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</si>
  <si>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</si>
  <si>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</si>
  <si>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</si>
  <si>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</si>
  <si>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</si>
  <si>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</si>
  <si>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</si>
  <si>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</si>
  <si>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</si>
  <si>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</si>
  <si>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</si>
  <si>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</si>
  <si>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</si>
  <si>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</si>
  <si>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</si>
  <si>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</si>
  <si>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</si>
  <si>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</si>
  <si>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</si>
  <si>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</si>
  <si>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</si>
  <si>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</si>
  <si>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</si>
  <si>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</si>
  <si>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</si>
  <si>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</si>
  <si>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</si>
  <si>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</si>
  <si>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</si>
  <si>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</si>
  <si>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</si>
  <si>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</si>
  <si>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</si>
  <si>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</si>
  <si>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</si>
  <si>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</si>
  <si>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</si>
  <si>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</si>
  <si>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</si>
  <si>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</si>
  <si>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</si>
  <si>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</si>
  <si>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</si>
  <si>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</si>
  <si>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</si>
  <si>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</si>
  <si>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</si>
  <si>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</si>
  <si>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</si>
  <si>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</si>
  <si>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</si>
  <si>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</si>
  <si>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</si>
  <si>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</si>
  <si>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</si>
  <si>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</si>
  <si>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</si>
  <si>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</si>
  <si>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</si>
  <si>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</si>
  <si>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</si>
  <si>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</si>
  <si>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</si>
  <si>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</si>
  <si>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</si>
  <si>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</si>
  <si>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</si>
  <si>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</si>
  <si>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</si>
  <si>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</si>
  <si>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</si>
  <si>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</si>
  <si>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</si>
  <si>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</si>
  <si>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</si>
  <si>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</si>
  <si>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</si>
  <si>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</si>
  <si>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</si>
  <si>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</si>
  <si>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</si>
  <si>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</si>
  <si>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</si>
  <si>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</si>
  <si>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</si>
  <si>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</si>
  <si>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</si>
  <si>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</si>
  <si>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</si>
  <si>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</si>
  <si>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</si>
  <si>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</si>
  <si>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</si>
  <si>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</si>
  <si>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</si>
  <si>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</si>
  <si>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</si>
  <si>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</si>
  <si>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</si>
  <si>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</si>
  <si>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</si>
  <si>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</si>
  <si>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</si>
  <si>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</si>
  <si>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</si>
  <si>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</si>
  <si>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</si>
  <si>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</si>
  <si>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</si>
  <si>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</si>
  <si>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</si>
  <si>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</si>
  <si>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</si>
  <si>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</si>
  <si>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</si>
  <si>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</si>
  <si>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</si>
  <si>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</si>
  <si>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</si>
  <si>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</si>
  <si>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</si>
  <si>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</si>
  <si>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</si>
  <si>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</si>
  <si>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</si>
  <si>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</si>
  <si>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</si>
  <si>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</si>
  <si>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</si>
  <si>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</si>
  <si>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</si>
  <si>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</si>
  <si>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</si>
  <si>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</si>
  <si>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</si>
  <si>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</si>
  <si>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</si>
  <si>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</si>
  <si>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</si>
  <si>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</si>
  <si>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</si>
  <si>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</si>
  <si>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</si>
  <si>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</si>
  <si>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</si>
  <si>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</si>
  <si>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</si>
  <si>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</si>
  <si>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</si>
  <si>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</si>
  <si>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</si>
  <si>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</si>
  <si>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</si>
  <si>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</si>
  <si>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</si>
  <si>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</si>
  <si>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</si>
  <si>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</si>
  <si>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</si>
  <si>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</si>
  <si>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</si>
  <si>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</si>
  <si>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</si>
  <si>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</si>
  <si>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</si>
  <si>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</si>
  <si>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</si>
  <si>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</si>
  <si>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</si>
  <si>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</si>
  <si>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</si>
  <si>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</si>
  <si>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</si>
  <si>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</si>
  <si>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</si>
  <si>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</si>
  <si>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</si>
  <si>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</si>
  <si>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</si>
  <si>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</si>
  <si>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</si>
  <si>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</si>
  <si>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</si>
  <si>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</si>
  <si>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</si>
  <si>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</si>
  <si>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</si>
  <si>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</si>
  <si>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</si>
  <si>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</si>
  <si>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</si>
  <si>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</si>
  <si>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</si>
  <si>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</si>
  <si>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</si>
  <si>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</si>
  <si>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</si>
  <si>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</si>
  <si>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</si>
  <si>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</si>
  <si>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</si>
  <si>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</si>
  <si>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</si>
  <si>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</si>
  <si>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</si>
  <si>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</si>
  <si>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</si>
  <si>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</si>
  <si>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</si>
  <si>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</si>
  <si>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</si>
  <si>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</si>
  <si>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</si>
  <si>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</si>
  <si>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</si>
  <si>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</si>
  <si>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</si>
  <si>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</si>
  <si>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</si>
  <si>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</si>
  <si>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</si>
  <si>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</si>
  <si>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</si>
  <si>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</si>
  <si>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</si>
  <si>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</si>
  <si>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</si>
  <si>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</si>
  <si>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</si>
  <si>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</si>
  <si>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</si>
  <si>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</si>
  <si>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</si>
  <si>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</si>
  <si>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</si>
  <si>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</si>
  <si>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</si>
  <si>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</si>
  <si>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</si>
  <si>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</si>
  <si>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</si>
  <si>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</si>
  <si>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</si>
  <si>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</si>
  <si>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</si>
  <si>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</si>
  <si>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</si>
  <si>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</si>
  <si>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</si>
  <si>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</si>
  <si>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</si>
  <si>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</si>
  <si>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</si>
  <si>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</si>
  <si>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</si>
  <si>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</si>
  <si>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</si>
  <si>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</si>
  <si>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</si>
  <si>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</si>
  <si>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</si>
  <si>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</si>
  <si>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</si>
  <si>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</si>
  <si>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</si>
  <si>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</si>
  <si>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</si>
  <si>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</si>
  <si>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</si>
  <si>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</si>
  <si>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</si>
  <si>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</si>
  <si>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</si>
  <si>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</si>
  <si>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</si>
  <si>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</si>
  <si>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</si>
  <si>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</si>
  <si>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</si>
  <si>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</si>
  <si>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</si>
  <si>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</si>
  <si>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</si>
  <si>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</si>
  <si>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</si>
  <si>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</si>
  <si>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</si>
  <si>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</si>
  <si>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</si>
  <si>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</si>
  <si>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</si>
  <si>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</si>
  <si>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</si>
  <si>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</si>
  <si>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</si>
  <si>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</si>
  <si>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</si>
  <si>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</si>
  <si>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</si>
  <si>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</si>
  <si>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</si>
  <si>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</si>
  <si>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</si>
  <si>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</si>
  <si>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</si>
  <si>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</si>
  <si>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</si>
  <si>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</si>
  <si>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</si>
  <si>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</si>
  <si>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</si>
  <si>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</si>
  <si>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</si>
  <si>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</si>
  <si>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</si>
  <si>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</si>
  <si>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</si>
  <si>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</si>
  <si>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</si>
  <si>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</si>
  <si>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</si>
  <si>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</si>
  <si>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</si>
  <si>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</si>
  <si>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</si>
  <si>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</si>
  <si>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</si>
  <si>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</si>
  <si>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</si>
  <si>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</si>
  <si>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</si>
  <si>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</si>
  <si>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</si>
  <si>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</si>
  <si>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</si>
  <si>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</si>
  <si>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</si>
  <si>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</si>
  <si>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</si>
  <si>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</si>
  <si>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</si>
  <si>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</si>
  <si>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</si>
  <si>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</si>
  <si>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</si>
  <si>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</si>
  <si>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</si>
  <si>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</si>
  <si>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</si>
  <si>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</si>
  <si>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</si>
  <si>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</si>
  <si>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</si>
  <si>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</si>
  <si>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</si>
  <si>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</si>
  <si>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</si>
  <si>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</si>
  <si>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</si>
  <si>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</si>
  <si>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</si>
  <si>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</si>
  <si>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</si>
  <si>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</si>
  <si>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</si>
  <si>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</si>
  <si>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</si>
  <si>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</si>
  <si>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</si>
  <si>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</si>
  <si>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</si>
  <si>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</si>
  <si>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</si>
  <si>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</si>
  <si>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</si>
  <si>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</si>
  <si>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</si>
  <si>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</si>
  <si>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</si>
  <si>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</si>
  <si>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</si>
  <si>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</si>
  <si>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</si>
  <si>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</si>
  <si>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</si>
  <si>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</si>
  <si>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</si>
  <si>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</si>
  <si>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</si>
  <si>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</si>
  <si>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</si>
  <si>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</si>
  <si>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</si>
  <si>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</si>
  <si>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</si>
  <si>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</si>
  <si>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</si>
  <si>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</si>
  <si>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</si>
  <si>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</si>
  <si>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</si>
  <si>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</si>
  <si>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</si>
  <si>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</si>
  <si>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</si>
  <si>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</si>
  <si>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</si>
  <si>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</si>
  <si>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</si>
  <si>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</si>
  <si>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</si>
  <si>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</si>
  <si>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</si>
  <si>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</si>
  <si>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</si>
  <si>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</si>
  <si>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</si>
  <si>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</si>
  <si>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</si>
  <si>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</si>
  <si>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</si>
  <si>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</si>
  <si>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</si>
  <si>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</si>
  <si>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</si>
  <si>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</si>
  <si>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</si>
  <si>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</si>
  <si>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</si>
  <si>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</si>
  <si>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</si>
  <si>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</si>
  <si>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</si>
  <si>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</si>
  <si>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</si>
  <si>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</si>
  <si>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</si>
  <si>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</si>
  <si>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</si>
  <si>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</si>
  <si>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</si>
  <si>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</si>
  <si>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</si>
  <si>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</si>
  <si>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</si>
  <si>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</si>
  <si>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</si>
  <si>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</si>
  <si>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</si>
  <si>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</si>
  <si>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</si>
  <si>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</si>
  <si>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</si>
  <si>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</si>
  <si>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</si>
  <si>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</si>
  <si>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</si>
  <si>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</si>
  <si>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</si>
  <si>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</si>
  <si>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</si>
  <si>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</si>
  <si>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</si>
  <si>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</si>
  <si>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</si>
  <si>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</si>
  <si>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</si>
  <si>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</si>
  <si>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</si>
  <si>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</si>
  <si>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</si>
  <si>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</si>
  <si>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</si>
  <si>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</si>
  <si>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</si>
  <si>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</si>
  <si>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</si>
  <si>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</si>
  <si>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</si>
  <si>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</si>
  <si>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</si>
  <si>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</si>
  <si>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</si>
  <si>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</si>
  <si>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</si>
  <si>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</si>
  <si>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</si>
  <si>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</si>
  <si>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</si>
  <si>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</si>
  <si>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</si>
  <si>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</si>
  <si>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</si>
  <si>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</si>
  <si>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</si>
  <si>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</si>
  <si>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</si>
  <si>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</si>
  <si>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</si>
  <si>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</si>
  <si>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</si>
  <si>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</si>
  <si>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</si>
  <si>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</si>
  <si>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</si>
  <si>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</si>
  <si>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</si>
  <si>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</si>
  <si>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</si>
  <si>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</si>
  <si>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</si>
  <si>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</si>
  <si>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</si>
  <si>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</si>
  <si>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</si>
  <si>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</si>
  <si>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</si>
  <si>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</si>
  <si>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</si>
  <si>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</si>
  <si>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</si>
  <si>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</si>
  <si>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</si>
  <si>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</si>
  <si>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</si>
  <si>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</si>
  <si>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</si>
  <si>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</si>
  <si>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</si>
  <si>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</si>
  <si>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</si>
  <si>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</si>
  <si>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</si>
  <si>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</si>
  <si>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</si>
  <si>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</si>
  <si>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</si>
  <si>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</si>
  <si>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</si>
  <si>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</si>
  <si>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</si>
  <si>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</si>
  <si>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</si>
  <si>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</si>
  <si>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</si>
  <si>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</si>
  <si>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</si>
  <si>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</si>
  <si>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</si>
  <si>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</si>
  <si>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</si>
  <si>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</si>
  <si>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</si>
  <si>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</si>
  <si>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</si>
  <si>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</si>
  <si>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</si>
  <si>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</si>
  <si>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</si>
  <si>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</si>
  <si>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</si>
  <si>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</si>
  <si>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</si>
  <si>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</si>
  <si>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</si>
  <si>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</si>
  <si>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</si>
  <si>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</si>
  <si>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</si>
  <si>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</si>
  <si>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</si>
  <si>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</si>
  <si>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</si>
  <si>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</si>
  <si>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</si>
  <si>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</si>
  <si>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</si>
  <si>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</si>
  <si>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</si>
  <si>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</si>
  <si>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</si>
  <si>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</si>
  <si>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</si>
  <si>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</si>
  <si>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</si>
  <si>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</si>
  <si>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</si>
  <si>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</si>
  <si>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</si>
  <si>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</si>
  <si>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</si>
  <si>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</si>
  <si>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</si>
  <si>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</si>
  <si>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</si>
  <si>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</si>
  <si>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</si>
  <si>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</si>
  <si>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</si>
  <si>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</si>
  <si>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</si>
  <si>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</si>
  <si>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</si>
  <si>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</si>
  <si>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</si>
  <si>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</si>
  <si>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</si>
  <si>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</si>
  <si>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</si>
  <si>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</si>
  <si>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</si>
  <si>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</si>
  <si>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</si>
  <si>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</si>
  <si>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</si>
  <si>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</si>
  <si>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</si>
  <si>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</si>
  <si>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</si>
  <si>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</si>
  <si>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</si>
  <si>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</si>
  <si>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</si>
  <si>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</si>
  <si>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</si>
  <si>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</si>
  <si>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</si>
  <si>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</si>
  <si>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</si>
  <si>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</si>
  <si>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</si>
  <si>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</si>
  <si>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</si>
  <si>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</si>
  <si>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</si>
  <si>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</si>
  <si>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</si>
  <si>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</si>
  <si>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</si>
  <si>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</si>
  <si>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</si>
  <si>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</si>
  <si>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</si>
  <si>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</si>
  <si>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</si>
  <si>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</si>
  <si>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</si>
  <si>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</si>
  <si>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</si>
  <si>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</si>
  <si>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</si>
  <si>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</si>
  <si>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</si>
  <si>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</si>
  <si>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</si>
  <si>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</si>
  <si>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</si>
  <si>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</si>
  <si>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</si>
  <si>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</si>
  <si>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</si>
  <si>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</si>
  <si>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</si>
  <si>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</si>
  <si>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</si>
  <si>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</si>
  <si>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</si>
  <si>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</si>
  <si>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</si>
  <si>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</si>
  <si>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</si>
  <si>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</si>
  <si>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</si>
  <si>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</si>
  <si>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</si>
  <si>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</si>
  <si>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</si>
  <si>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</si>
  <si>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</si>
  <si>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</si>
  <si>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</si>
  <si>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</si>
  <si>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</si>
  <si>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</si>
  <si>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</si>
  <si>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</si>
  <si>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</si>
  <si>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</si>
  <si>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</si>
  <si>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</si>
  <si>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</si>
  <si>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</si>
  <si>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</si>
  <si>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</si>
  <si>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</si>
  <si>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</si>
  <si>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</si>
  <si>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</si>
  <si>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</si>
  <si>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</si>
  <si>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</si>
  <si>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</si>
  <si>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</si>
  <si>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</si>
  <si>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</si>
  <si>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</si>
  <si>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</si>
  <si>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</si>
  <si>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</si>
  <si>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</si>
  <si>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</si>
  <si>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</si>
  <si>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</si>
  <si>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</si>
  <si>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</si>
  <si>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</si>
  <si>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</si>
  <si>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</si>
  <si>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</si>
  <si>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</si>
  <si>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</si>
  <si>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</si>
  <si>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</si>
  <si>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</si>
  <si>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</si>
  <si>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</si>
  <si>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</si>
  <si>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</si>
  <si>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</si>
  <si>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</si>
  <si>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</si>
  <si>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</si>
  <si>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</si>
  <si>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</si>
  <si>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</si>
  <si>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</si>
  <si>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</si>
  <si>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</si>
  <si>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</si>
  <si>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</si>
  <si>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</si>
  <si>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</si>
  <si>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</si>
  <si>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</si>
  <si>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</si>
  <si>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</si>
  <si>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</si>
  <si>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</si>
  <si>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</si>
  <si>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</si>
  <si>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</si>
  <si>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</si>
  <si>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</si>
  <si>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</si>
  <si>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</si>
  <si>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</si>
  <si>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</si>
  <si>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</si>
  <si>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</si>
  <si>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</si>
  <si>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</si>
  <si>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</si>
  <si>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</si>
  <si>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</si>
  <si>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</si>
  <si>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</si>
  <si>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</si>
  <si>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</si>
  <si>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</si>
  <si>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</si>
  <si>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</si>
  <si>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</si>
  <si>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</si>
  <si>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</si>
  <si>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</si>
  <si>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</si>
  <si>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</si>
  <si>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</si>
  <si>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</si>
  <si>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</si>
  <si>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</si>
  <si>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</si>
  <si>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</si>
  <si>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</si>
  <si>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</si>
  <si>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</si>
  <si>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</si>
  <si>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</si>
  <si>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</si>
  <si>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</si>
  <si>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</si>
  <si>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</si>
  <si>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</si>
  <si>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</si>
  <si>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</si>
  <si>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</si>
  <si>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</si>
  <si>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</si>
  <si>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</si>
  <si>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</si>
  <si>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</si>
  <si>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</si>
  <si>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</si>
  <si>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</si>
  <si>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</si>
  <si>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</si>
  <si>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</si>
  <si>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</si>
  <si>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</si>
  <si>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</si>
  <si>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</si>
  <si>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</si>
  <si>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</si>
  <si>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</si>
  <si>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</si>
  <si>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</si>
  <si>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</si>
  <si>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</si>
  <si>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</si>
  <si>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</si>
  <si>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</si>
  <si>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</si>
  <si>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</si>
  <si>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</si>
  <si>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</si>
  <si>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</si>
  <si>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</si>
  <si>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</si>
  <si>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</si>
  <si>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</si>
  <si>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</si>
  <si>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</si>
  <si>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</si>
  <si>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</si>
  <si>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</si>
  <si>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</si>
  <si>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</si>
  <si>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</si>
  <si>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</si>
  <si>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</si>
  <si>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</si>
  <si>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</si>
  <si>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</si>
  <si>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</si>
  <si>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</si>
  <si>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</si>
  <si>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</si>
  <si>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</si>
  <si>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</si>
  <si>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</si>
  <si>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</si>
  <si>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</si>
  <si>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</si>
  <si>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</si>
  <si>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</si>
  <si>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</si>
  <si>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</si>
  <si>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</si>
  <si>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</si>
  <si>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</si>
  <si>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</si>
  <si>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</si>
  <si>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</si>
  <si>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</si>
  <si>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</si>
  <si>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</si>
  <si>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</si>
  <si>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</si>
  <si>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</si>
  <si>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</si>
  <si>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</si>
  <si>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</si>
  <si>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</si>
  <si>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</si>
  <si>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</si>
  <si>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</si>
  <si>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</si>
  <si>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</si>
  <si>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</si>
  <si>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</si>
  <si>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</si>
  <si>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</si>
  <si>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</si>
  <si>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</si>
  <si>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</si>
  <si>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</si>
  <si>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</si>
  <si>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</si>
  <si>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</si>
  <si>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</si>
  <si>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</si>
  <si>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</si>
  <si>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</si>
  <si>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</si>
  <si>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</si>
  <si>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</si>
  <si>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</si>
  <si>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</si>
  <si>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</si>
  <si>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</si>
  <si>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</si>
  <si>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</si>
  <si>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</si>
  <si>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</si>
  <si>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</si>
  <si>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</si>
  <si>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</si>
  <si>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</si>
  <si>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</si>
  <si>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</si>
  <si>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</si>
  <si>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</si>
  <si>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</si>
  <si>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</si>
  <si>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</si>
  <si>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</si>
  <si>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</si>
  <si>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</si>
  <si>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</si>
  <si>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</si>
  <si>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</si>
  <si>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</si>
  <si>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</si>
  <si>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</si>
  <si>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</si>
  <si>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</si>
  <si>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</si>
  <si>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</si>
  <si>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</si>
  <si>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</si>
  <si>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</si>
  <si>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</si>
  <si>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</si>
  <si>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</si>
  <si>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</si>
  <si>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</si>
  <si>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</si>
  <si>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</si>
  <si>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</si>
  <si>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</si>
  <si>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</si>
  <si>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</si>
  <si>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</si>
  <si>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</si>
  <si>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</si>
  <si>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</si>
  <si>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</si>
  <si>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</si>
  <si>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</si>
  <si>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</si>
  <si>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</si>
  <si>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</si>
  <si>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</si>
  <si>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</si>
  <si>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</si>
  <si>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</si>
  <si>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</si>
  <si>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</si>
  <si>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</si>
  <si>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</si>
  <si>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</si>
  <si>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</si>
  <si>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</si>
  <si>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</si>
  <si>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</si>
  <si>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</si>
  <si>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</si>
  <si>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</si>
  <si>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</si>
  <si>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</si>
  <si>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</si>
  <si>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</si>
  <si>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</si>
  <si>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</si>
  <si>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</si>
  <si>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</si>
  <si>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</si>
  <si>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</si>
  <si>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</si>
  <si>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</si>
  <si>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</si>
  <si>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</si>
  <si>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</si>
  <si>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</si>
  <si>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</si>
  <si>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</si>
  <si>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</si>
  <si>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</si>
  <si>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</si>
  <si>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</si>
  <si>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</si>
  <si>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</si>
  <si>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</si>
  <si>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</si>
  <si>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</si>
  <si>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</si>
  <si>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</si>
  <si>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</si>
  <si>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</si>
  <si>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</si>
  <si>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</si>
  <si>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</si>
  <si>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</si>
  <si>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</si>
  <si>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</si>
  <si>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</si>
  <si>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</si>
  <si>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</si>
  <si>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</si>
  <si>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</si>
  <si>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</si>
  <si>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</si>
  <si>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</si>
  <si>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</si>
  <si>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</si>
  <si>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</si>
  <si>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</si>
  <si>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</si>
  <si>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</si>
  <si>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</si>
  <si>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</si>
  <si>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</si>
  <si>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</si>
  <si>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</si>
  <si>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</si>
  <si>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</si>
  <si>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</si>
  <si>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</si>
  <si>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</si>
  <si>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</si>
  <si>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</si>
  <si>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</si>
  <si>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</si>
  <si>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</si>
  <si>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</si>
  <si>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</si>
  <si>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</si>
  <si>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</si>
  <si>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</si>
  <si>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</si>
  <si>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</si>
  <si>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</si>
  <si>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</si>
  <si>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</si>
  <si>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</si>
  <si>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</si>
  <si>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</si>
  <si>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</si>
  <si>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</si>
  <si>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</si>
  <si>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</si>
  <si>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</si>
  <si>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</si>
  <si>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</si>
  <si>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</si>
  <si>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</si>
  <si>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</si>
  <si>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</si>
  <si>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</si>
  <si>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</si>
  <si>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</si>
  <si>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</si>
  <si>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</si>
  <si>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</si>
  <si>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</si>
  <si>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</si>
  <si>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</si>
  <si>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</si>
  <si>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</si>
  <si>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</si>
  <si>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</si>
  <si>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</si>
  <si>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</si>
  <si>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</si>
  <si>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</si>
  <si>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</si>
  <si>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</si>
  <si>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</si>
  <si>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</si>
  <si>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</si>
  <si>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</si>
  <si>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</si>
  <si>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</si>
  <si>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</si>
  <si>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</si>
  <si>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</si>
  <si>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</si>
  <si>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</si>
  <si>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</si>
  <si>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</si>
  <si>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</si>
  <si>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</si>
  <si>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</si>
  <si>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</si>
  <si>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</si>
  <si>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</si>
  <si>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</si>
  <si>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</si>
  <si>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</si>
  <si>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</si>
  <si>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</si>
  <si>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</si>
  <si>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</si>
  <si>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</si>
  <si>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</si>
  <si>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</si>
  <si>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</si>
  <si>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</si>
  <si>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</si>
  <si>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</si>
  <si>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</si>
  <si>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</si>
  <si>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</si>
  <si>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</si>
  <si>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</si>
  <si>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</si>
  <si>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</si>
  <si>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</si>
  <si>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</si>
  <si>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</si>
  <si>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</si>
  <si>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</si>
  <si>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</si>
  <si>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</si>
  <si>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</si>
  <si>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</si>
  <si>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</si>
  <si>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</si>
  <si>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</si>
  <si>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</si>
  <si>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</si>
  <si>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</si>
  <si>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</si>
  <si>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</si>
  <si>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</si>
  <si>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</si>
  <si>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</si>
  <si>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</si>
  <si>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</si>
  <si>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</si>
  <si>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</si>
  <si>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</si>
  <si>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</si>
  <si>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</si>
  <si>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</si>
  <si>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</si>
  <si>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</si>
  <si>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</si>
  <si>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</si>
  <si>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</si>
  <si>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</si>
  <si>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</si>
  <si>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</si>
  <si>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</si>
  <si>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</si>
  <si>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</si>
  <si>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</si>
  <si>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</si>
  <si>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</si>
  <si>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</si>
  <si>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</si>
  <si>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</si>
  <si>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</si>
  <si>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</si>
  <si>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</si>
  <si>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</si>
  <si>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</si>
  <si>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</si>
  <si>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</si>
  <si>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</si>
  <si>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</si>
  <si>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</si>
  <si>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</si>
  <si>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</si>
  <si>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</si>
  <si>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</si>
  <si>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</si>
  <si>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</si>
  <si>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</si>
  <si>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</si>
  <si>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</si>
  <si>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</si>
  <si>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</si>
  <si>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</si>
  <si>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</si>
  <si>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</si>
  <si>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</si>
  <si>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</si>
  <si>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</si>
  <si>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</si>
  <si>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</si>
  <si>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</si>
  <si>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</si>
  <si>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</si>
  <si>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</si>
  <si>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</si>
  <si>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</si>
  <si>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</si>
  <si>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</si>
  <si>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</si>
  <si>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</si>
  <si>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</si>
  <si>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</si>
  <si>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</si>
  <si>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</si>
  <si>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</si>
  <si>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</si>
  <si>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</si>
  <si>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</si>
  <si>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</si>
  <si>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</si>
  <si>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</si>
  <si>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</si>
  <si>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</si>
  <si>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</si>
  <si>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</si>
  <si>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</si>
  <si>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</si>
  <si>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</si>
  <si>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</si>
  <si>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</si>
  <si>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</si>
  <si>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</si>
  <si>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</si>
  <si>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</si>
  <si>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</si>
  <si>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</si>
  <si>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</si>
  <si>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</si>
  <si>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</si>
  <si>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</si>
  <si>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</si>
  <si>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</si>
  <si>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</si>
  <si>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</si>
  <si>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</si>
  <si>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</si>
  <si>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</si>
  <si>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</si>
  <si>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</si>
  <si>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</si>
  <si>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</si>
  <si>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</si>
  <si>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</si>
  <si>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</si>
  <si>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</si>
  <si>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</si>
  <si>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</si>
  <si>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</si>
  <si>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</si>
  <si>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</si>
  <si>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</si>
  <si>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</si>
  <si>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</si>
  <si>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</si>
  <si>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</si>
  <si>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</si>
  <si>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</si>
  <si>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</si>
  <si>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</si>
  <si>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</si>
  <si>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</si>
  <si>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</si>
  <si>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</si>
  <si>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</si>
  <si>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</si>
  <si>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</si>
  <si>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</si>
  <si>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</si>
  <si>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</si>
  <si>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</si>
  <si>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</si>
  <si>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</si>
  <si>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</si>
  <si>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</si>
  <si>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</si>
  <si>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</si>
  <si>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</si>
  <si>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</si>
  <si>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</si>
  <si>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</si>
  <si>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</si>
  <si>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</si>
  <si>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</si>
  <si>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</si>
  <si>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</si>
  <si>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</si>
  <si>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</si>
  <si>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</si>
  <si>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</si>
  <si>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</si>
  <si>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</si>
  <si>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</si>
  <si>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</si>
  <si>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</si>
  <si>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</si>
  <si>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</si>
  <si>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</si>
  <si>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</si>
  <si>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</si>
  <si>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</si>
  <si>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</si>
  <si>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</si>
  <si>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</si>
  <si>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</si>
  <si>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</si>
  <si>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</si>
  <si>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</si>
  <si>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</si>
  <si>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</si>
  <si>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</si>
  <si>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</si>
  <si>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</si>
  <si>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</si>
  <si>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</si>
  <si>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</si>
  <si>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</si>
  <si>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</si>
  <si>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</si>
  <si>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</si>
  <si>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</si>
  <si>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</si>
  <si>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</si>
  <si>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</si>
  <si>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</si>
  <si>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</si>
  <si>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</si>
  <si>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</si>
  <si>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</si>
  <si>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</si>
  <si>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</si>
  <si>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</si>
  <si>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</si>
  <si>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</si>
  <si>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</si>
  <si>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</si>
  <si>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</si>
  <si>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</si>
  <si>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</si>
  <si>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</si>
  <si>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</si>
  <si>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</si>
  <si>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</si>
  <si>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</si>
  <si>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</si>
  <si>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</si>
  <si>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</si>
  <si>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</si>
  <si>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</si>
  <si>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</si>
  <si>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</si>
  <si>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</si>
  <si>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</si>
  <si>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</si>
  <si>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</si>
  <si>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</si>
  <si>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</si>
  <si>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</si>
  <si>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</si>
  <si>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</si>
  <si>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</si>
  <si>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</si>
  <si>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</si>
  <si>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</si>
  <si>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</si>
  <si>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</si>
  <si>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</si>
  <si>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</si>
  <si>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</si>
  <si>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</si>
  <si>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</si>
  <si>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</si>
  <si>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</si>
  <si>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</si>
  <si>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</si>
  <si>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</si>
  <si>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</si>
  <si>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</si>
  <si>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</si>
  <si>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</si>
  <si>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</si>
  <si>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</si>
  <si>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</si>
  <si>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</si>
  <si>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</si>
  <si>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</si>
  <si>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</si>
  <si>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</si>
  <si>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</si>
  <si>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</si>
  <si>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</si>
  <si>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</si>
  <si>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</si>
  <si>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</si>
  <si>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</si>
  <si>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</si>
  <si>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</si>
  <si>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</si>
  <si>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</si>
  <si>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</si>
  <si>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</si>
  <si>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</si>
  <si>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</si>
  <si>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</si>
  <si>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</si>
  <si>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</si>
  <si>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</si>
  <si>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</si>
  <si>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</si>
  <si>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</si>
  <si>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</si>
  <si>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</si>
  <si>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</si>
  <si>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</si>
  <si>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</si>
  <si>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</si>
  <si>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</si>
  <si>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</si>
  <si>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</si>
  <si>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</si>
  <si>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</si>
  <si>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</si>
  <si>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</si>
  <si>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</si>
  <si>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</si>
  <si>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</si>
  <si>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</si>
  <si>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</si>
  <si>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</si>
  <si>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</si>
  <si>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</si>
  <si>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</si>
  <si>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</si>
  <si>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</si>
  <si>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</si>
  <si>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</si>
  <si>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</si>
  <si>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</si>
  <si>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</si>
  <si>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</si>
  <si>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</si>
  <si>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</si>
  <si>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</si>
  <si>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</si>
  <si>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</si>
  <si>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</si>
  <si>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</si>
  <si>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</si>
  <si>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</si>
  <si>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</si>
  <si>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</si>
  <si>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</si>
  <si>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</si>
  <si>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</si>
  <si>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</si>
  <si>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</si>
  <si>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</si>
  <si>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</si>
  <si>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</si>
  <si>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</si>
  <si>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</si>
  <si>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</si>
  <si>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</si>
  <si>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</si>
  <si>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</si>
  <si>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</si>
  <si>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</si>
  <si>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</si>
  <si>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</si>
  <si>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</si>
  <si>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</si>
  <si>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</si>
  <si>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</si>
  <si>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</si>
  <si>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</si>
  <si>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</si>
  <si>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</si>
  <si>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</si>
  <si>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</si>
  <si>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</si>
  <si>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</si>
  <si>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</si>
  <si>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</si>
  <si>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</si>
  <si>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</si>
  <si>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</si>
  <si>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</si>
  <si>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</si>
  <si>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</si>
  <si>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</si>
  <si>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</si>
  <si>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</si>
  <si>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</si>
  <si>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</si>
  <si>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</si>
  <si>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</si>
  <si>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</si>
  <si>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</si>
  <si>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</si>
  <si>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</si>
  <si>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</si>
  <si>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</si>
  <si>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</si>
  <si>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</si>
  <si>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</si>
  <si>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</si>
  <si>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</si>
  <si>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</si>
  <si>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</si>
  <si>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</si>
  <si>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</si>
  <si>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</si>
  <si>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</si>
  <si>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</si>
  <si>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</si>
  <si>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</si>
  <si>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</si>
  <si>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</si>
  <si>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</si>
  <si>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</si>
  <si>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</si>
  <si>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</si>
  <si>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</si>
  <si>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</si>
  <si>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</si>
  <si>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</si>
  <si>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</si>
  <si>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</si>
  <si>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</si>
  <si>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</si>
  <si>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</si>
  <si>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</si>
  <si>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</si>
  <si>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</si>
  <si>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</si>
  <si>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</si>
  <si>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</si>
  <si>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</si>
  <si>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</si>
  <si>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</si>
  <si>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</si>
  <si>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</si>
  <si>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</si>
  <si>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</si>
  <si>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</si>
  <si>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</si>
  <si>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</si>
  <si>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</si>
  <si>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</si>
  <si>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</si>
  <si>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</si>
  <si>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</si>
  <si>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</si>
  <si>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</si>
  <si>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</si>
  <si>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</si>
  <si>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</si>
  <si>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</si>
  <si>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</si>
  <si>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</si>
  <si>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</si>
  <si>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</si>
  <si>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</si>
  <si>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</si>
  <si>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</si>
  <si>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</si>
  <si>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</si>
  <si>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</si>
  <si>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</si>
  <si>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</si>
  <si>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</si>
  <si>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</si>
  <si>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</si>
  <si>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</si>
  <si>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</si>
  <si>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</si>
  <si>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</si>
  <si>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</si>
  <si>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</si>
  <si>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</si>
  <si>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</si>
  <si>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</si>
  <si>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</si>
  <si>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</si>
  <si>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</si>
  <si>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</si>
  <si>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</si>
  <si>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</si>
  <si>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</si>
  <si>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</si>
  <si>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</si>
  <si>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</si>
  <si>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</si>
  <si>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</si>
  <si>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</si>
  <si>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</si>
  <si>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</si>
  <si>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</si>
  <si>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</si>
  <si>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</si>
  <si>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</si>
  <si>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</si>
  <si>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</si>
  <si>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</si>
  <si>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</si>
  <si>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</si>
  <si>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</si>
  <si>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</si>
  <si>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</si>
  <si>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</si>
  <si>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</si>
  <si>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</si>
  <si>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</si>
  <si>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</si>
  <si>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</si>
  <si>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</si>
  <si>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</si>
  <si>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</si>
  <si>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</si>
  <si>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</si>
  <si>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</si>
  <si>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</si>
  <si>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</si>
  <si>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</si>
  <si>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</si>
  <si>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</si>
  <si>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</si>
  <si>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</si>
  <si>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</si>
  <si>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</si>
  <si>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</si>
  <si>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</si>
  <si>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</si>
  <si>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</si>
  <si>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</si>
  <si>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</si>
  <si>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</si>
  <si>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</si>
  <si>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</si>
  <si>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</si>
  <si>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</si>
  <si>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</si>
  <si>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</si>
  <si>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</si>
  <si>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</si>
  <si>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</si>
  <si>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</si>
  <si>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</si>
  <si>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</si>
  <si>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</si>
  <si>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</si>
  <si>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</si>
  <si>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</si>
  <si>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</si>
  <si>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</si>
  <si>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</si>
  <si>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</si>
  <si>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</si>
  <si>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</si>
  <si>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</si>
  <si>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</si>
  <si>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</si>
  <si>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</si>
  <si>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</si>
  <si>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</si>
  <si>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</si>
  <si>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</si>
  <si>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</si>
  <si>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</si>
  <si>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</si>
  <si>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</si>
  <si>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</si>
  <si>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</si>
  <si>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</si>
  <si>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</si>
  <si>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</si>
  <si>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</si>
  <si>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</si>
  <si>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</si>
  <si>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</si>
  <si>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</si>
  <si>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</si>
  <si>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</si>
  <si>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</si>
  <si>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</si>
  <si>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</si>
  <si>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</si>
  <si>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</si>
  <si>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</si>
  <si>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</si>
  <si>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</si>
  <si>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</si>
  <si>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</si>
  <si>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</si>
  <si>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</si>
  <si>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</si>
  <si>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</si>
  <si>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</si>
  <si>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</si>
  <si>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</si>
  <si>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</si>
  <si>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</si>
  <si>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</si>
  <si>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</si>
  <si>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</si>
  <si>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</si>
  <si>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</si>
  <si>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</si>
  <si>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</si>
  <si>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</si>
  <si>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</si>
  <si>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</si>
  <si>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</si>
  <si>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</si>
  <si>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</si>
  <si>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</si>
  <si>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</si>
  <si>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</si>
  <si>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</si>
  <si>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</si>
  <si>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</si>
  <si>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</si>
  <si>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</si>
  <si>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</si>
  <si>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</si>
  <si>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</si>
  <si>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</si>
  <si>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</si>
  <si>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</si>
  <si>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</si>
  <si>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</si>
  <si>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</si>
  <si>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</si>
  <si>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</si>
  <si>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</si>
  <si>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</si>
  <si>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</si>
  <si>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</si>
  <si>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</si>
  <si>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</si>
  <si>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</si>
  <si>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</si>
  <si>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</si>
  <si>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</si>
  <si>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</si>
  <si>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</si>
  <si>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</si>
  <si>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</si>
  <si>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</si>
  <si>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</si>
  <si>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</si>
  <si>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</si>
  <si>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</si>
  <si>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</si>
  <si>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</si>
  <si>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</si>
  <si>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</si>
  <si>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</si>
  <si>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</si>
  <si>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</si>
  <si>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</si>
  <si>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</si>
  <si>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</si>
  <si>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</si>
  <si>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</si>
  <si>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</si>
  <si>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</si>
  <si>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</si>
  <si>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</si>
  <si>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</si>
  <si>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</si>
  <si>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</si>
  <si>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</si>
  <si>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</si>
  <si>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</si>
  <si>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</si>
  <si>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</si>
  <si>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</si>
  <si>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</si>
  <si>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</si>
  <si>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</si>
  <si>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</si>
  <si>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</si>
  <si>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</si>
  <si>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</si>
  <si>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</si>
  <si>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</si>
  <si>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</si>
  <si>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</si>
  <si>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</si>
  <si>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</si>
  <si>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</si>
  <si>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</si>
  <si>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</si>
  <si>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</si>
  <si>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</si>
  <si>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</si>
  <si>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</si>
  <si>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</si>
  <si>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</si>
  <si>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</si>
  <si>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</si>
  <si>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</si>
  <si>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</si>
  <si>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</si>
  <si>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</si>
  <si>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</si>
  <si>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</si>
  <si>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</si>
  <si>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</si>
  <si>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</si>
  <si>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</si>
  <si>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</si>
  <si>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</si>
  <si>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</si>
  <si>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</si>
  <si>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</si>
  <si>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</si>
  <si>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</si>
  <si>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</si>
  <si>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</si>
  <si>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</si>
  <si>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</si>
  <si>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</si>
  <si>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</si>
  <si>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</si>
  <si>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</si>
  <si>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</si>
  <si>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</si>
  <si>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</si>
  <si>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</si>
  <si>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</si>
  <si>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</si>
  <si>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</si>
  <si>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</si>
  <si>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</si>
  <si>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</si>
  <si>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</si>
  <si>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</si>
  <si>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</si>
  <si>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</si>
  <si>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</si>
  <si>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</si>
  <si>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</si>
  <si>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</si>
  <si>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</si>
  <si>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</si>
  <si>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</si>
  <si>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</si>
  <si>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</si>
  <si>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</si>
  <si>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</si>
  <si>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</si>
  <si>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</si>
  <si>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</si>
  <si>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</si>
  <si>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</si>
  <si>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</si>
  <si>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</si>
  <si>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</si>
  <si>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</si>
  <si>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</si>
  <si>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</si>
  <si>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</si>
  <si>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</si>
  <si>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</si>
  <si>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</si>
  <si>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</si>
  <si>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</si>
  <si>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</si>
  <si>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</si>
  <si>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</si>
  <si>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</si>
  <si>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</si>
  <si>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</si>
  <si>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</si>
  <si>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</si>
  <si>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</si>
  <si>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</si>
  <si>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</si>
  <si>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</si>
  <si>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</si>
  <si>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</si>
  <si>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</si>
  <si>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</si>
  <si>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</si>
  <si>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</si>
  <si>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</si>
  <si>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</si>
  <si>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</si>
  <si>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</si>
  <si>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</si>
  <si>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</si>
  <si>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</si>
  <si>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</si>
  <si>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</si>
  <si>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</si>
  <si>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</si>
  <si>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</si>
  <si>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</si>
  <si>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</si>
  <si>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</si>
  <si>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</si>
  <si>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</si>
  <si>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</si>
  <si>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</si>
  <si>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</si>
  <si>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</si>
  <si>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</si>
  <si>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</si>
  <si>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</si>
  <si>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</si>
  <si>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</si>
  <si>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</si>
  <si>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</si>
  <si>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</si>
  <si>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</si>
  <si>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</si>
  <si>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</si>
  <si>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</si>
  <si>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</si>
  <si>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</si>
  <si>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</si>
  <si>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</si>
  <si>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</si>
  <si>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</si>
  <si>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</si>
  <si>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</si>
  <si>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</si>
  <si>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</si>
  <si>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</si>
  <si>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</si>
  <si>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</si>
  <si>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</si>
  <si>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</si>
  <si>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</si>
  <si>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</si>
  <si>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</si>
  <si>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</si>
  <si>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</si>
  <si>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</si>
  <si>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</si>
  <si>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</si>
  <si>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</si>
  <si>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</si>
  <si>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</si>
  <si>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</si>
  <si>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</si>
  <si>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</si>
  <si>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</si>
  <si>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</si>
  <si>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</si>
  <si>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</si>
  <si>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</si>
  <si>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</si>
  <si>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</si>
  <si>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</si>
  <si>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</si>
  <si>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</si>
  <si>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</si>
  <si>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</si>
  <si>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</si>
  <si>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</si>
  <si>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</si>
  <si>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</si>
  <si>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</si>
  <si>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</si>
  <si>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</si>
  <si>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</si>
  <si>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</si>
  <si>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</si>
  <si>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</si>
  <si>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</si>
  <si>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</si>
  <si>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</si>
  <si>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</si>
  <si>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</si>
  <si>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</si>
  <si>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</si>
  <si>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</si>
  <si>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</si>
  <si>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</si>
  <si>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</si>
  <si>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</si>
  <si>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</si>
  <si>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</si>
  <si>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</si>
  <si>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</si>
  <si>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</si>
  <si>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</si>
  <si>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</si>
  <si>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</si>
  <si>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</si>
  <si>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</si>
  <si>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</si>
  <si>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</si>
  <si>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</si>
  <si>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</si>
  <si>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</si>
  <si>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</si>
  <si>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</si>
  <si>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</si>
  <si>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</si>
  <si>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</si>
  <si>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</si>
  <si>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</si>
  <si>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</si>
  <si>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</si>
  <si>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</si>
  <si>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</si>
  <si>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</si>
  <si>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</si>
  <si>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</si>
  <si>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</si>
  <si>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</si>
  <si>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</si>
  <si>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</si>
  <si>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</si>
  <si>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</si>
  <si>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</si>
  <si>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</si>
  <si>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</si>
  <si>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</si>
  <si>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</si>
  <si>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</si>
  <si>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</si>
  <si>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</si>
  <si>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</si>
  <si>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</si>
  <si>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</si>
  <si>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</si>
  <si>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</si>
  <si>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</si>
  <si>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</si>
  <si>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</si>
  <si>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</si>
  <si>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</si>
  <si>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</si>
  <si>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</si>
  <si>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</si>
  <si>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</si>
  <si>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</si>
  <si>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</si>
  <si>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</si>
  <si>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</si>
  <si>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</si>
  <si>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</si>
  <si>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</si>
  <si>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</si>
  <si>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</si>
  <si>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</si>
  <si>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</si>
  <si>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</si>
  <si>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</si>
  <si>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</si>
  <si>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</si>
  <si>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</si>
  <si>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</si>
  <si>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</si>
  <si>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</si>
  <si>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</si>
  <si>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</si>
  <si>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</si>
  <si>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</si>
  <si>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</si>
  <si>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</si>
  <si>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</si>
  <si>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</si>
  <si>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</si>
  <si>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</si>
  <si>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</si>
  <si>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</si>
  <si>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</si>
  <si>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</si>
  <si>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</si>
  <si>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</si>
  <si>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</si>
  <si>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</si>
  <si>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</si>
  <si>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</si>
  <si>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</si>
  <si>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</si>
  <si>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</si>
  <si>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</si>
  <si>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</si>
  <si>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</si>
  <si>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</si>
  <si>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</si>
  <si>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</si>
  <si>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</si>
  <si>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</si>
  <si>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</si>
  <si>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</si>
  <si>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</si>
  <si>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</si>
  <si>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</si>
  <si>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</si>
  <si>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</si>
  <si>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</si>
  <si>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</si>
  <si>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</si>
  <si>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</si>
  <si>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</si>
  <si>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</si>
  <si>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</si>
  <si>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</si>
  <si>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</si>
  <si>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</si>
  <si>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</si>
  <si>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</si>
  <si>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</si>
  <si>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</si>
  <si>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</si>
  <si>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</si>
  <si>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</si>
  <si>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</si>
  <si>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</si>
  <si>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</si>
  <si>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</si>
  <si>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</si>
  <si>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</si>
  <si>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</si>
  <si>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</si>
  <si>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</si>
  <si>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</si>
  <si>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</si>
  <si>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</si>
  <si>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</si>
  <si>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</si>
  <si>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</si>
  <si>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</si>
  <si>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</si>
  <si>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</si>
  <si>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</si>
  <si>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</si>
  <si>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</si>
  <si>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</si>
  <si>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</si>
  <si>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</si>
  <si>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</si>
  <si>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</si>
  <si>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</si>
  <si>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</si>
  <si>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</si>
  <si>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</si>
  <si>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</si>
  <si>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</si>
  <si>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</si>
  <si>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</si>
  <si>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</si>
  <si>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</si>
  <si>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</si>
  <si>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</si>
  <si>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</si>
  <si>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</si>
  <si>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</si>
  <si>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</si>
  <si>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</si>
  <si>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</si>
  <si>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</si>
  <si>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</si>
  <si>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</si>
  <si>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</si>
  <si>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</si>
  <si>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</si>
  <si>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</si>
  <si>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</si>
  <si>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</si>
  <si>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</si>
  <si>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</si>
  <si>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</si>
  <si>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</si>
  <si>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</si>
  <si>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</si>
  <si>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</si>
  <si>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</si>
  <si>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</si>
  <si>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</si>
  <si>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</si>
  <si>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</si>
  <si>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</si>
  <si>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</si>
  <si>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</si>
  <si>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</si>
  <si>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</si>
  <si>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</si>
  <si>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</si>
  <si>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</si>
  <si>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</si>
  <si>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</si>
  <si>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</si>
  <si>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</si>
  <si>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</si>
  <si>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</si>
  <si>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</si>
  <si>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</si>
  <si>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</si>
  <si>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</si>
  <si>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</si>
  <si>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</si>
  <si>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</si>
  <si>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</si>
  <si>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</si>
  <si>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</si>
  <si>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</si>
  <si>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</si>
  <si>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</si>
  <si>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</si>
  <si>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</si>
  <si>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</si>
  <si>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</si>
  <si>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</si>
  <si>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</si>
  <si>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</si>
  <si>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</si>
  <si>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</si>
  <si>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</si>
  <si>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</si>
  <si>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</si>
  <si>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</si>
  <si>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</si>
  <si>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</si>
  <si>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</si>
  <si>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</si>
  <si>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</si>
  <si>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</si>
  <si>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</si>
  <si>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</si>
  <si>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</si>
  <si>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</si>
  <si>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</si>
  <si>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</si>
  <si>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</si>
  <si>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</si>
  <si>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</si>
  <si>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</si>
  <si>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</si>
  <si>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</si>
  <si>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</si>
  <si>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</si>
  <si>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</si>
  <si>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</si>
  <si>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</si>
  <si>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</si>
  <si>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</si>
  <si>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</si>
  <si>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</si>
  <si>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</si>
  <si>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</si>
  <si>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</si>
  <si>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</si>
  <si>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</si>
  <si>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</si>
  <si>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</si>
  <si>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</si>
  <si>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</si>
  <si>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</si>
  <si>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</si>
  <si>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</si>
  <si>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</si>
  <si>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</si>
  <si>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</si>
  <si>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</si>
  <si>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</si>
  <si>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</si>
  <si>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</si>
  <si>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</si>
  <si>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</si>
  <si>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</si>
  <si>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</si>
  <si>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</si>
  <si>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</si>
  <si>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</si>
  <si>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</si>
  <si>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</si>
  <si>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</si>
  <si>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</si>
  <si>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</si>
  <si>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</si>
  <si>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</si>
  <si>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</si>
  <si>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</si>
  <si>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</si>
  <si>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</si>
  <si>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</si>
  <si>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</si>
  <si>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</si>
  <si>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</si>
  <si>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</si>
  <si>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</si>
  <si>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</si>
  <si>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</si>
  <si>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</si>
  <si>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</si>
  <si>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</si>
  <si>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</si>
  <si>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</si>
  <si>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</si>
  <si>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</si>
  <si>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</si>
  <si>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</si>
  <si>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</si>
  <si>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</si>
  <si>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</si>
  <si>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</si>
  <si>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</si>
  <si>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</si>
  <si>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</si>
  <si>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</si>
  <si>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</si>
  <si>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</si>
  <si>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</si>
  <si>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</si>
  <si>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</si>
  <si>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</si>
  <si>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</si>
  <si>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</si>
  <si>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</si>
  <si>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</si>
  <si>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</si>
  <si>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</si>
  <si>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</si>
  <si>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</si>
  <si>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</si>
  <si>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</si>
  <si>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</si>
  <si>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</si>
  <si>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</si>
  <si>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</si>
  <si>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</si>
  <si>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</si>
  <si>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</si>
  <si>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</si>
  <si>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</si>
  <si>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</si>
  <si>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</si>
  <si>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</si>
  <si>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</si>
  <si>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</si>
  <si>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</si>
  <si>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</si>
  <si>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</si>
  <si>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</si>
  <si>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</si>
  <si>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</si>
  <si>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</si>
  <si>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</si>
  <si>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</si>
  <si>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</si>
  <si>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</si>
  <si>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</si>
  <si>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</si>
  <si>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</si>
  <si>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</si>
  <si>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</si>
  <si>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</si>
  <si>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</si>
  <si>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</si>
  <si>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</si>
  <si>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</si>
  <si>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</si>
  <si>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</si>
  <si>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</si>
  <si>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</si>
  <si>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</si>
  <si>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</si>
  <si>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</si>
  <si>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</si>
  <si>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</si>
  <si>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</si>
  <si>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</si>
  <si>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</si>
  <si>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</si>
  <si>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</si>
  <si>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</si>
  <si>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</si>
  <si>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</si>
  <si>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</si>
  <si>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</si>
  <si>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</si>
  <si>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</si>
  <si>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</si>
  <si>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</si>
  <si>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</si>
  <si>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</si>
  <si>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</si>
  <si>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</si>
  <si>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</si>
  <si>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</si>
  <si>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</si>
  <si>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</si>
  <si>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</si>
  <si>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</si>
  <si>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</si>
  <si>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</si>
  <si>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</si>
  <si>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</si>
  <si>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</si>
  <si>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</si>
  <si>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</si>
  <si>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</si>
  <si>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</si>
  <si>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</si>
  <si>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</si>
  <si>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</si>
  <si>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</si>
  <si>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</si>
  <si>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</si>
  <si>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</si>
  <si>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</si>
  <si>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</si>
  <si>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</si>
  <si>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</si>
  <si>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</si>
  <si>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</si>
  <si>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</si>
  <si>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</si>
  <si>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</si>
  <si>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</si>
  <si>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</si>
  <si>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</si>
  <si>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</si>
  <si>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</si>
  <si>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</si>
  <si>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</si>
  <si>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</si>
  <si>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</si>
  <si>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</si>
  <si>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</si>
  <si>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</si>
  <si>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</si>
  <si>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</si>
  <si>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</si>
  <si>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</si>
  <si>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</si>
  <si>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</si>
  <si>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</si>
  <si>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</si>
  <si>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</si>
  <si>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</si>
  <si>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</si>
  <si>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</si>
  <si>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</si>
  <si>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</si>
  <si>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</si>
  <si>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</si>
  <si>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</si>
  <si>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</si>
  <si>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</si>
  <si>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</si>
  <si>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</si>
  <si>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</si>
  <si>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</si>
  <si>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</si>
  <si>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</si>
  <si>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</si>
  <si>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</si>
  <si>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</si>
  <si>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</si>
  <si>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</si>
  <si>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</si>
  <si>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</si>
  <si>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</si>
  <si>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</si>
  <si>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</si>
  <si>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</si>
  <si>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</si>
  <si>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</si>
  <si>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</si>
  <si>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</si>
  <si>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</si>
  <si>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</si>
  <si>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</si>
  <si>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</si>
  <si>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</si>
  <si>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</si>
  <si>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</si>
  <si>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</si>
  <si>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</si>
  <si>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</si>
  <si>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</si>
  <si>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</si>
  <si>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</si>
  <si>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</si>
  <si>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</si>
  <si>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</si>
  <si>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</si>
  <si>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</si>
  <si>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</si>
  <si>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</si>
  <si>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</si>
  <si>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</si>
  <si>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</si>
  <si>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</si>
  <si>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</si>
  <si>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</si>
  <si>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</si>
  <si>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</si>
  <si>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</si>
  <si>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</si>
  <si>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</si>
  <si>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</si>
  <si>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</si>
  <si>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</si>
  <si>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</si>
  <si>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</si>
  <si>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</si>
  <si>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</si>
  <si>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</si>
  <si>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</si>
  <si>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</si>
  <si>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</si>
  <si>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</si>
  <si>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</si>
  <si>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</si>
  <si>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</si>
  <si>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</si>
  <si>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</si>
  <si>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</si>
  <si>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</si>
  <si>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</si>
  <si>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</si>
  <si>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</si>
  <si>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</si>
  <si>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</si>
  <si>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</si>
  <si>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</si>
  <si>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</si>
  <si>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</si>
  <si>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</si>
  <si>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</si>
  <si>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</si>
  <si>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</si>
  <si>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</si>
  <si>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</si>
  <si>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</si>
  <si>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</si>
  <si>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</si>
  <si>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</si>
  <si>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</si>
  <si>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</si>
  <si>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</si>
  <si>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</si>
  <si>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</si>
  <si>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</si>
  <si>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</si>
  <si>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</si>
  <si>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</si>
  <si>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</si>
  <si>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</si>
  <si>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</si>
  <si>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</si>
  <si>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</si>
  <si>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</si>
  <si>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</si>
  <si>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</si>
  <si>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</si>
  <si>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</si>
  <si>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</si>
  <si>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</si>
  <si>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</si>
  <si>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</si>
  <si>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</si>
  <si>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</si>
  <si>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</si>
  <si>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</si>
  <si>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</si>
  <si>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</si>
  <si>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</si>
  <si>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</si>
  <si>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</si>
  <si>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</si>
  <si>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</si>
  <si>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</si>
  <si>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</si>
  <si>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</si>
  <si>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</si>
  <si>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</si>
  <si>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</si>
  <si>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</si>
  <si>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</si>
  <si>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</si>
  <si>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</si>
  <si>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</si>
  <si>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</si>
  <si>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</si>
  <si>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</si>
  <si>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</si>
  <si>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</si>
  <si>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</si>
  <si>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</si>
  <si>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</si>
  <si>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</si>
  <si>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</si>
  <si>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</si>
  <si>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</si>
  <si>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</si>
  <si>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</si>
  <si>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</si>
  <si>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</si>
  <si>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</si>
  <si>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</si>
  <si>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</si>
  <si>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</si>
  <si>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</si>
  <si>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</si>
  <si>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</si>
  <si>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</si>
  <si>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</si>
  <si>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</si>
  <si>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</si>
  <si>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</si>
  <si>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</si>
  <si>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</si>
  <si>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</si>
  <si>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</si>
  <si>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</si>
  <si>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</si>
  <si>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</si>
  <si>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</si>
  <si>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</si>
  <si>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</si>
  <si>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</si>
  <si>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</si>
  <si>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</si>
  <si>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</si>
  <si>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</si>
  <si>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</si>
  <si>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</si>
  <si>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</si>
  <si>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</si>
  <si>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</si>
  <si>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</si>
  <si>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</si>
  <si>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</si>
  <si>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</si>
  <si>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</si>
  <si>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</si>
  <si>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</si>
  <si>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</si>
  <si>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</si>
  <si>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</si>
  <si>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</si>
  <si>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</si>
  <si>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</si>
  <si>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</si>
  <si>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</si>
  <si>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</si>
  <si>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</si>
  <si>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</si>
  <si>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</si>
  <si>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</si>
  <si>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</si>
  <si>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</si>
  <si>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</si>
  <si>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</si>
  <si>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</si>
  <si>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</si>
  <si>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</si>
  <si>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</si>
  <si>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</si>
  <si>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</si>
  <si>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</si>
  <si>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</si>
  <si>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</si>
  <si>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</si>
  <si>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</si>
  <si>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</si>
  <si>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</si>
  <si>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</si>
  <si>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</si>
  <si>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</si>
  <si>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</si>
  <si>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</si>
  <si>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</si>
  <si>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</si>
  <si>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</si>
  <si>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</si>
  <si>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</si>
  <si>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</si>
  <si>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</si>
  <si>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</si>
  <si>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</si>
  <si>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</si>
  <si>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</si>
  <si>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</si>
  <si>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</si>
  <si>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</si>
  <si>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</si>
  <si>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</si>
  <si>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</si>
  <si>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</si>
  <si>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</si>
  <si>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</si>
  <si>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</si>
  <si>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</si>
  <si>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</si>
  <si>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</si>
  <si>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</si>
  <si>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</si>
  <si>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</si>
  <si>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</si>
  <si>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</si>
  <si>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</si>
  <si>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</si>
  <si>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</si>
  <si>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</si>
  <si>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</si>
  <si>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</si>
  <si>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</si>
  <si>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</si>
  <si>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</si>
  <si>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</si>
  <si>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</si>
  <si>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</si>
  <si>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</si>
  <si>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</si>
  <si>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</si>
  <si>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</si>
  <si>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</si>
  <si>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</si>
  <si>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</si>
  <si>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</si>
  <si>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</si>
  <si>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</si>
  <si>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</si>
  <si>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</si>
  <si>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</si>
  <si>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</si>
  <si>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</si>
  <si>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</si>
  <si>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</si>
  <si>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</si>
  <si>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</si>
  <si>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</si>
  <si>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</si>
  <si>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</si>
  <si>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</si>
  <si>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</si>
  <si>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</si>
  <si>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</si>
  <si>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</si>
  <si>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</si>
  <si>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</si>
  <si>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</si>
  <si>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</si>
  <si>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</si>
  <si>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</si>
  <si>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</si>
  <si>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</si>
  <si>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</si>
  <si>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</si>
  <si>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</si>
  <si>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</si>
  <si>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</si>
  <si>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</si>
  <si>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</si>
  <si>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</si>
  <si>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</si>
  <si>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</si>
  <si>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</si>
  <si>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</si>
  <si>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</si>
  <si>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</si>
  <si>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</si>
  <si>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</si>
  <si>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</si>
  <si>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</si>
  <si>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</si>
  <si>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</si>
  <si>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</si>
  <si>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</si>
  <si>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</si>
  <si>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</si>
  <si>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</si>
  <si>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</si>
  <si>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</si>
  <si>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</si>
  <si>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</si>
  <si>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</si>
  <si>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</si>
  <si>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</si>
  <si>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</si>
  <si>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</si>
  <si>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</si>
  <si>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</si>
  <si>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</si>
  <si>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</si>
  <si>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</si>
  <si>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</si>
  <si>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</si>
  <si>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</si>
  <si>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</si>
  <si>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</si>
  <si>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</si>
  <si>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</si>
  <si>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</si>
  <si>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</si>
  <si>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</si>
  <si>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</si>
  <si>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</si>
  <si>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</si>
  <si>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</si>
  <si>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</si>
  <si>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</si>
  <si>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</si>
  <si>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</si>
  <si>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</si>
  <si>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</si>
  <si>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</si>
  <si>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</si>
  <si>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</si>
  <si>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</si>
  <si>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</si>
  <si>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</si>
  <si>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</si>
  <si>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</si>
  <si>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</si>
  <si>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</si>
  <si>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</si>
  <si>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</si>
  <si>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</si>
  <si>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</si>
  <si>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</si>
  <si>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</si>
  <si>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</si>
  <si>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</si>
  <si>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</si>
  <si>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</si>
  <si>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</si>
  <si>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</si>
  <si>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</si>
  <si>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</si>
  <si>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</si>
  <si>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</si>
  <si>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</si>
  <si>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</si>
  <si>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</si>
  <si>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</si>
  <si>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</si>
  <si>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</si>
  <si>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</si>
  <si>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</si>
  <si>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</si>
  <si>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</si>
  <si>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</si>
  <si>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</si>
  <si>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</si>
  <si>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</si>
  <si>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</si>
  <si>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</si>
  <si>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</si>
  <si>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</si>
  <si>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</si>
  <si>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</si>
  <si>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</si>
  <si>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</si>
  <si>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</si>
  <si>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</si>
  <si>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</si>
  <si>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</si>
  <si>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</si>
  <si>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</si>
  <si>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</si>
  <si>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</si>
  <si>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</si>
  <si>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</si>
  <si>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</si>
  <si>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</si>
  <si>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</si>
  <si>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</si>
  <si>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</si>
  <si>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</si>
  <si>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</si>
  <si>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居住项目</t>
  </si>
  <si>
    <t>地上</t>
  </si>
  <si>
    <t>洋房</t>
  </si>
  <si>
    <t>高德庄园</t>
    <phoneticPr fontId="3" type="noConversion"/>
  </si>
  <si>
    <t>正常</t>
  </si>
  <si>
    <t>联排</t>
  </si>
  <si>
    <t>九龙山风景区</t>
    <phoneticPr fontId="3" type="noConversion"/>
  </si>
  <si>
    <t>较差</t>
  </si>
  <si>
    <t>较好</t>
  </si>
  <si>
    <t>茅山湾壹号院</t>
    <phoneticPr fontId="3" type="noConversion"/>
  </si>
  <si>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</si>
  <si>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</si>
  <si>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</si>
  <si>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</si>
  <si>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</si>
  <si>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</si>
  <si>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</si>
  <si>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</si>
  <si>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</si>
  <si>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</si>
  <si>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</si>
  <si>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</si>
  <si>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</si>
  <si>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</si>
  <si>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</si>
  <si>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</si>
  <si>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</si>
  <si>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</si>
  <si>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</si>
  <si>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</si>
  <si>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</si>
  <si>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</si>
  <si>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</si>
  <si>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</si>
  <si>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</si>
  <si>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</si>
  <si>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</si>
  <si>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</si>
  <si>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</si>
  <si>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</si>
  <si>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</si>
  <si>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</si>
  <si>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</si>
  <si>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</si>
  <si>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</si>
  <si>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</si>
  <si>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</si>
  <si>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万福山庄</t>
    <phoneticPr fontId="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</si>
  <si>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</si>
  <si>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</si>
  <si>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</si>
  <si>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</si>
  <si>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</si>
  <si>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</si>
  <si>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</si>
  <si>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</si>
  <si>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</si>
  <si>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独栋</t>
    <phoneticPr fontId="21" type="noConversion"/>
  </si>
  <si>
    <t>不动产收益法</t>
  </si>
  <si>
    <t>土地（套用方法）</t>
  </si>
  <si>
    <t>否</t>
  </si>
  <si>
    <t>底商</t>
  </si>
  <si>
    <t>住宅</t>
    <phoneticPr fontId="26" type="noConversion"/>
  </si>
  <si>
    <t>联排</t>
    <phoneticPr fontId="21" type="noConversion"/>
  </si>
  <si>
    <t>叠拼</t>
    <phoneticPr fontId="21" type="noConversion"/>
  </si>
  <si>
    <t>洋房</t>
    <phoneticPr fontId="21" type="noConversion"/>
  </si>
  <si>
    <t>双拼</t>
  </si>
  <si>
    <t>双拼</t>
    <phoneticPr fontId="21" type="noConversion"/>
  </si>
  <si>
    <t>62地块住宅</t>
  </si>
  <si>
    <t>单位面积地价</t>
  </si>
  <si>
    <t>按租金收入计税</t>
  </si>
  <si>
    <t>次干道</t>
  </si>
  <si>
    <t>支路</t>
    <phoneticPr fontId="21" type="noConversion"/>
  </si>
  <si>
    <t>次干道</t>
    <phoneticPr fontId="21" type="noConversion"/>
  </si>
  <si>
    <t>彰明镇明月村二、三组</t>
  </si>
  <si>
    <t>绵阳市</t>
  </si>
  <si>
    <t>商业/办公用地</t>
  </si>
  <si>
    <t>大于1并且小于或等于3</t>
  </si>
  <si>
    <t>拍卖</t>
  </si>
  <si>
    <t>2018-06-21</t>
  </si>
  <si>
    <t>四川置信实业有限公司</t>
  </si>
  <si>
    <t>青莲镇</t>
  </si>
  <si>
    <t>小于或等于1</t>
  </si>
  <si>
    <t>2018-04-24</t>
  </si>
  <si>
    <t>江油市青莲竹园文化旅游开发有限公司</t>
  </si>
  <si>
    <t>贯山乡马凤村</t>
  </si>
  <si>
    <t>大于或等于1并且小于或等于3</t>
  </si>
  <si>
    <t>2018-03-08</t>
  </si>
  <si>
    <t>成涛</t>
  </si>
  <si>
    <t>工业园区攀羊路以南、宝羊路以东</t>
    <phoneticPr fontId="3" type="noConversion"/>
  </si>
  <si>
    <t>小于或等于4</t>
  </si>
  <si>
    <t>2018-01-05</t>
  </si>
  <si>
    <t>江油市创元开发建设投资公司</t>
  </si>
  <si>
    <t>太平镇绵江路东侧、南一环南侧</t>
  </si>
  <si>
    <t>2017-06-19</t>
  </si>
  <si>
    <t>绵阳华飞文化科技有限公司</t>
  </si>
  <si>
    <t>绵江路东侧、南一环南侧</t>
  </si>
  <si>
    <t>2016-12-28</t>
  </si>
  <si>
    <t>纪念碑街西段南侧、乾元路东侧</t>
  </si>
  <si>
    <t>小于或等于1.5</t>
  </si>
  <si>
    <t>2016-12-21</t>
  </si>
  <si>
    <t>江油新炜发展投资有限公司</t>
  </si>
  <si>
    <t>武都镇接官厅村</t>
  </si>
  <si>
    <t>小于或等于2</t>
  </si>
  <si>
    <t>2016-10-12</t>
  </si>
  <si>
    <t>绵阳市勇辉生态农业股份有限公司</t>
  </si>
  <si>
    <t>青莲镇文丰村2、3组</t>
  </si>
  <si>
    <t>小于或等于3.5</t>
  </si>
  <si>
    <t>2016-09-26</t>
  </si>
  <si>
    <t>江油市文化旅游发展有限公司</t>
  </si>
  <si>
    <t>青莲镇太华村4、5组</t>
  </si>
  <si>
    <t>青莲镇月圆村2组</t>
  </si>
  <si>
    <t>青莲镇月圆村7、8组</t>
  </si>
  <si>
    <t>青莲镇文丰村2组</t>
  </si>
  <si>
    <t>青莲镇太华村6组、月圆村5组</t>
  </si>
  <si>
    <t>青莲镇文丰村1、2组</t>
  </si>
  <si>
    <t>青莲镇文丰村2、3、5组</t>
  </si>
  <si>
    <t>青莲镇裕光村7组、太华村3、4组</t>
  </si>
  <si>
    <t>青莲镇月圆村2、8组</t>
  </si>
  <si>
    <t>青莲镇太华村3组</t>
  </si>
  <si>
    <t>青莲镇太华村4组</t>
  </si>
  <si>
    <t>青莲镇裕光村7组</t>
  </si>
  <si>
    <t>青莲镇诗仙村3、4组</t>
  </si>
  <si>
    <t>青莲镇文丰村1组</t>
  </si>
  <si>
    <t>青莲镇诗仙村2、3组</t>
  </si>
  <si>
    <t>青莲镇文丰村2、3组,太华村5组</t>
  </si>
  <si>
    <t>青莲镇太华村6组</t>
  </si>
  <si>
    <t>青莲镇月圆村2、7组</t>
  </si>
  <si>
    <t>青莲镇月园村5组</t>
  </si>
  <si>
    <t>小于或等于0.8</t>
  </si>
  <si>
    <t>2016-08-24</t>
  </si>
  <si>
    <t>三合镇羊河村3、6组</t>
  </si>
  <si>
    <t>2016-05-27</t>
  </si>
  <si>
    <t>江油市创元开发建设有限公司</t>
  </si>
  <si>
    <t>三合镇羊河村1、2、3、9组</t>
  </si>
  <si>
    <t>三合镇羊河村3、9组</t>
  </si>
  <si>
    <t>江油凯盛投资建设有限公司</t>
  </si>
  <si>
    <t>三合镇洋河村3、6组</t>
  </si>
  <si>
    <t>江油市飞达文化传媒有限公司</t>
  </si>
  <si>
    <t>三合镇羊河村1、3组</t>
  </si>
  <si>
    <t>三合镇羊河村3组</t>
  </si>
  <si>
    <t>三合镇羊河村1、2、9组、柏盖村2组</t>
  </si>
  <si>
    <t>三合镇洋河村1、6、8组</t>
  </si>
  <si>
    <t>三合镇洋河村1、3组</t>
  </si>
  <si>
    <t>·</t>
    <phoneticPr fontId="3" type="noConversion"/>
  </si>
  <si>
    <t>附表:</t>
    <phoneticPr fontId="3" type="noConversion"/>
  </si>
  <si>
    <t>数据更新日期：2018.9.29</t>
    <phoneticPr fontId="3" type="noConversion"/>
  </si>
  <si>
    <t>序号</t>
    <phoneticPr fontId="3" type="noConversion"/>
  </si>
  <si>
    <t>宗地位置</t>
    <phoneticPr fontId="3" type="noConversion"/>
  </si>
  <si>
    <t>宗地编号</t>
    <phoneticPr fontId="3" type="noConversion"/>
  </si>
  <si>
    <t>土地证号</t>
    <phoneticPr fontId="3" type="noConversion"/>
  </si>
  <si>
    <t>出让面积(㎡)</t>
    <phoneticPr fontId="3" type="noConversion"/>
  </si>
  <si>
    <t>出让面积(亩)</t>
    <phoneticPr fontId="3" type="noConversion"/>
  </si>
  <si>
    <t>建筑面积</t>
    <phoneticPr fontId="233" type="noConversion"/>
  </si>
  <si>
    <t>江油市青莲镇太华村六组</t>
    <phoneticPr fontId="3" type="noConversion"/>
  </si>
  <si>
    <t>C-05-02地块</t>
    <phoneticPr fontId="3" type="noConversion"/>
  </si>
  <si>
    <t>川（2016）江油市不动产权第0005206</t>
  </si>
  <si>
    <t>江油市青莲镇太华村三组</t>
    <phoneticPr fontId="3" type="noConversion"/>
  </si>
  <si>
    <t>C-02-01地块</t>
    <phoneticPr fontId="3" type="noConversion"/>
  </si>
  <si>
    <t>川（2016）江油市不动产权第0005204</t>
  </si>
  <si>
    <t>江油市青莲镇太华村六组、月圆村五组</t>
    <phoneticPr fontId="3" type="noConversion"/>
  </si>
  <si>
    <t>C-05-03地块</t>
    <phoneticPr fontId="3" type="noConversion"/>
  </si>
  <si>
    <t>川（2016)江油市不动产权第0005389</t>
  </si>
  <si>
    <t>C-05-08地块</t>
    <phoneticPr fontId="3" type="noConversion"/>
  </si>
  <si>
    <t>川（2016）江油市不动产权第0005374</t>
  </si>
  <si>
    <t>江油市青莲镇诗仙村二、三组</t>
    <phoneticPr fontId="3" type="noConversion"/>
  </si>
  <si>
    <t>D-01-02地块</t>
    <phoneticPr fontId="3" type="noConversion"/>
  </si>
  <si>
    <t>川（2016）江油市不动产权第0005198</t>
  </si>
  <si>
    <t>江油市青莲镇诗仙村三、四组</t>
    <phoneticPr fontId="3" type="noConversion"/>
  </si>
  <si>
    <t>D-02-04地块</t>
    <phoneticPr fontId="3" type="noConversion"/>
  </si>
  <si>
    <t>川（2016)江油市不动产权第0005199</t>
  </si>
  <si>
    <t>江油市青莲月圆村二、八组</t>
    <phoneticPr fontId="3" type="noConversion"/>
  </si>
  <si>
    <t>A-16-01地块</t>
    <phoneticPr fontId="3" type="noConversion"/>
  </si>
  <si>
    <t>川（2016）江油市不动产权第0005381</t>
  </si>
  <si>
    <t>江油市青莲文丰村二组</t>
    <phoneticPr fontId="3" type="noConversion"/>
  </si>
  <si>
    <t>A-14-05地块</t>
    <phoneticPr fontId="3" type="noConversion"/>
  </si>
  <si>
    <t>川（2016）江油市不动产权第0005382</t>
  </si>
  <si>
    <t>A-14-04地块</t>
    <phoneticPr fontId="3" type="noConversion"/>
  </si>
  <si>
    <t>川（2016）江油市不动产权第0005383</t>
  </si>
  <si>
    <t>江油市青莲月圆村二、七组</t>
    <phoneticPr fontId="3" type="noConversion"/>
  </si>
  <si>
    <t>A-15-02地块</t>
    <phoneticPr fontId="3" type="noConversion"/>
  </si>
  <si>
    <t>川（2016）江油市不动产权第0005377</t>
  </si>
  <si>
    <t>江油市青莲文丰村一组</t>
    <phoneticPr fontId="3" type="noConversion"/>
  </si>
  <si>
    <t>A-14-11地块</t>
    <phoneticPr fontId="3" type="noConversion"/>
  </si>
  <si>
    <t>川（2016）江油市不动产权第0005376</t>
  </si>
  <si>
    <t>江油市青莲文丰村一、二组</t>
    <phoneticPr fontId="3" type="noConversion"/>
  </si>
  <si>
    <t>A-14-13地块</t>
    <phoneticPr fontId="3" type="noConversion"/>
  </si>
  <si>
    <t>川（2016）江油市不动产权第0005384</t>
  </si>
  <si>
    <t>江油市青莲月圆村七、八组</t>
    <phoneticPr fontId="3" type="noConversion"/>
  </si>
  <si>
    <t>A-17-01地块</t>
    <phoneticPr fontId="3" type="noConversion"/>
  </si>
  <si>
    <t>川（2016）江油市不动产权第0005387</t>
  </si>
  <si>
    <t>江油市青莲文丰村一组</t>
    <phoneticPr fontId="3" type="noConversion"/>
  </si>
  <si>
    <t>A-14-12地块</t>
    <phoneticPr fontId="3" type="noConversion"/>
  </si>
  <si>
    <t>川（2016）江油市不动产权第0005372</t>
  </si>
  <si>
    <t>江油市青莲镇文丰村一、二组</t>
    <phoneticPr fontId="3" type="noConversion"/>
  </si>
  <si>
    <t>A-01-04地块</t>
    <phoneticPr fontId="3" type="noConversion"/>
  </si>
  <si>
    <t>川（2016）江油市不动产权第0005386</t>
  </si>
  <si>
    <t>江油市青莲镇文丰村一组</t>
    <phoneticPr fontId="3" type="noConversion"/>
  </si>
  <si>
    <t>A-01-05地块</t>
    <phoneticPr fontId="3" type="noConversion"/>
  </si>
  <si>
    <t>川（2016）江油市不动产权第0005385</t>
  </si>
  <si>
    <t>江油市青莲镇月园村二组</t>
    <phoneticPr fontId="3" type="noConversion"/>
  </si>
  <si>
    <t>A-01-06地块</t>
    <phoneticPr fontId="3" type="noConversion"/>
  </si>
  <si>
    <t>川（2016）江油市不动产权第0005388</t>
  </si>
  <si>
    <t>江油市青莲镇月园村二、八组</t>
    <phoneticPr fontId="3" type="noConversion"/>
  </si>
  <si>
    <t>A-01-07地块</t>
    <phoneticPr fontId="3" type="noConversion"/>
  </si>
  <si>
    <t>川（2016）江油市不动产权第0005373</t>
  </si>
  <si>
    <t>合计</t>
    <phoneticPr fontId="3" type="noConversion"/>
  </si>
  <si>
    <t>16-27</t>
  </si>
  <si>
    <t>2/3/5/7-15</t>
  </si>
  <si>
    <t>不动产收益法 (2)</t>
  </si>
  <si>
    <r>
      <t>不动产收益法</t>
    </r>
    <r>
      <rPr>
        <sz val="11"/>
        <color theme="1"/>
        <rFont val="Arial"/>
        <family val="2"/>
      </rPr>
      <t xml:space="preserve"> (2)</t>
    </r>
  </si>
  <si>
    <t>不动产收益法 (3)</t>
  </si>
  <si>
    <r>
      <t>不动产收益法</t>
    </r>
    <r>
      <rPr>
        <sz val="11"/>
        <color theme="1"/>
        <rFont val="Arial"/>
        <family val="2"/>
      </rPr>
      <t xml:space="preserve"> (3)</t>
    </r>
  </si>
  <si>
    <t>江油市青莲镇</t>
    <phoneticPr fontId="3" type="noConversion"/>
  </si>
  <si>
    <t>六通</t>
  </si>
  <si>
    <t>五通</t>
    <phoneticPr fontId="26" type="noConversion"/>
  </si>
  <si>
    <t>四通</t>
    <phoneticPr fontId="26" type="noConversion"/>
  </si>
  <si>
    <t>综合租金</t>
    <phoneticPr fontId="15" type="noConversion"/>
  </si>
  <si>
    <t>租金</t>
    <phoneticPr fontId="15" type="noConversion"/>
  </si>
  <si>
    <t>面积</t>
    <phoneticPr fontId="15" type="noConversion"/>
  </si>
  <si>
    <t>面积占比</t>
    <phoneticPr fontId="15" type="noConversion"/>
  </si>
  <si>
    <t>单面临街</t>
  </si>
  <si>
    <t>一层</t>
  </si>
  <si>
    <t>二层</t>
  </si>
  <si>
    <t>3层</t>
  </si>
  <si>
    <t>综合租金</t>
    <phoneticPr fontId="233" type="noConversion"/>
  </si>
  <si>
    <r>
      <t>4层-8</t>
    </r>
    <r>
      <rPr>
        <sz val="11"/>
        <color theme="1"/>
        <rFont val="宋体"/>
        <family val="3"/>
        <charset val="134"/>
        <scheme val="minor"/>
      </rPr>
      <t>层</t>
    </r>
    <phoneticPr fontId="233" type="noConversion"/>
  </si>
  <si>
    <t>商业</t>
    <phoneticPr fontId="26" type="noConversion"/>
  </si>
  <si>
    <t>不动产单元号</t>
  </si>
  <si>
    <t>土地使用证编号</t>
  </si>
  <si>
    <t>（剩余）土地使用年限</t>
  </si>
  <si>
    <t>证载</t>
  </si>
  <si>
    <t>实际</t>
  </si>
  <si>
    <t>510781104001GB00012W00000000</t>
  </si>
  <si>
    <t>其他商业服务</t>
  </si>
  <si>
    <r>
      <t>商业</t>
    </r>
    <r>
      <rPr>
        <sz val="9"/>
        <color rgb="FF000000"/>
        <rFont val="Arial"/>
        <family val="2"/>
      </rPr>
      <t>38.01</t>
    </r>
    <r>
      <rPr>
        <sz val="9"/>
        <color rgb="FF000000"/>
        <rFont val="华文细黑"/>
        <family val="3"/>
        <charset val="134"/>
      </rPr>
      <t>年</t>
    </r>
  </si>
  <si>
    <t>510781104001GB00013W00000000</t>
  </si>
  <si>
    <t>510781104001GB00014W00000000</t>
  </si>
  <si>
    <t>510781104001GB00015W00000000</t>
  </si>
  <si>
    <t>其他商业服务）</t>
  </si>
  <si>
    <t>510781104210GB00001W00000000</t>
  </si>
  <si>
    <t>510781104210GB00002W00000000</t>
  </si>
  <si>
    <t>510781104003GB00082W00000000</t>
  </si>
  <si>
    <t>510781104003GB00083W00000000</t>
  </si>
  <si>
    <t>510781104003GB00089W00000000</t>
  </si>
  <si>
    <t>510781104003GB00084W00000000</t>
  </si>
  <si>
    <t>510781104003GB00085W00000000</t>
  </si>
  <si>
    <t>510781104003GB00086W00000000</t>
  </si>
  <si>
    <t>510781104003GB00087W00000000</t>
  </si>
  <si>
    <t>510781104003GB00088W00000000</t>
  </si>
  <si>
    <t>510781104207GB00001W00000000</t>
  </si>
  <si>
    <t>510781104201GB00001W00000000</t>
  </si>
  <si>
    <t>510781104201GB00002W00000000</t>
  </si>
  <si>
    <t>510781104201GB00003W00000000</t>
  </si>
  <si>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</si>
  <si>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总地价</t>
    </r>
    <r>
      <rPr>
        <sz val="9"/>
        <color rgb="FF000000"/>
        <rFont val="Arial"/>
        <family val="2"/>
      </rPr>
      <t>/</t>
    </r>
    <r>
      <rPr>
        <sz val="9"/>
        <color rgb="FF000000"/>
        <rFont val="华文细黑"/>
        <family val="3"/>
        <charset val="134"/>
      </rPr>
      <t>万元</t>
    </r>
  </si>
  <si>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</si>
  <si>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</si>
  <si>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单位面积地价</t>
    </r>
    <r>
      <rPr>
        <sz val="9"/>
        <color rgb="FF000000"/>
        <rFont val="Arial"/>
        <family val="2"/>
      </rPr>
      <t>/</t>
    </r>
  </si>
  <si>
    <r>
      <t>元</t>
    </r>
    <r>
      <rPr>
        <sz val="9"/>
        <color rgb="FF000000"/>
        <rFont val="Arial"/>
        <family val="2"/>
      </rPr>
      <t>/</t>
    </r>
    <r>
      <rPr>
        <sz val="9"/>
        <color rgb="FF000000"/>
        <rFont val="华文细黑"/>
        <family val="3"/>
        <charset val="134"/>
      </rPr>
      <t>㎡</t>
    </r>
  </si>
  <si>
    <r>
      <t>江油市青莲镇太华村六组</t>
    </r>
    <r>
      <rPr>
        <sz val="9"/>
        <color rgb="FF000000"/>
        <rFont val="Arial"/>
        <family val="2"/>
      </rPr>
      <t>C-05-02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</si>
  <si>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0005206</t>
    </r>
  </si>
  <si>
    <t>­­——</t>
  </si>
  <si>
    <r>
      <t>红线外市政基础设施达</t>
    </r>
    <r>
      <rPr>
        <sz val="9"/>
        <color rgb="FF000000"/>
        <rFont val="Arial"/>
        <family val="2"/>
      </rPr>
      <t>“</t>
    </r>
    <r>
      <rPr>
        <sz val="9"/>
        <color rgb="FF000000"/>
        <rFont val="华文细黑"/>
        <family val="3"/>
        <charset val="134"/>
      </rPr>
      <t>六通</t>
    </r>
    <r>
      <rPr>
        <sz val="9"/>
        <color rgb="FF000000"/>
        <rFont val="Arial"/>
        <family val="2"/>
      </rPr>
      <t>”</t>
    </r>
    <r>
      <rPr>
        <sz val="9"/>
        <color rgb="FF000000"/>
        <rFont val="华文细黑"/>
        <family val="3"/>
        <charset val="134"/>
      </rPr>
      <t>、宗地红线内场地尚未平整</t>
    </r>
  </si>
  <si>
    <r>
      <t>江油市青莲镇太华村六组、月圆村五组</t>
    </r>
    <r>
      <rPr>
        <sz val="9"/>
        <color rgb="FF000000"/>
        <rFont val="Arial"/>
        <family val="2"/>
      </rPr>
      <t>C-05-03</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</si>
  <si>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0005389</t>
    </r>
  </si>
  <si>
    <r>
      <t>江油市青莲镇太华村六组、月圆村五组</t>
    </r>
    <r>
      <rPr>
        <sz val="9"/>
        <color rgb="FF000000"/>
        <rFont val="Arial"/>
        <family val="2"/>
      </rPr>
      <t>C-05-08</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</si>
  <si>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0005374</t>
    </r>
  </si>
  <si>
    <r>
      <t>江油市青莲镇太华村三组</t>
    </r>
    <r>
      <rPr>
        <sz val="9"/>
        <color rgb="FF000000"/>
        <rFont val="Arial"/>
        <family val="2"/>
      </rPr>
      <t>C-02-01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</si>
  <si>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0005204</t>
    </r>
  </si>
  <si>
    <r>
      <t>江油市青莲镇诗仙村二、三组</t>
    </r>
    <r>
      <rPr>
        <sz val="9"/>
        <color rgb="FF000000"/>
        <rFont val="Arial"/>
        <family val="2"/>
      </rPr>
      <t>D-01-02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</si>
  <si>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0005198</t>
    </r>
  </si>
  <si>
    <r>
      <t>江油市青莲镇诗仙村三、四组</t>
    </r>
    <r>
      <rPr>
        <sz val="9"/>
        <color rgb="FF000000"/>
        <rFont val="Arial"/>
        <family val="2"/>
      </rPr>
      <t>D-02-04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</si>
  <si>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0005199</t>
    </r>
  </si>
  <si>
    <r>
      <t>江油市青莲月圆村二、八组</t>
    </r>
    <r>
      <rPr>
        <sz val="9"/>
        <color rgb="FF000000"/>
        <rFont val="Arial"/>
        <family val="2"/>
      </rPr>
      <t>A-16-01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</si>
  <si>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0005381</t>
    </r>
  </si>
  <si>
    <r>
      <t>江油市青莲文丰村二组</t>
    </r>
    <r>
      <rPr>
        <sz val="9"/>
        <color rgb="FF000000"/>
        <rFont val="Arial"/>
        <family val="2"/>
      </rPr>
      <t>A-14-05</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</si>
  <si>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0005382</t>
    </r>
  </si>
  <si>
    <r>
      <t>江油市青莲文丰村二组</t>
    </r>
    <r>
      <rPr>
        <sz val="9"/>
        <color rgb="FF000000"/>
        <rFont val="Arial"/>
        <family val="2"/>
      </rPr>
      <t>A-14-04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</si>
  <si>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0005383</t>
    </r>
  </si>
  <si>
    <r>
      <t>江油市青莲月圆村二、七组</t>
    </r>
    <r>
      <rPr>
        <sz val="9"/>
        <color rgb="FF000000"/>
        <rFont val="Arial"/>
        <family val="2"/>
      </rPr>
      <t>A-15-02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</si>
  <si>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0005377</t>
    </r>
  </si>
  <si>
    <r>
      <t>江油市青莲文丰村一组</t>
    </r>
    <r>
      <rPr>
        <sz val="9"/>
        <color rgb="FF000000"/>
        <rFont val="Arial"/>
        <family val="2"/>
      </rPr>
      <t>A-14-11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</si>
  <si>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0005376</t>
    </r>
  </si>
  <si>
    <r>
      <t>江油市青莲文丰村一、二组</t>
    </r>
    <r>
      <rPr>
        <sz val="9"/>
        <color rgb="FF000000"/>
        <rFont val="Arial"/>
        <family val="2"/>
      </rPr>
      <t>A-14-13</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</si>
  <si>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0005384</t>
    </r>
  </si>
  <si>
    <r>
      <t>江油市青莲月圆村七、八组</t>
    </r>
    <r>
      <rPr>
        <sz val="9"/>
        <color rgb="FF000000"/>
        <rFont val="Arial"/>
        <family val="2"/>
      </rPr>
      <t>A-17-01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</si>
  <si>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0005387</t>
    </r>
  </si>
  <si>
    <r>
      <t>江油市青莲文丰村一组</t>
    </r>
    <r>
      <rPr>
        <sz val="9"/>
        <color rgb="FF000000"/>
        <rFont val="Arial"/>
        <family val="2"/>
      </rPr>
      <t>A-14-12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</si>
  <si>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0005372</t>
    </r>
  </si>
  <si>
    <r>
      <t>江油市青莲镇文丰村一组、二组</t>
    </r>
    <r>
      <rPr>
        <sz val="9"/>
        <color rgb="FF000000"/>
        <rFont val="Arial"/>
        <family val="2"/>
      </rPr>
      <t>A-01-04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</si>
  <si>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0005386</t>
    </r>
  </si>
  <si>
    <r>
      <t>江油市青莲镇文丰村一组</t>
    </r>
    <r>
      <rPr>
        <sz val="9"/>
        <color rgb="FF000000"/>
        <rFont val="Arial"/>
        <family val="2"/>
      </rPr>
      <t>A-01-05</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</si>
  <si>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0005385</t>
    </r>
  </si>
  <si>
    <r>
      <t>江油市青莲镇月园村二组</t>
    </r>
    <r>
      <rPr>
        <sz val="9"/>
        <color rgb="FF000000"/>
        <rFont val="Arial"/>
        <family val="2"/>
      </rPr>
      <t>A-01-06</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</si>
  <si>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0005388</t>
    </r>
  </si>
  <si>
    <r>
      <t>江油市青莲镇月园村二组、八组</t>
    </r>
    <r>
      <rPr>
        <sz val="9"/>
        <color rgb="FF000000"/>
        <rFont val="Arial"/>
        <family val="2"/>
      </rPr>
      <t>A-01-07</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</si>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</sst>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theme="1"/>
      <name val="宋体"/>
      <family val="3"/>
      <charset val="134"/>
      <scheme val="minor"/>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2" fillId="8" borderId="0" xfId="0" applyFont="1" applyFill="1" applyAlignment="1"/>
    <xf numFmtId="0" fontId="0" fillId="6" borderId="0" xfId="0"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5"/>
    <xf numFmtId="0" fontId="127" fillId="6" borderId="0" xfId="15" applyFont="1" applyFill="1"/>
    <xf numFmtId="0" fontId="86" fillId="6" borderId="0" xfId="15" applyFill="1"/>
    <xf numFmtId="0" fontId="0" fillId="6" borderId="0" xfId="0" applyFill="1">
      <alignment vertical="center"/>
    </xf>
    <xf numFmtId="0" fontId="127" fillId="6" borderId="0" xfId="0" applyFont="1" applyFill="1" applyAlignment="1"/>
    <xf numFmtId="0" fontId="277" fillId="0" borderId="0" xfId="2" applyFont="1">
      <alignment vertical="center"/>
    </xf>
    <xf numFmtId="0" fontId="145" fillId="0" borderId="0" xfId="2">
      <alignment vertical="center"/>
    </xf>
    <xf numFmtId="0" fontId="180" fillId="0" borderId="2" xfId="2" applyFont="1" applyBorder="1" applyAlignment="1">
      <alignment horizontal="center" vertical="center"/>
    </xf>
    <xf numFmtId="0" fontId="164" fillId="0" borderId="2" xfId="2" applyFont="1" applyBorder="1">
      <alignment vertical="center"/>
    </xf>
    <xf numFmtId="0" fontId="164" fillId="0" borderId="2" xfId="2" applyFont="1" applyBorder="1" applyAlignment="1">
      <alignment horizontal="center" vertical="center"/>
    </xf>
    <xf numFmtId="0" fontId="81" fillId="0" borderId="5" xfId="2" applyFont="1" applyFill="1" applyBorder="1" applyAlignment="1">
      <alignment horizontal="center" vertical="center" wrapText="1"/>
    </xf>
    <xf numFmtId="185" fontId="146" fillId="0" borderId="2" xfId="2" applyNumberFormat="1" applyFont="1" applyBorder="1">
      <alignment vertical="center"/>
    </xf>
    <xf numFmtId="0" fontId="164" fillId="8" borderId="2" xfId="2" applyFont="1" applyFill="1" applyBorder="1" applyAlignment="1">
      <alignment horizontal="center" vertical="center"/>
    </xf>
    <xf numFmtId="0" fontId="81" fillId="8" borderId="5" xfId="2" applyFont="1" applyFill="1" applyBorder="1" applyAlignment="1">
      <alignment horizontal="center" vertical="center" wrapText="1"/>
    </xf>
    <xf numFmtId="185" fontId="146" fillId="8" borderId="2" xfId="2" applyNumberFormat="1" applyFont="1" applyFill="1" applyBorder="1">
      <alignment vertical="center"/>
    </xf>
    <xf numFmtId="0" fontId="81" fillId="8" borderId="4" xfId="2" applyFont="1" applyFill="1" applyBorder="1" applyAlignment="1">
      <alignment horizontal="center" vertical="center" wrapText="1"/>
    </xf>
    <xf numFmtId="0" fontId="81" fillId="8" borderId="2" xfId="2" applyFont="1" applyFill="1" applyBorder="1" applyAlignment="1">
      <alignment horizontal="center" vertical="center" wrapText="1"/>
    </xf>
    <xf numFmtId="0" fontId="180" fillId="0" borderId="2" xfId="2" applyFont="1" applyBorder="1">
      <alignment vertical="center"/>
    </xf>
    <xf numFmtId="0" fontId="164" fillId="8" borderId="2" xfId="2" applyFont="1" applyFill="1" applyBorder="1">
      <alignment vertical="center"/>
    </xf>
    <xf numFmtId="0" fontId="145" fillId="0" borderId="0" xfId="2" applyFont="1">
      <alignment vertical="center"/>
    </xf>
    <xf numFmtId="14" fontId="11" fillId="0" borderId="2" xfId="0" applyNumberFormat="1" applyFont="1" applyBorder="1" applyAlignment="1" applyProtection="1">
      <alignment horizontal="center" vertical="center" wrapText="1"/>
      <protection locked="0"/>
    </xf>
    <xf numFmtId="179" fontId="145" fillId="0" borderId="0" xfId="2" applyNumberFormat="1">
      <alignment vertical="center"/>
    </xf>
    <xf numFmtId="179" fontId="180" fillId="0" borderId="2" xfId="2" applyNumberFormat="1" applyFont="1" applyBorder="1" applyAlignment="1">
      <alignment horizontal="center" vertical="center"/>
    </xf>
    <xf numFmtId="179" fontId="146" fillId="0" borderId="2" xfId="2" applyNumberFormat="1" applyFont="1" applyBorder="1">
      <alignment vertical="center"/>
    </xf>
    <xf numFmtId="179" fontId="146" fillId="8" borderId="2" xfId="2" applyNumberFormat="1" applyFont="1" applyFill="1" applyBorder="1">
      <alignment vertical="center"/>
    </xf>
    <xf numFmtId="179" fontId="0" fillId="0" borderId="0" xfId="0" applyNumberFormat="1">
      <alignment vertical="center"/>
    </xf>
    <xf numFmtId="176" fontId="76" fillId="8" borderId="0" xfId="0" applyNumberFormat="1" applyFont="1" applyFill="1" applyAlignment="1" applyProtection="1">
      <protection locked="0"/>
    </xf>
    <xf numFmtId="176" fontId="99" fillId="8" borderId="0" xfId="0" applyNumberFormat="1" applyFont="1" applyFill="1" applyAlignment="1" applyProtection="1">
      <protection locked="0"/>
    </xf>
    <xf numFmtId="176" fontId="71" fillId="8" borderId="0" xfId="0" applyNumberFormat="1" applyFont="1" applyFill="1" applyAlignment="1" applyProtection="1">
      <protection locked="0"/>
    </xf>
    <xf numFmtId="0" fontId="82" fillId="8" borderId="0" xfId="0" applyFont="1" applyFill="1" applyAlignment="1" applyProtection="1">
      <protection locked="0"/>
    </xf>
    <xf numFmtId="0" fontId="145" fillId="0" borderId="0" xfId="0" applyFont="1">
      <alignment vertical="center"/>
    </xf>
    <xf numFmtId="178" fontId="0" fillId="0" borderId="0" xfId="0" applyNumberFormat="1">
      <alignment vertical="center"/>
    </xf>
    <xf numFmtId="0" fontId="278" fillId="0" borderId="66" xfId="0" applyFont="1" applyBorder="1" applyAlignment="1">
      <alignment horizontal="center" vertical="center" wrapText="1"/>
    </xf>
    <xf numFmtId="0" fontId="278" fillId="0" borderId="66" xfId="0" applyFont="1" applyBorder="1" applyAlignment="1">
      <alignment horizontal="justify" vertical="center" wrapText="1"/>
    </xf>
    <xf numFmtId="0" fontId="278" fillId="0" borderId="66" xfId="0" applyFont="1" applyBorder="1" applyAlignment="1">
      <alignment vertical="center" wrapText="1"/>
    </xf>
    <xf numFmtId="0" fontId="279" fillId="0" borderId="66" xfId="0" applyFont="1" applyBorder="1" applyAlignment="1">
      <alignmen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19" xfId="2" applyFont="1" applyBorder="1" applyAlignment="1">
      <alignment horizontal="left" vertical="center"/>
    </xf>
    <xf numFmtId="0" fontId="278" fillId="0" borderId="39" xfId="0" applyFont="1" applyBorder="1" applyAlignment="1">
      <alignment horizontal="justify" vertical="center" wrapText="1"/>
    </xf>
    <xf numFmtId="0" fontId="278"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79" fillId="0" borderId="66" xfId="0" applyFont="1" applyBorder="1" applyAlignment="1">
      <alignment horizontal="right" vertical="center" wrapText="1"/>
    </xf>
    <xf numFmtId="0" fontId="278" fillId="0" borderId="35" xfId="0" applyFont="1" applyBorder="1" applyAlignment="1">
      <alignment horizontal="justify" vertical="center" wrapText="1"/>
    </xf>
    <xf numFmtId="0" fontId="278" fillId="0" borderId="80" xfId="0" applyFont="1" applyBorder="1" applyAlignment="1">
      <alignment horizontal="justify" vertical="center" wrapText="1"/>
    </xf>
    <xf numFmtId="0" fontId="278" fillId="0" borderId="37" xfId="0" applyFont="1" applyBorder="1" applyAlignment="1">
      <alignment horizontal="justify" vertical="center" wrapText="1"/>
    </xf>
    <xf numFmtId="0" fontId="278" fillId="0" borderId="36" xfId="0" applyFont="1" applyBorder="1" applyAlignment="1">
      <alignment horizontal="justify" vertical="center" wrapText="1"/>
    </xf>
    <xf numFmtId="0" fontId="278" fillId="0" borderId="38" xfId="0" applyFont="1" applyBorder="1" applyAlignment="1">
      <alignment horizontal="justify"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743;&#27833;&#8212;&#30005;&#31639;&#3492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43;&#27833;&#8212;&#30005;&#31639;&#3492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45338</v>
          </cell>
        </row>
        <row r="22">
          <cell r="B22">
            <v>723581.56500000018</v>
          </cell>
        </row>
      </sheetData>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10679</v>
          </cell>
        </row>
        <row r="22">
          <cell r="B22">
            <v>232903.23000000004</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Normal="100" workbookViewId="0">
      <selection activeCell="D33" sqref="D33"/>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5768.8平方米。根据《建设工程规划许可证》[]、《出让合同》[]，估价对象规划建筑面积为20190.8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2018年10月29日（评估专业人员勘察现场之日）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根据《国有土地使用证》[]，估价对象（分摊）出让国有建设用地使用权面积为5768.8平方米。根据《建设工程规划许可证》[]、《出让合同》[]，估价对象规划建筑面积为20190.8平方米。</v>
      </c>
    </row>
    <row r="16" spans="1:55" s="2876" customFormat="1">
      <c r="A16" s="2877" t="s">
        <v>2671</v>
      </c>
      <c r="B16" s="2878" t="str">
        <f>'预评函-1'!A22</f>
        <v>本次估价对象为出让国有建设用地使用权，《国有土地使用证》[]证载土地终止日期为商业2056年10月23日。截至估价期日，出让国有建设用地使用权剩余土地使用年限为。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估价期日：2018年10月29日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5768.8</v>
      </c>
    </row>
    <row r="44" spans="1:2">
      <c r="A44" s="2877" t="s">
        <v>2742</v>
      </c>
      <c r="B44" s="2878" t="str">
        <f>'预评函-2'!O3</f>
        <v>规划建筑面积/㎡</v>
      </c>
    </row>
    <row r="45" spans="1:2">
      <c r="A45" s="2877" t="s">
        <v>2724</v>
      </c>
      <c r="B45" s="2878">
        <f>'预评函-2'!O5</f>
        <v>20190.8</v>
      </c>
    </row>
    <row r="46" spans="1:2">
      <c r="A46" s="2877" t="s">
        <v>2725</v>
      </c>
      <c r="B46" s="2878">
        <f ca="1">'预评函-2'!P5</f>
        <v>3365</v>
      </c>
    </row>
    <row r="47" spans="1:2">
      <c r="A47" s="2877" t="s">
        <v>2726</v>
      </c>
      <c r="B47" s="2878">
        <f ca="1">'预评函-2'!Q5</f>
        <v>961</v>
      </c>
    </row>
    <row r="48" spans="1:2">
      <c r="A48" s="2877" t="s">
        <v>2727</v>
      </c>
      <c r="B48" s="2878">
        <f ca="1">'预评函-2'!R5</f>
        <v>1941</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5" t="str">
        <f>IF(B10="北京市","北京市",C10)&amp;F10&amp;B16&amp;"国有建设用地使用权"&amp;B9&amp;"预评估"</f>
        <v>出让国有建设用地使用权抵押价格预评估</v>
      </c>
      <c r="C1" s="3266"/>
      <c r="D1" s="3266"/>
      <c r="E1" s="3266"/>
      <c r="F1" s="3266"/>
      <c r="G1" s="3266"/>
      <c r="H1" s="3266"/>
      <c r="I1" s="3267"/>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43402</v>
      </c>
      <c r="C3" s="1661" t="s">
        <v>1997</v>
      </c>
      <c r="D3" s="1660">
        <f>B3</f>
        <v>43402</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71"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72"/>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68"/>
      <c r="C12" s="3269"/>
      <c r="D12" s="3270"/>
      <c r="E12" s="1697" t="s">
        <v>2063</v>
      </c>
      <c r="F12" s="3286" t="s">
        <v>2892</v>
      </c>
      <c r="G12" s="3287"/>
      <c r="H12" s="3287"/>
      <c r="I12" s="3288"/>
      <c r="J12" s="1692"/>
      <c r="K12" s="1772"/>
      <c r="L12" s="1721"/>
      <c r="M12" s="1721"/>
      <c r="N12" s="1692"/>
      <c r="O12" s="1693"/>
      <c r="P12" s="1692"/>
      <c r="Q12" s="1692"/>
      <c r="R12" s="1692"/>
      <c r="S12" s="1692"/>
      <c r="T12" s="1692"/>
      <c r="U12" s="1692"/>
    </row>
    <row r="13" spans="1:21">
      <c r="A13" s="1685" t="s">
        <v>2061</v>
      </c>
      <c r="B13" s="3268"/>
      <c r="C13" s="3269"/>
      <c r="D13" s="3270"/>
      <c r="E13" s="1697" t="s">
        <v>2063</v>
      </c>
      <c r="F13" s="3286" t="s">
        <v>2893</v>
      </c>
      <c r="G13" s="3287"/>
      <c r="H13" s="3287"/>
      <c r="I13" s="3288"/>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2993</v>
      </c>
      <c r="C16" s="1697" t="s">
        <v>1950</v>
      </c>
      <c r="D16" s="2645" t="s">
        <v>1951</v>
      </c>
      <c r="E16" s="1720" t="s">
        <v>2994</v>
      </c>
      <c r="F16" s="1720"/>
      <c r="G16" s="1720"/>
      <c r="H16" s="1720"/>
      <c r="I16" s="1684" t="s">
        <v>1956</v>
      </c>
      <c r="J16" s="1692"/>
      <c r="K16" s="2455" t="str">
        <f>IF(D17="","",D16&amp;TEXT(D17,"yyyy年m月d日;;"))</f>
        <v/>
      </c>
      <c r="L16" s="1697" t="str">
        <f>IF(OR(K16="",M16=""),"","、")</f>
        <v/>
      </c>
      <c r="M16" s="2455" t="str">
        <f>IF(E17="","",E16&amp;TEXT(E17,"yyyy年m月d日;;"))</f>
        <v>商业2056年10月23日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57276</v>
      </c>
      <c r="F17" s="1698"/>
      <c r="G17" s="1698"/>
      <c r="H17" s="1698"/>
      <c r="I17" s="1698"/>
      <c r="J17" s="1692"/>
      <c r="K17" s="2454" t="str">
        <f>CONCATENATE(K16,L16,M16,N16,O16,P16,Q16,R16,S16,T16,,U16)</f>
        <v>商业2056年10月23日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38.01</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83"/>
      <c r="E20" s="3284"/>
      <c r="F20" s="3284"/>
      <c r="G20" s="3284"/>
      <c r="H20" s="3284"/>
      <c r="I20" s="3285"/>
      <c r="J20" s="1692"/>
      <c r="K20" s="1772"/>
      <c r="L20" s="1721"/>
      <c r="M20" s="1721"/>
      <c r="N20" s="1692"/>
      <c r="O20" s="1693"/>
      <c r="P20" s="1692"/>
      <c r="Q20" s="1692"/>
      <c r="R20" s="1692"/>
      <c r="S20" s="1692"/>
      <c r="T20" s="1692"/>
      <c r="U20" s="1692"/>
    </row>
    <row r="21" spans="1:21">
      <c r="A21" s="1761" t="s">
        <v>1960</v>
      </c>
      <c r="B21" s="1762" t="s">
        <v>1961</v>
      </c>
      <c r="C21" s="1757">
        <f>'数据-汇总表'!E3</f>
        <v>20190.8</v>
      </c>
      <c r="D21" s="1758" t="s">
        <v>1962</v>
      </c>
      <c r="E21" s="3273" t="s">
        <v>2000</v>
      </c>
      <c r="F21" s="3274"/>
      <c r="G21" s="3274"/>
      <c r="H21" s="3274"/>
      <c r="I21" s="3275"/>
      <c r="J21" s="1692"/>
      <c r="K21" s="1772"/>
      <c r="L21" s="1721"/>
      <c r="M21" s="1721"/>
      <c r="N21" s="1692"/>
      <c r="O21" s="1693"/>
      <c r="P21" s="1692"/>
      <c r="Q21" s="1692"/>
      <c r="R21" s="1692"/>
      <c r="S21" s="1692"/>
      <c r="T21" s="1692"/>
      <c r="U21" s="1692"/>
    </row>
    <row r="22" spans="1:21">
      <c r="A22" s="3148" t="s">
        <v>951</v>
      </c>
      <c r="B22" s="1659" t="s">
        <v>1963</v>
      </c>
      <c r="C22" s="1684">
        <f>'数据-汇总表'!D3</f>
        <v>5768.8</v>
      </c>
      <c r="D22" s="1685" t="s">
        <v>1962</v>
      </c>
      <c r="E22" s="3273" t="s">
        <v>2894</v>
      </c>
      <c r="F22" s="3274"/>
      <c r="G22" s="3274"/>
      <c r="H22" s="3274"/>
      <c r="I22" s="3275"/>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76" t="s">
        <v>1968</v>
      </c>
      <c r="C24" s="3277"/>
      <c r="D24" s="3278" t="s">
        <v>1969</v>
      </c>
      <c r="E24" s="3279"/>
      <c r="F24" s="1706" t="s">
        <v>1970</v>
      </c>
      <c r="G24" s="1692"/>
      <c r="H24" s="1692"/>
      <c r="I24" s="1705"/>
      <c r="J24" s="1692"/>
      <c r="K24" s="3264"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6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6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91" t="s">
        <v>2003</v>
      </c>
      <c r="B31" s="1762" t="s">
        <v>2004</v>
      </c>
      <c r="C31" s="3289" t="s">
        <v>2995</v>
      </c>
      <c r="D31" s="3290"/>
      <c r="E31" s="1692"/>
      <c r="F31" s="1692"/>
      <c r="G31" s="1692"/>
      <c r="H31" s="1692"/>
      <c r="I31" s="1705"/>
      <c r="J31" s="1692"/>
      <c r="K31" s="2457"/>
      <c r="L31" s="1692"/>
      <c r="M31" s="1692"/>
      <c r="N31" s="1692"/>
      <c r="O31" s="1692"/>
      <c r="P31" s="1692"/>
      <c r="Q31" s="1692"/>
      <c r="R31" s="1692"/>
      <c r="S31" s="1692"/>
      <c r="T31" s="1692"/>
      <c r="U31" s="1692"/>
    </row>
    <row r="32" spans="1:21">
      <c r="A32" s="3291"/>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91"/>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92"/>
      <c r="B34" s="1659" t="s">
        <v>2007</v>
      </c>
      <c r="C34" s="3293"/>
      <c r="D34" s="3294"/>
      <c r="E34" s="1692"/>
      <c r="F34" s="1692"/>
      <c r="G34" s="1692"/>
      <c r="H34" s="1692"/>
      <c r="I34" s="1705"/>
      <c r="J34" s="1692"/>
      <c r="K34" s="2457"/>
      <c r="L34" s="1692"/>
      <c r="M34" s="1692"/>
      <c r="N34" s="1692"/>
      <c r="O34" s="1692"/>
      <c r="P34" s="1692"/>
      <c r="Q34" s="1692"/>
      <c r="R34" s="1692"/>
      <c r="S34" s="1692"/>
      <c r="T34" s="1692"/>
      <c r="U34" s="1692"/>
    </row>
    <row r="35" spans="1:21">
      <c r="A35" s="3295" t="s">
        <v>846</v>
      </c>
      <c r="B35" s="1720"/>
      <c r="C35" s="1774" t="str">
        <f>IF(B35="场地平整","——","具体情况：")</f>
        <v>具体情况：</v>
      </c>
      <c r="D35" s="3297"/>
      <c r="E35" s="3298"/>
      <c r="F35" s="3298"/>
      <c r="G35" s="3298"/>
      <c r="H35" s="3298"/>
      <c r="I35" s="3299"/>
      <c r="J35" s="1692"/>
      <c r="K35" s="1773"/>
      <c r="L35" s="1721"/>
      <c r="M35" s="1721"/>
      <c r="N35" s="1692"/>
      <c r="O35" s="1693"/>
      <c r="P35" s="1692"/>
      <c r="Q35" s="1692"/>
      <c r="R35" s="1692"/>
      <c r="S35" s="1692"/>
      <c r="T35" s="1692"/>
      <c r="U35" s="1692"/>
    </row>
    <row r="36" spans="1:21">
      <c r="A36" s="3291"/>
      <c r="B36" s="3300" t="s">
        <v>2056</v>
      </c>
      <c r="C36" s="3301"/>
      <c r="D36" s="1790"/>
      <c r="E36" s="3302"/>
      <c r="F36" s="3302"/>
      <c r="G36" s="1685" t="str">
        <f>IF(B35="场地未平整","估价结果处理","")</f>
        <v/>
      </c>
      <c r="H36" s="3303"/>
      <c r="I36" s="3303"/>
      <c r="J36" s="1692"/>
      <c r="K36" s="1773"/>
      <c r="L36" s="1721"/>
      <c r="M36" s="1721"/>
      <c r="N36" s="1692"/>
      <c r="O36" s="1693"/>
      <c r="P36" s="1692"/>
      <c r="Q36" s="1692"/>
      <c r="R36" s="1692"/>
      <c r="S36" s="1692"/>
      <c r="T36" s="1692"/>
      <c r="U36" s="1692"/>
    </row>
    <row r="37" spans="1:21" ht="28.5">
      <c r="A37" s="3291"/>
      <c r="B37" s="3280"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1"/>
      <c r="B38" s="3281"/>
      <c r="C38" s="1667" t="s">
        <v>849</v>
      </c>
      <c r="D38" s="1789">
        <f>ROUNDDOWN(MIN(('数据-取费表'!$B$2-D37)/365,D34),1)</f>
        <v>118.9</v>
      </c>
      <c r="E38" s="1725" t="s">
        <v>850</v>
      </c>
      <c r="F38" s="1692"/>
      <c r="G38" s="1692"/>
      <c r="H38" s="1692"/>
      <c r="I38" s="1705"/>
      <c r="J38" s="1692"/>
      <c r="K38" s="1773"/>
      <c r="L38" s="1692"/>
      <c r="M38" s="1692"/>
      <c r="N38" s="1692"/>
      <c r="O38" s="1692"/>
      <c r="P38" s="1692"/>
      <c r="Q38" s="1692"/>
      <c r="R38" s="1692"/>
      <c r="S38" s="1692"/>
      <c r="T38" s="1692"/>
      <c r="U38" s="1692"/>
    </row>
    <row r="39" spans="1:21">
      <c r="A39" s="3292"/>
      <c r="B39" s="328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63" t="s">
        <v>1987</v>
      </c>
      <c r="T40" s="1729" t="str">
        <f>NUMBERSTRING(7-K40,1)&amp;"通"</f>
        <v>七通</v>
      </c>
      <c r="U40" s="1692"/>
    </row>
    <row r="41" spans="1:21">
      <c r="A41" s="1661"/>
      <c r="B41" s="3296" t="s">
        <v>1721</v>
      </c>
      <c r="C41" s="3296"/>
      <c r="D41" s="3296"/>
      <c r="E41" s="3296"/>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3"/>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面积表!E7</f>
        <v>5768.8</v>
      </c>
      <c r="B3" s="22">
        <f>IF(C3="否",G5-AT5,G5)</f>
        <v>20190.8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20190.8</v>
      </c>
      <c r="H5" s="27">
        <f t="shared" ref="H5:AT5" si="0">SUM(H13:H641)</f>
        <v>20190.8</v>
      </c>
      <c r="I5" s="27">
        <f t="shared" si="0"/>
        <v>20190.8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20190.8</v>
      </c>
      <c r="BA5" s="29">
        <f t="shared" si="1"/>
        <v>20190.8</v>
      </c>
      <c r="BB5" s="29">
        <f t="shared" si="1"/>
        <v>20190.8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5768.8</v>
      </c>
      <c r="F6" s="27" t="s">
        <v>1</v>
      </c>
      <c r="G6" s="27" t="s">
        <v>2</v>
      </c>
      <c r="H6" s="33">
        <f>SUMIF(I$12:AB$12,"总值",I6:AB6)</f>
        <v>5768.8</v>
      </c>
      <c r="I6" s="27">
        <f t="shared" ref="I6:AB6" si="2">ROUND($A$3*I5/$B$3,2)</f>
        <v>5768.8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5768.8</v>
      </c>
      <c r="AZ6" s="27" t="s">
        <v>3</v>
      </c>
      <c r="BA6" s="27">
        <f>ROUND($AY$6*BA5/$AZ$5,2)</f>
        <v>5768.8</v>
      </c>
      <c r="BB6" s="27">
        <f>ROUND($AY$6*BB5/$AZ$5,2)</f>
        <v>5768.8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2996</v>
      </c>
      <c r="J9" s="51"/>
      <c r="K9" s="3018" t="s">
        <v>951</v>
      </c>
      <c r="L9" s="51"/>
      <c r="M9" s="3018" t="s">
        <v>951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2994</v>
      </c>
      <c r="J10" s="51"/>
      <c r="K10" s="3020" t="s">
        <v>951</v>
      </c>
      <c r="L10" s="51"/>
      <c r="M10" s="3020" t="s">
        <v>951</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v>
      </c>
      <c r="BD10" s="69" t="str">
        <f>M9</f>
        <v>——</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3056</v>
      </c>
      <c r="J11" s="71"/>
      <c r="K11" s="3019" t="s">
        <v>3056</v>
      </c>
      <c r="L11" s="71"/>
      <c r="M11" s="70" t="s">
        <v>3056</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v>
      </c>
      <c r="BD11" s="50" t="str">
        <f>M10</f>
        <v>——</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底商</v>
      </c>
      <c r="BC12" s="79" t="str">
        <f>K11</f>
        <v>底商</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219">
        <v>36987</v>
      </c>
      <c r="D13" s="3014" t="s">
        <v>1678</v>
      </c>
      <c r="E13" s="27">
        <f t="shared" ref="E13:E20" si="6">IF($C$3="是",ROUND($A$3*G13/$B$3,2),ROUND($A$3*(G13-AT13)/$B$3,2))</f>
        <v>5768.8</v>
      </c>
      <c r="F13" s="81"/>
      <c r="G13" s="82">
        <f t="shared" ref="G13:G20" si="7">H13+AC13+AT13</f>
        <v>20190.8</v>
      </c>
      <c r="H13" s="33">
        <f t="shared" ref="H13:H20" si="8">SUMIF(I$12:AB$12,"总值",I13:AB13)</f>
        <v>20190.8</v>
      </c>
      <c r="I13" s="3017">
        <f>面积表!G7</f>
        <v>20190.8</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36987</v>
      </c>
      <c r="AY13" s="995">
        <f t="shared" ref="AY13:AY20" si="11">ROUND($AY$6*AZ13/$AZ$5,2)</f>
        <v>5768.8</v>
      </c>
      <c r="AZ13" s="27">
        <f t="shared" ref="AZ13:AZ20" si="12">BA13+BL13</f>
        <v>20190.8</v>
      </c>
      <c r="BA13" s="27">
        <f t="shared" ref="BA13:BA20" si="13">SUM(BB13:BK13)</f>
        <v>20190.8</v>
      </c>
      <c r="BB13" s="27">
        <f t="shared" ref="BB13:BB20" si="14">IF($D13="是",I13-J13,0)</f>
        <v>20190.8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15" t="s">
        <v>203</v>
      </c>
      <c r="B2" s="3315"/>
      <c r="C2" s="3315"/>
      <c r="D2" s="1974" t="s">
        <v>204</v>
      </c>
      <c r="E2" s="106" t="s">
        <v>205</v>
      </c>
      <c r="F2" s="1983"/>
      <c r="G2" s="1197"/>
      <c r="H2" s="1198"/>
      <c r="I2" s="1199" t="s">
        <v>856</v>
      </c>
      <c r="J2" s="1983"/>
      <c r="K2" s="1983"/>
      <c r="L2" s="1983"/>
    </row>
    <row r="3" spans="1:16" ht="15.75" thickBot="1">
      <c r="A3" s="3316" t="s">
        <v>206</v>
      </c>
      <c r="B3" s="3316"/>
      <c r="C3" s="3316"/>
      <c r="D3" s="107">
        <f>'数据-基础表'!AY6</f>
        <v>5768.8</v>
      </c>
      <c r="E3" s="107">
        <f>'数据-基础表'!AZ5</f>
        <v>20190.8</v>
      </c>
      <c r="F3" s="1983"/>
      <c r="G3" s="280" t="s">
        <v>857</v>
      </c>
      <c r="H3" s="275" t="s">
        <v>858</v>
      </c>
      <c r="I3" s="1975">
        <f>ROUND('数据-基础表'!B3/'数据-基础表'!A3,2)</f>
        <v>3.5</v>
      </c>
      <c r="J3" s="1983"/>
      <c r="K3" s="1983"/>
      <c r="L3" s="1983"/>
    </row>
    <row r="4" spans="1:16" ht="15">
      <c r="A4" s="3317"/>
      <c r="B4" s="3318"/>
      <c r="C4" s="3319"/>
      <c r="D4" s="108" t="s">
        <v>204</v>
      </c>
      <c r="E4" s="109" t="s">
        <v>205</v>
      </c>
      <c r="F4" s="1983"/>
      <c r="G4" s="1200"/>
      <c r="H4" s="275" t="s">
        <v>859</v>
      </c>
      <c r="I4" s="1975">
        <f>ROUND(SUMIF('数据-基础表'!I9:AS9,"地上",'数据-基础表'!I5:AS5)/'数据-基础表'!A3,2)</f>
        <v>3.5</v>
      </c>
      <c r="J4" s="1983"/>
      <c r="K4" s="1983"/>
      <c r="L4" s="1983"/>
    </row>
    <row r="5" spans="1:16">
      <c r="A5" s="110" t="s">
        <v>207</v>
      </c>
      <c r="B5" s="3320" t="s">
        <v>230</v>
      </c>
      <c r="C5" s="3320"/>
      <c r="D5" s="111">
        <f>ROUND($D$3*E5/$E$3,2)</f>
        <v>0</v>
      </c>
      <c r="E5" s="112">
        <f>SUMIF('数据-基础表'!$11:$11,"住宅",'数据-基础表'!$5:$5)</f>
        <v>0</v>
      </c>
      <c r="F5" s="1983"/>
      <c r="G5" s="280" t="s">
        <v>860</v>
      </c>
      <c r="H5" s="275" t="s">
        <v>858</v>
      </c>
      <c r="I5" s="1975">
        <f>ROUND(E31/D31,2)</f>
        <v>3.5</v>
      </c>
      <c r="J5" s="1983"/>
      <c r="K5" s="1983"/>
      <c r="L5" s="1983"/>
    </row>
    <row r="6" spans="1:16" ht="15" thickBot="1">
      <c r="A6" s="113"/>
      <c r="B6" s="3320" t="s">
        <v>208</v>
      </c>
      <c r="C6" s="3320"/>
      <c r="D6" s="111">
        <f>ROUND($D$3*E6/$E$3,2)</f>
        <v>5768.8</v>
      </c>
      <c r="E6" s="112">
        <f>E3-E5</f>
        <v>20190.8</v>
      </c>
      <c r="F6" s="1983"/>
      <c r="G6" s="1200"/>
      <c r="H6" s="275" t="s">
        <v>859</v>
      </c>
      <c r="I6" s="1975">
        <f>ROUND(F31/D31,2)</f>
        <v>3.5</v>
      </c>
      <c r="J6" s="1983"/>
      <c r="K6" s="1983"/>
      <c r="L6" s="1983"/>
    </row>
    <row r="7" spans="1:16" ht="15">
      <c r="A7" s="3312"/>
      <c r="B7" s="3313"/>
      <c r="C7" s="3314"/>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5768.8</v>
      </c>
      <c r="E8" s="116">
        <f>SUMIF('数据-基础表'!BB10:BK10,"地上",'数据-基础表'!BB5:BK5)</f>
        <v>20190.8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5768.8</v>
      </c>
      <c r="E16" s="120">
        <f>SUM(E8:E15)</f>
        <v>20190.8</v>
      </c>
      <c r="F16" s="1983"/>
      <c r="G16" s="1985"/>
      <c r="H16" s="968" t="s">
        <v>219</v>
      </c>
      <c r="I16" s="969"/>
      <c r="J16" s="1983"/>
      <c r="K16" s="3306" t="s">
        <v>2568</v>
      </c>
      <c r="L16" s="3307"/>
      <c r="M16" s="3307"/>
      <c r="N16" s="3307"/>
      <c r="O16" s="3307"/>
      <c r="P16" s="3308"/>
    </row>
    <row r="17" spans="1:19" ht="15">
      <c r="A17" s="121" t="s">
        <v>216</v>
      </c>
      <c r="B17" s="122" t="s">
        <v>217</v>
      </c>
      <c r="C17" s="2297" t="s">
        <v>2315</v>
      </c>
      <c r="D17" s="108" t="s">
        <v>204</v>
      </c>
      <c r="E17" s="124" t="s">
        <v>205</v>
      </c>
      <c r="F17" s="125"/>
      <c r="G17" s="1365"/>
      <c r="H17" s="970" t="s">
        <v>218</v>
      </c>
      <c r="I17" s="971" t="s">
        <v>2314</v>
      </c>
      <c r="J17" s="1983"/>
      <c r="K17" s="3309" t="s">
        <v>2569</v>
      </c>
      <c r="L17" s="3310"/>
      <c r="M17" s="3311"/>
      <c r="N17" s="3309" t="s">
        <v>2570</v>
      </c>
      <c r="O17" s="3310"/>
      <c r="P17" s="3311"/>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f>'数据-基础表'!C13</f>
        <v>36987</v>
      </c>
      <c r="D19" s="111">
        <f t="shared" ref="D19:D26" si="1">ROUND($D$3*E19/$E$3,2)</f>
        <v>5768.8</v>
      </c>
      <c r="E19" s="134">
        <f t="shared" ref="E19:E26" si="2">SUM(F19:G19)</f>
        <v>20190.8</v>
      </c>
      <c r="F19" s="135">
        <f>'数据-基础表'!I13</f>
        <v>20190.8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5768.8</v>
      </c>
      <c r="S19" s="2300">
        <f t="shared" si="5"/>
        <v>20190.8</v>
      </c>
    </row>
    <row r="20" spans="1:19">
      <c r="A20" s="138"/>
      <c r="B20" s="115" t="s">
        <v>226</v>
      </c>
      <c r="C20" s="3024"/>
      <c r="D20" s="111">
        <f t="shared" si="1"/>
        <v>0</v>
      </c>
      <c r="E20" s="134">
        <f t="shared" si="2"/>
        <v>0</v>
      </c>
      <c r="F20" s="135"/>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5768.8</v>
      </c>
      <c r="E27" s="143">
        <f>IF(SUM(E19:E26)='数据-基础表'!BA5,SUM(E19:E26),IF(F27="地上面积有误","面积有误","地下面积有误"))</f>
        <v>20190.8</v>
      </c>
      <c r="F27" s="134">
        <f>IF(SUM(F19:F26)=E8,SUM(F19:F26),"地上面积有误")</f>
        <v>20190.8</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5768.8</v>
      </c>
      <c r="S27" s="275">
        <f>IF(SUM(S19:S26)=$E$3,SUM(S19:S26),SUM(S19:S26)&amp;"误差"&amp;ROUND(SUM(S19:S26)-E3,2))</f>
        <v>20190.8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5768.8</v>
      </c>
      <c r="E31" s="1371">
        <f>E27+E30</f>
        <v>20190.8</v>
      </c>
      <c r="F31" s="1372">
        <f>F27+F30</f>
        <v>20190.8</v>
      </c>
      <c r="G31" s="1373">
        <f>G27+G30</f>
        <v>0</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43402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f>'数据-汇总表'!C19</f>
        <v>36987</v>
      </c>
      <c r="B6" s="2336" t="str">
        <f>IF(A6=0,"","经营性")</f>
        <v>经营性</v>
      </c>
      <c r="C6" s="173" t="s">
        <v>2994</v>
      </c>
      <c r="D6" s="2307">
        <f>SUMIF(项目基本情况!D$15:I$15,C6,项目基本情况!D$18:I$18)</f>
        <v>40</v>
      </c>
      <c r="E6" s="2308">
        <f>IF(B6="","",SUMIF(项目基本情况!D$15:I$15,C6,项目基本情况!D$17:I$17))</f>
        <v>57276</v>
      </c>
      <c r="F6" s="174">
        <f>SUMIF(项目基本情况!D$15:I$15,C6,项目基本情况!D$19:I$19)</f>
        <v>38.01</v>
      </c>
      <c r="G6" s="175">
        <f>IF(ISERROR(ROUND(POWER(1+H6,D6-F6)*(POWER(1+H6,F6)-1)/(POWER(1+H6,D6)-1),3)),0,ROUND(POWER(1+H6,D6-F6)*(POWER(1+H6,F6)-1)/(POWER(1+H6,D6)-1),3))</f>
        <v>0.98299999999999998</v>
      </c>
      <c r="H6" s="3025">
        <v>0.05</v>
      </c>
      <c r="I6" s="3025">
        <v>5.5E-2</v>
      </c>
      <c r="J6" s="176">
        <v>8.5000000000000006E-2</v>
      </c>
      <c r="K6" s="179">
        <f>SUMIF('数据-汇总表'!C$19:C$33,'数据-取费表'!A6,'数据-汇总表'!E$19:E$33)</f>
        <v>20190.8</v>
      </c>
      <c r="L6" s="3026">
        <v>2800</v>
      </c>
      <c r="M6" s="177">
        <f t="shared" ref="M6:M14" si="0">ROUND(K6*L6/10000,0)</f>
        <v>5653</v>
      </c>
      <c r="N6" s="3027">
        <v>0</v>
      </c>
      <c r="O6" s="177">
        <f>IF($N$5="成新度","——",ROUND(M6*N6,0))</f>
        <v>0</v>
      </c>
      <c r="P6" s="178">
        <f>IF($N$5="成新度","——",M6-O6)</f>
        <v>5653</v>
      </c>
      <c r="Q6" s="3028">
        <v>0.2</v>
      </c>
      <c r="R6" s="179">
        <f>SUMIF('数据-汇总表'!C$19:C$33,A6,'数据-汇总表'!R$19:R$33)</f>
        <v>5768.8</v>
      </c>
      <c r="S6" s="132">
        <f>IF('数据-汇总表'!$I$17="按面积比例",SUMIF('数据-汇总表'!C$19:C$33,A6,'数据-汇总表'!K$19:K$33),SUMIF('数据-汇总表'!C$19:C$33,A6,'数据-汇总表'!N$19:N$33))</f>
        <v>0</v>
      </c>
      <c r="T6" s="2233" t="str">
        <f>IF($T$4="按面积比例",IF(ISERROR(ROUND($M$14*S6/S$16,0)),"0",ROUND($M$14*S6/S$16,0)),"需自行计算录入")</f>
        <v>0</v>
      </c>
      <c r="U6" s="180">
        <f>面积表!K40</f>
        <v>1.5</v>
      </c>
      <c r="V6" s="181">
        <v>0.03</v>
      </c>
      <c r="W6" s="181">
        <v>0.1</v>
      </c>
      <c r="X6" s="2320"/>
      <c r="Y6" s="182">
        <v>1</v>
      </c>
      <c r="Z6" s="183"/>
      <c r="AA6" s="176"/>
      <c r="AB6" s="176"/>
      <c r="AC6" s="2323"/>
      <c r="AD6" s="184">
        <v>1</v>
      </c>
      <c r="AE6" s="972">
        <f ca="1">IF(AN6="",0,SUMIF(INDIRECT("'"&amp;AN6&amp;"'"&amp;"!E:E"),$AE$5,INDIRECT("'"&amp;AN6&amp;"'"&amp;"!F:F")))</f>
        <v>36.01</v>
      </c>
      <c r="AF6" s="141"/>
      <c r="AG6" s="1212">
        <f>IF(AF6="",0,AE6-AF6)</f>
        <v>0</v>
      </c>
      <c r="AH6" s="141"/>
      <c r="AI6" s="187">
        <v>365</v>
      </c>
      <c r="AJ6" s="188"/>
      <c r="AK6" s="189">
        <v>1.4999999999999999E-2</v>
      </c>
      <c r="AL6" s="190">
        <v>1.5E-3</v>
      </c>
      <c r="AM6" s="3039">
        <v>0.01</v>
      </c>
      <c r="AN6" s="2391" t="s">
        <v>3053</v>
      </c>
      <c r="AO6" s="1999"/>
      <c r="AP6" s="1203">
        <f>ROUND(1-1/(1+H6)^F6,3)</f>
        <v>0.84299999999999997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2994</v>
      </c>
      <c r="D7" s="2307">
        <f>SUMIF(项目基本情况!D$15:I$15,C7,项目基本情况!D$18:I$18)</f>
        <v>40</v>
      </c>
      <c r="E7" s="2308" t="str">
        <f>IF(B7="","",SUMIF(项目基本情况!D$15:I$15,C7,项目基本情况!D$17:I$17))</f>
        <v/>
      </c>
      <c r="F7" s="174">
        <f>SUMIF(项目基本情况!D$15:I$15,C7,项目基本情况!D$19:I$19)</f>
        <v>38.01</v>
      </c>
      <c r="G7" s="175">
        <f t="shared" ref="G7:G11" si="2">IF(ISERROR(ROUND(POWER(1+H7,D7-F7)*(POWER(1+H7,F7)-1)/(POWER(1+H7,D7)-1),3)),0,ROUND(POWER(1+H7,D7-F7)*(POWER(1+H7,F7)-1)/(POWER(1+H7,D7)-1),3))</f>
        <v>0.98299999999999998</v>
      </c>
      <c r="H7" s="3025">
        <v>0.05</v>
      </c>
      <c r="I7" s="3025">
        <v>5.5E-2</v>
      </c>
      <c r="J7" s="176">
        <v>8.5000000000000006E-2</v>
      </c>
      <c r="K7" s="179">
        <f>SUMIF('数据-汇总表'!C$19:C$33,'数据-取费表'!A7,'数据-汇总表'!E$19:E$33)</f>
        <v>0</v>
      </c>
      <c r="L7" s="3026">
        <v>2800</v>
      </c>
      <c r="M7" s="177">
        <f t="shared" si="0"/>
        <v>0</v>
      </c>
      <c r="N7" s="3027">
        <v>0</v>
      </c>
      <c r="O7" s="177">
        <f t="shared" ref="O7:O14" si="3">IF($N$5="成新度","——",ROUND(M7*N7,0))</f>
        <v>0</v>
      </c>
      <c r="P7" s="178">
        <f t="shared" ref="P7:P14" si="4">IF($N$5="成新度","——",M7-O7)</f>
        <v>0</v>
      </c>
      <c r="Q7" s="3028">
        <v>0.2</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面积表!K41</f>
        <v>1.32</v>
      </c>
      <c r="V7" s="181">
        <v>0.03</v>
      </c>
      <c r="W7" s="181">
        <v>0.15</v>
      </c>
      <c r="X7" s="2320"/>
      <c r="Y7" s="182">
        <v>1</v>
      </c>
      <c r="Z7" s="183"/>
      <c r="AA7" s="176"/>
      <c r="AB7" s="176"/>
      <c r="AC7" s="2323"/>
      <c r="AD7" s="184">
        <v>1</v>
      </c>
      <c r="AE7" s="972" t="e">
        <f t="shared" ref="AE7:AE13" ca="1" si="6">IF(AN7="",0,SUMIF(INDIRECT("'"&amp;AN7&amp;"'"&amp;"!E:E"),$AE$5,INDIRECT("'"&amp;AN7&amp;"'"&amp;"!F:F")))</f>
        <v>#N/A</v>
      </c>
      <c r="AF7" s="141"/>
      <c r="AG7" s="1212">
        <f t="shared" ref="AG7:AG13" si="7">IF(AF7="",0,AE7-AF7)</f>
        <v>0</v>
      </c>
      <c r="AH7" s="141"/>
      <c r="AI7" s="187">
        <v>365</v>
      </c>
      <c r="AJ7" s="188"/>
      <c r="AK7" s="189">
        <v>1.4999999999999999E-2</v>
      </c>
      <c r="AL7" s="190">
        <v>1.5E-3</v>
      </c>
      <c r="AM7" s="3039">
        <v>0.01</v>
      </c>
      <c r="AN7" s="2391" t="s">
        <v>3204</v>
      </c>
      <c r="AO7" s="1999"/>
      <c r="AP7" s="1203">
        <f t="shared" ref="AP7:AP13" si="8">ROUND(1-1/(1+H7)^F7,3)</f>
        <v>0.84299999999999997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t="s">
        <v>2994</v>
      </c>
      <c r="D8" s="2307">
        <f>SUMIF(项目基本情况!D$15:I$15,C8,项目基本情况!D$18:I$18)</f>
        <v>40</v>
      </c>
      <c r="E8" s="2308" t="str">
        <f>IF(B8="","",SUMIF(项目基本情况!D$15:I$15,C8,项目基本情况!D$17:I$17))</f>
        <v/>
      </c>
      <c r="F8" s="174">
        <f>SUMIF(项目基本情况!D$15:I$15,C8,项目基本情况!D$19:I$19)</f>
        <v>38.01</v>
      </c>
      <c r="G8" s="175">
        <f t="shared" si="2"/>
        <v>0.98299999999999998</v>
      </c>
      <c r="H8" s="3025">
        <v>0.05</v>
      </c>
      <c r="I8" s="3025">
        <v>5.5E-2</v>
      </c>
      <c r="J8" s="176">
        <v>8.5000000000000006E-2</v>
      </c>
      <c r="K8" s="179">
        <f>SUMIF('数据-汇总表'!C$19:C$33,'数据-取费表'!A8,'数据-汇总表'!E$19:E$33)</f>
        <v>0</v>
      </c>
      <c r="L8" s="3026">
        <v>2800</v>
      </c>
      <c r="M8" s="177">
        <f>ROUND(K8*L8/10000,0)</f>
        <v>0</v>
      </c>
      <c r="N8" s="3027">
        <v>0</v>
      </c>
      <c r="O8" s="177">
        <f t="shared" si="3"/>
        <v>0</v>
      </c>
      <c r="P8" s="178">
        <f t="shared" si="4"/>
        <v>0</v>
      </c>
      <c r="Q8" s="3028">
        <v>0.15</v>
      </c>
      <c r="R8" s="179">
        <f>SUMIF('数据-汇总表'!C$19:C$33,A8,'数据-汇总表'!R$19:R$33)</f>
        <v>0</v>
      </c>
      <c r="S8" s="132">
        <f>IF('数据-汇总表'!$I$17="按面积比例",SUMIF('数据-汇总表'!C$19:C$33,A8,'数据-汇总表'!K$19:K$33),SUMIF('数据-汇总表'!C$19:C$33,A8,'数据-汇总表'!N$19:N$33))</f>
        <v>0</v>
      </c>
      <c r="T8" s="2233" t="str">
        <f t="shared" si="5"/>
        <v>0</v>
      </c>
      <c r="U8" s="180">
        <f>面积表!K42</f>
        <v>1.2</v>
      </c>
      <c r="V8" s="181">
        <v>2.5000000000000001E-2</v>
      </c>
      <c r="W8" s="181">
        <v>0.15</v>
      </c>
      <c r="X8" s="2320"/>
      <c r="Y8" s="182">
        <v>1</v>
      </c>
      <c r="Z8" s="183"/>
      <c r="AA8" s="176"/>
      <c r="AB8" s="176"/>
      <c r="AC8" s="2323"/>
      <c r="AD8" s="184">
        <v>1</v>
      </c>
      <c r="AE8" s="972" t="e">
        <f t="shared" ca="1" si="6"/>
        <v>#N/A</v>
      </c>
      <c r="AF8" s="141"/>
      <c r="AG8" s="1212">
        <f t="shared" si="7"/>
        <v>0</v>
      </c>
      <c r="AH8" s="141"/>
      <c r="AI8" s="187">
        <v>365</v>
      </c>
      <c r="AJ8" s="188"/>
      <c r="AK8" s="189">
        <v>1.4999999999999999E-2</v>
      </c>
      <c r="AL8" s="190">
        <v>2E-3</v>
      </c>
      <c r="AM8" s="3039">
        <v>0.01</v>
      </c>
      <c r="AN8" s="2391" t="s">
        <v>3206</v>
      </c>
      <c r="AO8" s="1999"/>
      <c r="AP8" s="1203">
        <f t="shared" si="8"/>
        <v>0.84299999999999997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0.98299999999999998</v>
      </c>
      <c r="H16" s="203">
        <f>ROUND(SUMPRODUCT(H6:H13,K6:K13)/SUMPRODUCT((H6:H13&gt;0)*(K6:K13)),3)</f>
        <v>0.05</v>
      </c>
      <c r="I16" s="204"/>
      <c r="J16" s="204"/>
      <c r="K16" s="205">
        <f>SUM(K6:K15)</f>
        <v>20190.8</v>
      </c>
      <c r="L16" s="206">
        <f>ROUND(M16*10000/SUM(K6:K14),0)</f>
        <v>2800</v>
      </c>
      <c r="M16" s="206">
        <f>SUM(M6:M14)</f>
        <v>5653</v>
      </c>
      <c r="N16" s="207">
        <f>ROUND(SUMPRODUCT(M6:M14,N6:N14)/M16,3)</f>
        <v>0</v>
      </c>
      <c r="O16" s="206">
        <f>SUM(O6:O14)</f>
        <v>0</v>
      </c>
      <c r="P16" s="206">
        <f>SUM(P6:P14)</f>
        <v>5653</v>
      </c>
      <c r="Q16" s="208">
        <f>ROUND(SUMPRODUCT(Q6:Q13,K6:K13)/SUMPRODUCT((Q6:Q13&gt;0)*(K6:K13)),2)</f>
        <v>0.2</v>
      </c>
      <c r="R16" s="2310">
        <f>SUM(R6:R13)</f>
        <v>5768.8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0.84299999999999997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75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1">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2">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0">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t="s">
        <v>3139</v>
      </c>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924</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v>10</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1" t="s">
        <v>1663</v>
      </c>
      <c r="B1" s="3322"/>
      <c r="C1" s="3322"/>
      <c r="D1" s="3322"/>
      <c r="E1" s="3322"/>
      <c r="F1" s="3322"/>
      <c r="G1" s="3322"/>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selection activeCell="B14" sqref="B14:B17"/>
    </sheetView>
  </sheetViews>
  <sheetFormatPr defaultColWidth="14.625" defaultRowHeight="13.5"/>
  <cols>
    <col min="1" max="1" width="24.375" customWidth="1"/>
  </cols>
  <sheetData>
    <row r="1" spans="1:11" ht="16.5">
      <c r="A1" s="3045" t="s">
        <v>2846</v>
      </c>
      <c r="B1" s="3045">
        <f>SUM(B14:B23)</f>
        <v>1106157.5700000003</v>
      </c>
      <c r="C1" s="3046"/>
      <c r="D1" s="3046"/>
      <c r="E1" s="3046"/>
      <c r="F1" s="3046"/>
    </row>
    <row r="2" spans="1:11" ht="16.5">
      <c r="A2" s="3045" t="s">
        <v>2847</v>
      </c>
      <c r="B2" s="3045">
        <f>SUM(C14:C23)</f>
        <v>316045.02</v>
      </c>
      <c r="C2" s="3046"/>
      <c r="D2" s="3046"/>
      <c r="E2" s="3046"/>
      <c r="F2" s="3046"/>
    </row>
    <row r="3" spans="1:11" ht="16.5">
      <c r="A3" s="3045" t="s">
        <v>2848</v>
      </c>
      <c r="B3" s="3047">
        <f>项目基本情况!D3</f>
        <v>43402</v>
      </c>
      <c r="C3" s="3046"/>
      <c r="D3" s="3046"/>
      <c r="E3" s="3046"/>
      <c r="F3" s="3046"/>
    </row>
    <row r="4" spans="1:11" ht="33">
      <c r="A4" s="3045" t="s">
        <v>2849</v>
      </c>
      <c r="B4" s="3045" t="s">
        <v>2850</v>
      </c>
      <c r="C4" s="3045" t="s">
        <v>2851</v>
      </c>
      <c r="D4" s="3045" t="s">
        <v>2852</v>
      </c>
      <c r="E4" s="3046"/>
      <c r="F4" s="3046"/>
    </row>
    <row r="5" spans="1:11" ht="16.5">
      <c r="A5" s="3045" t="s">
        <v>2853</v>
      </c>
      <c r="B5" s="3045">
        <f ca="1">SUM(D14:D23)</f>
        <v>71017</v>
      </c>
      <c r="C5" s="3045">
        <f ca="1">ROUND(B5*10000/$B$1,0)</f>
        <v>642</v>
      </c>
      <c r="D5" s="3045">
        <f ca="1">ROUND(B5*10000/$B$2,0)</f>
        <v>2247</v>
      </c>
      <c r="E5" s="3046">
        <f ca="1">ROUND(B5/(SUM(C14:C17)/666.67),1)</f>
        <v>149.80000000000001</v>
      </c>
      <c r="F5" s="3046"/>
    </row>
    <row r="6" spans="1:11" ht="16.5">
      <c r="A6" s="3045" t="s">
        <v>2854</v>
      </c>
      <c r="B6" s="3045">
        <f ca="1">SUM(G14:G23)</f>
        <v>69076</v>
      </c>
      <c r="C6" s="3045">
        <f t="shared" ref="C6:C8" ca="1" si="0">ROUND(B6*10000/$B$1,0)</f>
        <v>624</v>
      </c>
      <c r="D6" s="3045">
        <f t="shared" ref="D6:D8" ca="1" si="1">ROUND(B6*10000/$B$2,0)</f>
        <v>2186</v>
      </c>
      <c r="E6" s="3046"/>
      <c r="F6" s="3046"/>
    </row>
    <row r="7" spans="1:11" ht="16.5">
      <c r="A7" s="3045" t="s">
        <v>2855</v>
      </c>
      <c r="B7" s="3045">
        <f>SUM(H14:H23)</f>
        <v>0</v>
      </c>
      <c r="C7" s="3045">
        <f t="shared" si="0"/>
        <v>0</v>
      </c>
      <c r="D7" s="3045">
        <f t="shared" si="1"/>
        <v>0</v>
      </c>
      <c r="E7" s="3046"/>
      <c r="F7" s="3046"/>
    </row>
    <row r="8" spans="1:11" ht="16.5">
      <c r="A8" s="3045" t="s">
        <v>2856</v>
      </c>
      <c r="B8" s="3045">
        <f>SUM(I14:I23)</f>
        <v>0</v>
      </c>
      <c r="C8" s="3045">
        <f t="shared" si="0"/>
        <v>0</v>
      </c>
      <c r="D8" s="3045">
        <f t="shared" si="1"/>
        <v>0</v>
      </c>
      <c r="E8" s="3046"/>
      <c r="F8" s="3046"/>
    </row>
    <row r="9" spans="1:11" ht="16.5">
      <c r="A9" s="3045" t="s">
        <v>2857</v>
      </c>
      <c r="B9" s="3048"/>
      <c r="C9" s="3046"/>
      <c r="D9" s="3046"/>
      <c r="E9" s="3046"/>
      <c r="F9" s="3046"/>
    </row>
    <row r="10" spans="1:11" ht="16.5">
      <c r="A10" s="3045" t="s">
        <v>2858</v>
      </c>
      <c r="B10" s="3048"/>
      <c r="C10" s="3046"/>
      <c r="D10" s="3046"/>
      <c r="E10" s="3046"/>
      <c r="F10" s="3046"/>
    </row>
    <row r="11" spans="1:11" ht="16.5">
      <c r="A11" s="3045" t="s">
        <v>2875</v>
      </c>
      <c r="B11" s="3048"/>
      <c r="C11" s="3046"/>
      <c r="D11" s="3046"/>
      <c r="E11" s="3046"/>
      <c r="F11" s="3046"/>
    </row>
    <row r="12" spans="1:11" ht="16.5">
      <c r="A12" s="3046"/>
      <c r="B12" s="3046"/>
      <c r="C12" s="3046"/>
      <c r="D12" s="3046"/>
      <c r="E12" s="3046"/>
      <c r="F12" s="3046"/>
    </row>
    <row r="13" spans="1:11" ht="33">
      <c r="A13" s="3051" t="s">
        <v>2874</v>
      </c>
      <c r="B13" s="3049" t="s">
        <v>2846</v>
      </c>
      <c r="C13" s="3049" t="s">
        <v>2847</v>
      </c>
      <c r="D13" s="3049" t="s">
        <v>2859</v>
      </c>
      <c r="E13" s="3045" t="s">
        <v>2873</v>
      </c>
      <c r="F13" s="3045" t="s">
        <v>2852</v>
      </c>
      <c r="G13" s="3049" t="s">
        <v>2860</v>
      </c>
      <c r="H13" s="3049" t="s">
        <v>2861</v>
      </c>
      <c r="I13" s="3049" t="s">
        <v>2862</v>
      </c>
    </row>
    <row r="14" spans="1:11" ht="16.5">
      <c r="A14" s="3052" t="s">
        <v>2872</v>
      </c>
      <c r="B14" s="3049">
        <f>结果表!L38</f>
        <v>20190.8</v>
      </c>
      <c r="C14" s="3049">
        <f>结果表!K38</f>
        <v>5768.8</v>
      </c>
      <c r="D14" s="3049">
        <f ca="1">结果表!C42</f>
        <v>1941</v>
      </c>
      <c r="E14" s="3049">
        <f ca="1">ROUND(D14*10000/B14,0)</f>
        <v>961</v>
      </c>
      <c r="F14" s="3049">
        <f ca="1">ROUND(D14*10000/C14,0)</f>
        <v>3365</v>
      </c>
      <c r="G14" s="3049" t="str">
        <f>结果表!C44</f>
        <v>——</v>
      </c>
      <c r="H14" s="3049" t="str">
        <f>结果表!C45</f>
        <v>——</v>
      </c>
      <c r="I14" s="3049" t="str">
        <f>结果表!C46</f>
        <v>——</v>
      </c>
      <c r="J14" s="3230">
        <f>B14/C14</f>
        <v>3.4999999999999996</v>
      </c>
      <c r="K14" s="3230">
        <f ca="1">F14*666.67/10000</f>
        <v>224.33445499999999</v>
      </c>
    </row>
    <row r="15" spans="1:11" ht="16.5">
      <c r="A15" s="3052" t="s">
        <v>2863</v>
      </c>
      <c r="B15" s="3053">
        <f>典型户型修正!B22-B14</f>
        <v>129481.97500000002</v>
      </c>
      <c r="C15" s="3053">
        <f>面积表!E39</f>
        <v>42763.65</v>
      </c>
      <c r="D15" s="3053">
        <f ca="1">典型户型修正!B20-系统读取表!D14</f>
        <v>13059</v>
      </c>
      <c r="E15" s="3049">
        <f t="shared" ref="E15:E23" ca="1" si="2">ROUND(D15*10000/B15,0)</f>
        <v>1009</v>
      </c>
      <c r="F15" s="3049">
        <f t="shared" ref="F15:F23" ca="1" si="3">ROUND(D15*10000/C15,0)</f>
        <v>3054</v>
      </c>
      <c r="G15" s="3050">
        <f ca="1">D15</f>
        <v>13059</v>
      </c>
      <c r="H15" s="3050"/>
      <c r="I15" s="3053"/>
      <c r="J15" s="3230">
        <f t="shared" ref="J15:J17" si="4">B15/C15</f>
        <v>3.027851341033799</v>
      </c>
      <c r="K15" s="3230">
        <f t="shared" ref="K15:K17" ca="1" si="5">F15*666.67/10000</f>
        <v>203.60101799999998</v>
      </c>
    </row>
    <row r="16" spans="1:11" ht="16.5">
      <c r="A16" s="3052" t="s">
        <v>2864</v>
      </c>
      <c r="B16" s="3053">
        <f>[1]典型户型修正!$B$22</f>
        <v>723581.56500000018</v>
      </c>
      <c r="C16" s="3053">
        <f>面积表!E40-C14</f>
        <v>200968.79</v>
      </c>
      <c r="D16" s="3053">
        <f ca="1">[1]典型户型修正!$B$20</f>
        <v>45338</v>
      </c>
      <c r="E16" s="3049">
        <f t="shared" ca="1" si="2"/>
        <v>627</v>
      </c>
      <c r="F16" s="3049">
        <f t="shared" ca="1" si="3"/>
        <v>2256</v>
      </c>
      <c r="G16" s="3050">
        <f ca="1">D16</f>
        <v>45338</v>
      </c>
      <c r="H16" s="3050"/>
      <c r="I16" s="3053"/>
      <c r="J16" s="3230">
        <f t="shared" si="4"/>
        <v>3.6004673412224859</v>
      </c>
      <c r="K16" s="3230">
        <f t="shared" ca="1" si="5"/>
        <v>150.40075200000001</v>
      </c>
    </row>
    <row r="17" spans="1:11" ht="16.5">
      <c r="A17" s="3052" t="s">
        <v>2865</v>
      </c>
      <c r="B17" s="3053">
        <f>[2]典型户型修正!$B$22</f>
        <v>232903.23000000004</v>
      </c>
      <c r="C17" s="3053">
        <f>面积表!E41</f>
        <v>66543.78</v>
      </c>
      <c r="D17" s="3053">
        <f ca="1">[2]典型户型修正!$B$20</f>
        <v>10679</v>
      </c>
      <c r="E17" s="3049">
        <f t="shared" ca="1" si="2"/>
        <v>459</v>
      </c>
      <c r="F17" s="3049">
        <f t="shared" ca="1" si="3"/>
        <v>1605</v>
      </c>
      <c r="G17" s="3050">
        <f ca="1">D17</f>
        <v>10679</v>
      </c>
      <c r="H17" s="3050"/>
      <c r="I17" s="3053"/>
      <c r="J17" s="3230">
        <f t="shared" si="4"/>
        <v>3.5000000000000004</v>
      </c>
      <c r="K17" s="3230">
        <f t="shared" ca="1" si="5"/>
        <v>107.00053499999999</v>
      </c>
    </row>
    <row r="18" spans="1:11" ht="16.5">
      <c r="A18" s="3052" t="s">
        <v>2866</v>
      </c>
      <c r="B18" s="3053"/>
      <c r="C18" s="3053"/>
      <c r="D18" s="3053"/>
      <c r="E18" s="3049" t="e">
        <f t="shared" si="2"/>
        <v>#DIV/0!</v>
      </c>
      <c r="F18" s="3049" t="e">
        <f t="shared" si="3"/>
        <v>#DIV/0!</v>
      </c>
      <c r="G18" s="3053"/>
      <c r="H18" s="3053"/>
      <c r="I18" s="3053"/>
    </row>
    <row r="19" spans="1:11" ht="16.5">
      <c r="A19" s="3052" t="s">
        <v>2867</v>
      </c>
      <c r="B19" s="3053"/>
      <c r="C19" s="3053"/>
      <c r="D19" s="3053"/>
      <c r="E19" s="3049" t="e">
        <f t="shared" si="2"/>
        <v>#DIV/0!</v>
      </c>
      <c r="F19" s="3049" t="e">
        <f t="shared" si="3"/>
        <v>#DIV/0!</v>
      </c>
      <c r="G19" s="3053"/>
      <c r="H19" s="3053"/>
      <c r="I19" s="3053"/>
    </row>
    <row r="20" spans="1:11" ht="16.5">
      <c r="A20" s="3052" t="s">
        <v>2868</v>
      </c>
      <c r="B20" s="3053"/>
      <c r="C20" s="3053"/>
      <c r="D20" s="3053"/>
      <c r="E20" s="3049" t="e">
        <f t="shared" si="2"/>
        <v>#DIV/0!</v>
      </c>
      <c r="F20" s="3049" t="e">
        <f t="shared" si="3"/>
        <v>#DIV/0!</v>
      </c>
      <c r="G20" s="3053"/>
      <c r="H20" s="3053"/>
      <c r="I20" s="3053"/>
    </row>
    <row r="21" spans="1:11" ht="16.5">
      <c r="A21" s="3052" t="s">
        <v>2869</v>
      </c>
      <c r="B21" s="3053"/>
      <c r="C21" s="3053"/>
      <c r="D21" s="3053"/>
      <c r="E21" s="3049" t="e">
        <f t="shared" si="2"/>
        <v>#DIV/0!</v>
      </c>
      <c r="F21" s="3049" t="e">
        <f t="shared" si="3"/>
        <v>#DIV/0!</v>
      </c>
      <c r="G21" s="3053"/>
      <c r="H21" s="3053"/>
      <c r="I21" s="3053"/>
    </row>
    <row r="22" spans="1:11" ht="16.5">
      <c r="A22" s="3052" t="s">
        <v>2870</v>
      </c>
      <c r="B22" s="3053"/>
      <c r="C22" s="3053"/>
      <c r="D22" s="3053"/>
      <c r="E22" s="3049" t="e">
        <f t="shared" si="2"/>
        <v>#DIV/0!</v>
      </c>
      <c r="F22" s="3049" t="e">
        <f t="shared" si="3"/>
        <v>#DIV/0!</v>
      </c>
      <c r="G22" s="3053"/>
      <c r="H22" s="3053"/>
      <c r="I22" s="3053"/>
    </row>
    <row r="23" spans="1:11" ht="16.5">
      <c r="A23" s="3052" t="s">
        <v>2871</v>
      </c>
      <c r="B23" s="3053"/>
      <c r="C23" s="3053"/>
      <c r="D23" s="3053"/>
      <c r="E23" s="3045" t="e">
        <f t="shared" si="2"/>
        <v>#DIV/0!</v>
      </c>
      <c r="F23" s="3045" t="e">
        <f t="shared" si="3"/>
        <v>#DIV/0!</v>
      </c>
      <c r="G23" s="3053"/>
      <c r="H23" s="3053"/>
      <c r="I23" s="3053"/>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SheetLayoutView="100" zoomScalePageLayoutView="80" workbookViewId="0">
      <selection activeCell="G22" sqref="G2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68" t="str">
        <f>项目基本情况!K2</f>
        <v>出让国有建设用地使用权</v>
      </c>
      <c r="B2" s="3369"/>
      <c r="C2" s="3370"/>
      <c r="D2" s="3370"/>
      <c r="E2" s="3370"/>
      <c r="F2" s="3370"/>
      <c r="G2" s="3369"/>
      <c r="H2" s="3369"/>
      <c r="I2" s="3371"/>
      <c r="J2" s="2029"/>
      <c r="K2" s="2028"/>
      <c r="L2" s="2028"/>
      <c r="M2" s="2028"/>
      <c r="N2" s="2028"/>
      <c r="O2" s="2028"/>
      <c r="P2" s="2028"/>
      <c r="Q2" s="2028"/>
      <c r="R2" s="2028"/>
      <c r="S2" s="2028"/>
      <c r="T2" s="2028"/>
      <c r="U2" s="2028"/>
      <c r="V2" s="2028"/>
    </row>
    <row r="3" spans="1:22" ht="14.25">
      <c r="A3" s="3379" t="s">
        <v>298</v>
      </c>
      <c r="B3" s="3380"/>
      <c r="C3" s="3380"/>
      <c r="D3" s="3380"/>
      <c r="E3" s="3380"/>
      <c r="F3" s="3380"/>
      <c r="G3" s="3380"/>
      <c r="H3" s="3380"/>
      <c r="I3" s="3380"/>
      <c r="J3" s="2029"/>
      <c r="K3" s="2028"/>
      <c r="L3" s="2028"/>
      <c r="M3" s="2028"/>
      <c r="N3" s="2028"/>
      <c r="O3" s="2028"/>
      <c r="P3" s="2028"/>
      <c r="Q3" s="2028"/>
      <c r="R3" s="2028"/>
      <c r="S3" s="2028"/>
      <c r="T3" s="2028"/>
      <c r="U3" s="2028"/>
      <c r="V3" s="2028"/>
    </row>
    <row r="4" spans="1:22" ht="14.25">
      <c r="A4" s="258" t="s">
        <v>299</v>
      </c>
      <c r="B4" s="259" t="s">
        <v>300</v>
      </c>
      <c r="C4" s="260" t="s">
        <v>3050</v>
      </c>
      <c r="D4" s="260" t="s">
        <v>3049</v>
      </c>
      <c r="E4" s="3343" t="s">
        <v>301</v>
      </c>
      <c r="F4" s="3385"/>
      <c r="G4" s="3385"/>
      <c r="H4" s="3385"/>
      <c r="I4" s="3344"/>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2" t="s">
        <v>302</v>
      </c>
      <c r="B5" s="3373">
        <v>25</v>
      </c>
      <c r="C5" s="3381"/>
      <c r="D5" s="3384"/>
      <c r="E5" s="261" t="s">
        <v>303</v>
      </c>
      <c r="F5" s="262"/>
      <c r="G5" s="262"/>
      <c r="H5" s="262"/>
      <c r="I5" s="263"/>
      <c r="J5" s="2029"/>
      <c r="K5" s="2028"/>
      <c r="L5" s="2028"/>
      <c r="M5" s="2028"/>
      <c r="N5" s="2028"/>
      <c r="O5" s="2028"/>
      <c r="P5" s="2028"/>
      <c r="Q5" s="2028"/>
      <c r="R5" s="2028"/>
      <c r="S5" s="2028"/>
      <c r="T5" s="2028"/>
      <c r="U5" s="2028"/>
      <c r="V5" s="2028"/>
    </row>
    <row r="6" spans="1:22" ht="14.25">
      <c r="A6" s="3372"/>
      <c r="B6" s="3373"/>
      <c r="C6" s="3382"/>
      <c r="D6" s="3384"/>
      <c r="E6" s="261" t="s">
        <v>304</v>
      </c>
      <c r="F6" s="262"/>
      <c r="G6" s="262"/>
      <c r="H6" s="262"/>
      <c r="I6" s="263"/>
      <c r="J6" s="2029"/>
      <c r="K6" s="2028"/>
      <c r="L6" s="2028"/>
      <c r="M6" s="2028"/>
      <c r="N6" s="2028"/>
      <c r="O6" s="2028"/>
      <c r="P6" s="2028"/>
      <c r="Q6" s="2028"/>
      <c r="R6" s="2028"/>
      <c r="S6" s="2028"/>
      <c r="T6" s="2028"/>
      <c r="U6" s="2028"/>
      <c r="V6" s="2028"/>
    </row>
    <row r="7" spans="1:22" ht="14.25">
      <c r="A7" s="3372"/>
      <c r="B7" s="3373"/>
      <c r="C7" s="3383"/>
      <c r="D7" s="3384"/>
      <c r="E7" s="261" t="s">
        <v>305</v>
      </c>
      <c r="F7" s="262"/>
      <c r="G7" s="262"/>
      <c r="H7" s="262"/>
      <c r="I7" s="263"/>
      <c r="J7" s="2029"/>
      <c r="K7" s="2028"/>
      <c r="L7" s="2028"/>
      <c r="M7" s="2028"/>
      <c r="N7" s="2028"/>
      <c r="O7" s="2028"/>
      <c r="P7" s="2028"/>
      <c r="Q7" s="2028"/>
      <c r="R7" s="2028"/>
      <c r="S7" s="2028"/>
      <c r="T7" s="2028"/>
      <c r="U7" s="2028"/>
      <c r="V7" s="2028"/>
    </row>
    <row r="8" spans="1:22" ht="14.25">
      <c r="A8" s="3372" t="s">
        <v>306</v>
      </c>
      <c r="B8" s="3373">
        <v>15</v>
      </c>
      <c r="C8" s="3381"/>
      <c r="D8" s="3384"/>
      <c r="E8" s="261" t="s">
        <v>307</v>
      </c>
      <c r="F8" s="262"/>
      <c r="G8" s="262"/>
      <c r="H8" s="262"/>
      <c r="I8" s="263"/>
      <c r="J8" s="2029"/>
      <c r="K8" s="2028"/>
      <c r="L8" s="2028"/>
      <c r="M8" s="2028"/>
      <c r="N8" s="2028"/>
      <c r="O8" s="2028"/>
      <c r="P8" s="2028"/>
      <c r="Q8" s="2028"/>
      <c r="R8" s="2028"/>
      <c r="S8" s="2028"/>
      <c r="T8" s="2028"/>
      <c r="U8" s="2028"/>
      <c r="V8" s="2028"/>
    </row>
    <row r="9" spans="1:22" ht="14.25">
      <c r="A9" s="3372"/>
      <c r="B9" s="3373"/>
      <c r="C9" s="3383"/>
      <c r="D9" s="3384"/>
      <c r="E9" s="261" t="s">
        <v>308</v>
      </c>
      <c r="F9" s="262"/>
      <c r="G9" s="262"/>
      <c r="H9" s="262"/>
      <c r="I9" s="263"/>
      <c r="J9" s="2029"/>
      <c r="K9" s="2028"/>
      <c r="L9" s="2028"/>
      <c r="M9" s="2028"/>
      <c r="N9" s="2028"/>
      <c r="O9" s="2028"/>
      <c r="P9" s="2028"/>
      <c r="Q9" s="2028"/>
      <c r="R9" s="2028"/>
      <c r="S9" s="2028"/>
      <c r="T9" s="2028"/>
      <c r="U9" s="2028"/>
      <c r="V9" s="2028"/>
    </row>
    <row r="10" spans="1:22" ht="14.25">
      <c r="A10" s="3372" t="s">
        <v>309</v>
      </c>
      <c r="B10" s="3373">
        <v>15</v>
      </c>
      <c r="C10" s="3381"/>
      <c r="D10" s="3384"/>
      <c r="E10" s="261" t="s">
        <v>310</v>
      </c>
      <c r="F10" s="262"/>
      <c r="G10" s="262"/>
      <c r="H10" s="262"/>
      <c r="I10" s="263"/>
      <c r="J10" s="2029"/>
      <c r="K10" s="2028"/>
      <c r="L10" s="2028"/>
      <c r="M10" s="2028"/>
      <c r="N10" s="2028"/>
      <c r="O10" s="2028"/>
      <c r="P10" s="2028"/>
      <c r="Q10" s="2028"/>
      <c r="R10" s="2028"/>
      <c r="S10" s="2028"/>
      <c r="T10" s="2028"/>
      <c r="U10" s="2028"/>
      <c r="V10" s="2028"/>
    </row>
    <row r="11" spans="1:22" ht="14.25">
      <c r="A11" s="3372"/>
      <c r="B11" s="3373"/>
      <c r="C11" s="3383"/>
      <c r="D11" s="3384"/>
      <c r="E11" s="261" t="s">
        <v>311</v>
      </c>
      <c r="F11" s="262"/>
      <c r="G11" s="262"/>
      <c r="H11" s="262"/>
      <c r="I11" s="263"/>
      <c r="J11" s="2029"/>
      <c r="K11" s="2028"/>
      <c r="L11" s="2028"/>
      <c r="M11" s="2028"/>
      <c r="N11" s="2028"/>
      <c r="O11" s="2028"/>
      <c r="P11" s="2028"/>
      <c r="Q11" s="2028"/>
      <c r="R11" s="2028"/>
      <c r="S11" s="2028"/>
      <c r="T11" s="2028"/>
      <c r="U11" s="2028"/>
      <c r="V11" s="2028"/>
    </row>
    <row r="12" spans="1:22" ht="14.25">
      <c r="A12" s="3372" t="s">
        <v>312</v>
      </c>
      <c r="B12" s="3373">
        <v>15</v>
      </c>
      <c r="C12" s="3381"/>
      <c r="D12" s="3384"/>
      <c r="E12" s="261" t="s">
        <v>313</v>
      </c>
      <c r="F12" s="262"/>
      <c r="G12" s="262"/>
      <c r="H12" s="262"/>
      <c r="I12" s="263"/>
      <c r="J12" s="2029"/>
      <c r="K12" s="2028"/>
      <c r="L12" s="2028"/>
      <c r="M12" s="2028"/>
      <c r="N12" s="2028"/>
      <c r="O12" s="2028"/>
      <c r="P12" s="2028"/>
      <c r="Q12" s="2028"/>
      <c r="R12" s="2028"/>
      <c r="S12" s="2028"/>
      <c r="T12" s="2028"/>
      <c r="U12" s="2028"/>
      <c r="V12" s="2028"/>
    </row>
    <row r="13" spans="1:22" ht="14.25">
      <c r="A13" s="3372"/>
      <c r="B13" s="3373"/>
      <c r="C13" s="3383"/>
      <c r="D13" s="3384"/>
      <c r="E13" s="261" t="s">
        <v>314</v>
      </c>
      <c r="F13" s="262"/>
      <c r="G13" s="262"/>
      <c r="H13" s="262"/>
      <c r="I13" s="263"/>
      <c r="J13" s="2029"/>
      <c r="K13" s="2028"/>
      <c r="L13" s="2028"/>
      <c r="M13" s="2028"/>
      <c r="N13" s="2028"/>
      <c r="O13" s="2028"/>
      <c r="P13" s="2028"/>
      <c r="Q13" s="2028"/>
      <c r="R13" s="2028"/>
      <c r="S13" s="2028"/>
      <c r="T13" s="2028"/>
      <c r="U13" s="2028"/>
      <c r="V13" s="2028"/>
    </row>
    <row r="14" spans="1:22" ht="14.25">
      <c r="A14" s="3372" t="s">
        <v>315</v>
      </c>
      <c r="B14" s="3373">
        <v>30</v>
      </c>
      <c r="C14" s="3381">
        <v>7</v>
      </c>
      <c r="D14" s="3384">
        <v>3</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72"/>
      <c r="B15" s="3373"/>
      <c r="C15" s="3382"/>
      <c r="D15" s="3384"/>
      <c r="E15" s="261" t="s">
        <v>317</v>
      </c>
      <c r="F15" s="262"/>
      <c r="G15" s="262"/>
      <c r="H15" s="262"/>
      <c r="I15" s="263"/>
      <c r="J15" s="2029"/>
      <c r="K15" s="2028"/>
      <c r="L15" s="2028"/>
      <c r="M15" s="2028"/>
      <c r="N15" s="2028"/>
      <c r="O15" s="2028"/>
      <c r="P15" s="2028"/>
      <c r="Q15" s="2028"/>
      <c r="R15" s="2028"/>
      <c r="S15" s="2028"/>
      <c r="T15" s="2028"/>
      <c r="U15" s="2028"/>
      <c r="V15" s="2028"/>
    </row>
    <row r="16" spans="1:22" ht="14.25">
      <c r="A16" s="3372"/>
      <c r="B16" s="3373"/>
      <c r="C16" s="3383"/>
      <c r="D16" s="338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7</v>
      </c>
      <c r="D17" s="265">
        <f>SUM(D5:D16)</f>
        <v>3</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0.7</v>
      </c>
      <c r="D18" s="267">
        <f>1-C18</f>
        <v>0.30000000000000004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1088</v>
      </c>
      <c r="D19" s="271">
        <f ca="1">SUMIF(INDIRECT("'"&amp;D4&amp;"'"&amp;"!A:A"),结果表!B19,INDIRECT("'"&amp;D4&amp;"'"&amp;"!B:B"))</f>
        <v>4126</v>
      </c>
      <c r="E19" s="268" t="s">
        <v>323</v>
      </c>
      <c r="F19" s="269" t="s">
        <v>322</v>
      </c>
      <c r="G19" s="272">
        <f ca="1">ROUND(C19*$C$18+D19*$D$18,0)</f>
        <v>1999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539</v>
      </c>
      <c r="D20" s="277">
        <f ca="1">SUMIF(INDIRECT("'"&amp;D4&amp;"'"&amp;"!A:A"),结果表!B20,INDIRECT("'"&amp;D4&amp;"'"&amp;"!B:B"))</f>
        <v>2044</v>
      </c>
      <c r="E20" s="274"/>
      <c r="F20" s="275" t="s">
        <v>325</v>
      </c>
      <c r="G20" s="278">
        <f ca="1">ROUND(C20*$C$18+D20*$D$18,0)</f>
        <v>991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1886</v>
      </c>
      <c r="D21" s="151">
        <f ca="1">SUMIF(INDIRECT("'"&amp;D4&amp;"'"&amp;"!A:A"),结果表!B21,INDIRECT("'"&amp;D4&amp;"'"&amp;"!B:B"))</f>
        <v>7152</v>
      </c>
      <c r="E21" s="274"/>
      <c r="F21" s="280" t="s">
        <v>327</v>
      </c>
      <c r="G21" s="282">
        <f ca="1">ROUND(C21*$C$18+D21*$D$18,0)</f>
        <v>3466</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2.7922794117647061</v>
      </c>
      <c r="E22" s="284"/>
      <c r="F22" s="285"/>
      <c r="G22" s="286">
        <f ca="1">ROUND(G19/('数据-汇总表'!D3/666.67),0)</f>
        <v>231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45" t="s">
        <v>330</v>
      </c>
      <c r="B24" s="269" t="s">
        <v>322</v>
      </c>
      <c r="C24" s="288">
        <f>IF(B30=0,0,D30)</f>
        <v>58</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87"/>
      <c r="B25" s="1320" t="s">
        <v>3064</v>
      </c>
      <c r="C25" s="290">
        <f>IF(B30=0,0,C30)</f>
        <v>0</v>
      </c>
      <c r="D25" s="291"/>
      <c r="E25" s="311"/>
      <c r="F25" s="311"/>
      <c r="G25" s="311"/>
      <c r="H25" s="311"/>
      <c r="I25" s="311"/>
      <c r="J25" s="2028"/>
      <c r="K25" s="1254" t="str">
        <f ca="1">项目基本情况!B16&amp;"国有建设用地使用权价格："&amp;O38&amp;"万元"</f>
        <v>出让国有建设用地使用权价格：1941万元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大写金额：人民币壹仟玖佰肆拾壹万元整</v>
      </c>
      <c r="L26" s="1251"/>
      <c r="M26" s="1251"/>
      <c r="N26" s="1251"/>
      <c r="O26" s="1250"/>
      <c r="P26" s="2028"/>
      <c r="Q26" s="2028"/>
      <c r="R26" s="2028"/>
      <c r="S26" s="2028"/>
      <c r="T26" s="2028"/>
      <c r="U26" s="2028"/>
      <c r="V26" s="2028"/>
      <c r="W26" s="292"/>
      <c r="X26" s="292"/>
      <c r="Y26" s="292"/>
      <c r="Z26" s="292"/>
    </row>
    <row r="27" spans="1:26" ht="18">
      <c r="A27" s="293"/>
      <c r="B27" s="294">
        <f>'数据-基础表'!A3</f>
        <v>5768.8</v>
      </c>
      <c r="C27" s="294">
        <v>100</v>
      </c>
      <c r="D27" s="295">
        <f>ROUND(B27*C27/10000,0)</f>
        <v>58</v>
      </c>
      <c r="E27" s="311"/>
      <c r="F27" s="311"/>
      <c r="G27" s="311"/>
      <c r="H27" s="311"/>
      <c r="I27" s="311"/>
      <c r="J27" s="2028"/>
      <c r="K27" s="1257" t="str">
        <f ca="1">"单位面积地价："&amp;M38&amp;"元/平方米"</f>
        <v>单位面积地价：3365元/平方米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楼面地价：961元/平方米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5768.8</v>
      </c>
      <c r="C30" s="309"/>
      <c r="D30" s="310">
        <f>D27</f>
        <v>58</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1941</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961</v>
      </c>
      <c r="D33" s="1384" t="s">
        <v>1691</v>
      </c>
      <c r="E33" s="3345"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3365</v>
      </c>
      <c r="D34" s="1386" t="s">
        <v>1691</v>
      </c>
      <c r="E34" s="3346"/>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224</v>
      </c>
      <c r="D35" s="1389" t="s">
        <v>1693</v>
      </c>
      <c r="E35" s="3347"/>
      <c r="F35" s="301" t="s">
        <v>341</v>
      </c>
      <c r="G35" s="981"/>
      <c r="H35" s="980" t="s">
        <v>342</v>
      </c>
      <c r="I35" s="311"/>
      <c r="J35" s="2028"/>
      <c r="K35" s="3351" t="s">
        <v>349</v>
      </c>
      <c r="L35" s="3351" t="s">
        <v>350</v>
      </c>
      <c r="M35" s="1263" t="s">
        <v>351</v>
      </c>
      <c r="N35" s="3351" t="s">
        <v>352</v>
      </c>
      <c r="O35" s="3351" t="s">
        <v>353</v>
      </c>
      <c r="P35" s="2028"/>
      <c r="V35" s="2028"/>
    </row>
    <row r="36" spans="1:26" ht="16.5" customHeight="1">
      <c r="A36" s="303" t="s">
        <v>343</v>
      </c>
      <c r="B36" s="304" t="s">
        <v>332</v>
      </c>
      <c r="C36" s="305" t="s">
        <v>344</v>
      </c>
      <c r="D36" s="305" t="s">
        <v>345</v>
      </c>
      <c r="E36" s="306" t="s">
        <v>346</v>
      </c>
      <c r="F36" s="311"/>
      <c r="G36" s="311"/>
      <c r="H36" s="311"/>
      <c r="I36" s="311"/>
      <c r="J36" s="2030"/>
      <c r="K36" s="3352"/>
      <c r="L36" s="3352"/>
      <c r="M36" s="1265" t="s">
        <v>354</v>
      </c>
      <c r="N36" s="3352"/>
      <c r="O36" s="3352"/>
      <c r="P36" s="2028"/>
      <c r="V36" s="2028"/>
    </row>
    <row r="37" spans="1:26" ht="16.5" customHeight="1" thickBot="1">
      <c r="A37" s="1259" t="s">
        <v>347</v>
      </c>
      <c r="B37" s="307"/>
      <c r="C37" s="294"/>
      <c r="D37" s="294"/>
      <c r="E37" s="295"/>
      <c r="F37" s="311"/>
      <c r="G37" s="311"/>
      <c r="H37" s="311"/>
      <c r="I37" s="311"/>
      <c r="J37" s="2030"/>
      <c r="K37" s="3353"/>
      <c r="L37" s="3353"/>
      <c r="M37" s="1266"/>
      <c r="N37" s="3353"/>
      <c r="O37" s="3353"/>
      <c r="P37" s="2028"/>
      <c r="V37" s="2028"/>
    </row>
    <row r="38" spans="1:26" ht="16.5" customHeight="1" thickBot="1">
      <c r="A38" s="1259" t="s">
        <v>348</v>
      </c>
      <c r="B38" s="307"/>
      <c r="C38" s="294"/>
      <c r="D38" s="294"/>
      <c r="E38" s="295"/>
      <c r="F38" s="311"/>
      <c r="G38" s="311"/>
      <c r="H38" s="311"/>
      <c r="I38" s="311"/>
      <c r="J38" s="2030"/>
      <c r="K38" s="1267">
        <f>'数据-汇总表'!D3</f>
        <v>5768.8</v>
      </c>
      <c r="L38" s="1268">
        <f>'数据-汇总表'!E3</f>
        <v>20190.8</v>
      </c>
      <c r="M38" s="1268">
        <f ca="1">C34</f>
        <v>3365</v>
      </c>
      <c r="N38" s="1268">
        <f ca="1">C33</f>
        <v>961</v>
      </c>
      <c r="O38" s="1269">
        <f ca="1">C32</f>
        <v>1941</v>
      </c>
      <c r="P38" s="2028"/>
      <c r="V38" s="2028"/>
    </row>
    <row r="39" spans="1:26" ht="16.5" customHeight="1" thickBot="1">
      <c r="A39" s="1264"/>
      <c r="B39" s="308"/>
      <c r="C39" s="309"/>
      <c r="D39" s="309"/>
      <c r="E39" s="310"/>
      <c r="F39" s="311"/>
      <c r="G39" s="311"/>
      <c r="H39" s="311"/>
      <c r="I39" s="311"/>
      <c r="J39" s="2030"/>
      <c r="K39" s="3328" t="str">
        <f>MID(A44,3,LEN(A44)-2)</f>
        <v/>
      </c>
      <c r="L39" s="3329"/>
      <c r="M39" s="3329"/>
      <c r="N39" s="3330"/>
      <c r="O39" s="1391" t="str">
        <f>C44</f>
        <v>——</v>
      </c>
      <c r="P39" s="2028"/>
      <c r="V39" s="2028"/>
    </row>
    <row r="40" spans="1:26" ht="19.5" thickBot="1">
      <c r="A40" s="104" t="s">
        <v>872</v>
      </c>
      <c r="B40" s="311"/>
      <c r="C40" s="311"/>
      <c r="D40" s="311"/>
      <c r="E40" s="311"/>
      <c r="F40" s="311"/>
      <c r="G40" s="311"/>
      <c r="H40" s="311"/>
      <c r="I40" s="311"/>
      <c r="J40" s="2030"/>
      <c r="K40" s="3328" t="str">
        <f t="shared" ref="K40:K41" si="0">MID(A45,3,LEN(A45)-2)</f>
        <v/>
      </c>
      <c r="L40" s="3329"/>
      <c r="M40" s="3329"/>
      <c r="N40" s="3330"/>
      <c r="O40" s="1391" t="str">
        <f>C45</f>
        <v>——</v>
      </c>
      <c r="P40" s="2028"/>
      <c r="V40" s="2028"/>
    </row>
    <row r="41" spans="1:26" ht="16.5" thickBot="1">
      <c r="A41" s="312" t="s">
        <v>355</v>
      </c>
      <c r="B41" s="313"/>
      <c r="C41" s="314" t="s">
        <v>356</v>
      </c>
      <c r="D41" s="315" t="s">
        <v>357</v>
      </c>
      <c r="E41" s="315" t="s">
        <v>358</v>
      </c>
      <c r="F41" s="316" t="s">
        <v>359</v>
      </c>
      <c r="G41" s="311"/>
      <c r="H41" s="311"/>
      <c r="I41" s="311"/>
      <c r="J41" s="2030"/>
      <c r="K41" s="3328" t="str">
        <f t="shared" si="0"/>
        <v/>
      </c>
      <c r="L41" s="3329"/>
      <c r="M41" s="3329"/>
      <c r="N41" s="3330"/>
      <c r="O41" s="1391" t="str">
        <f>C46</f>
        <v>——</v>
      </c>
      <c r="P41" s="2028"/>
      <c r="V41" s="2028"/>
    </row>
    <row r="42" spans="1:26" ht="29.25">
      <c r="A42" s="3388" t="s">
        <v>2069</v>
      </c>
      <c r="B42" s="3389"/>
      <c r="C42" s="264">
        <f ca="1">C32</f>
        <v>1941</v>
      </c>
      <c r="D42" s="317">
        <f ca="1">C33</f>
        <v>961</v>
      </c>
      <c r="E42" s="317">
        <f ca="1">C34</f>
        <v>3365</v>
      </c>
      <c r="F42" s="318">
        <f ca="1">C35</f>
        <v>224</v>
      </c>
      <c r="G42" s="311"/>
      <c r="H42" s="311"/>
      <c r="I42" s="319"/>
      <c r="J42" s="2030"/>
      <c r="K42" s="1270" t="s">
        <v>360</v>
      </c>
      <c r="L42" s="2047" t="s">
        <v>361</v>
      </c>
      <c r="M42" s="1271" t="s">
        <v>362</v>
      </c>
      <c r="N42" s="2048" t="s">
        <v>363</v>
      </c>
      <c r="O42" s="2049" t="s">
        <v>364</v>
      </c>
      <c r="P42" s="2028"/>
      <c r="V42" s="2028"/>
    </row>
    <row r="43" spans="1:26" ht="30">
      <c r="A43" s="3398" t="s">
        <v>2732</v>
      </c>
      <c r="B43" s="3399"/>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1088</v>
      </c>
      <c r="M43" s="1274">
        <f>C18</f>
        <v>0.7</v>
      </c>
      <c r="N43" s="1275">
        <f ca="1">IF(N42="测算结果/万元",G19,G20)</f>
        <v>1999</v>
      </c>
      <c r="O43" s="1276">
        <f ca="1">IF(O42="最终结果/万元",C32,C33)</f>
        <v>1941</v>
      </c>
      <c r="P43" s="2028"/>
      <c r="V43" s="2028"/>
    </row>
    <row r="44" spans="1:26" ht="30.75" thickBot="1">
      <c r="A44" s="3388" t="str">
        <f>IF(OR(项目基本情况!E8="抵押价格",项目基本情况!E8="已注销及未注销"),"3.抵押价格","——")</f>
        <v>——</v>
      </c>
      <c r="B44" s="3389"/>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4126</v>
      </c>
      <c r="M44" s="1279">
        <f>D18</f>
        <v>0.30000000000000004</v>
      </c>
      <c r="N44" s="1280"/>
      <c r="O44" s="1281"/>
      <c r="P44" s="2028"/>
      <c r="V44" s="2028"/>
    </row>
    <row r="45" spans="1:26" ht="15">
      <c r="A45" s="3393" t="str">
        <f>IF(项目基本情况!E8="已注销及未注销","4.抵押担保权已注销时的抵押价格",IF(项目基本情况!E8="已注销","3.抵押担保权已注销时的抵押价格","——"))</f>
        <v>——</v>
      </c>
      <c r="B45" s="339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90" t="str">
        <f>IF(项目基本情况!E9="抵押净值",IF(A45="——","4.抵押净值","5.抵押净值"),"——")</f>
        <v>——</v>
      </c>
      <c r="B46" s="339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56" t="s">
        <v>373</v>
      </c>
      <c r="B63" s="3357"/>
      <c r="C63" s="3358"/>
      <c r="D63" s="341">
        <f ca="1">ROUND(C42*F63,0)</f>
        <v>1165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95" t="s">
        <v>377</v>
      </c>
      <c r="B64" s="3396"/>
      <c r="C64" s="3396"/>
      <c r="D64" s="3396"/>
      <c r="E64" s="3396"/>
      <c r="F64" s="3396"/>
      <c r="G64" s="3397"/>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92" t="s">
        <v>385</v>
      </c>
      <c r="B66" s="3363"/>
      <c r="C66" s="3363"/>
      <c r="D66" s="261">
        <f ca="1">IF(H66="情况1",0,IF(H66="情况2",D70,IF(H66="情况3",D71,IF(H66="情况4",D72))))</f>
        <v>61</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332" t="s">
        <v>384</v>
      </c>
      <c r="M66" s="3333"/>
      <c r="N66" s="2458"/>
      <c r="O66" s="2459"/>
      <c r="P66" s="2460"/>
      <c r="Q66" s="2028"/>
      <c r="R66" s="2028"/>
      <c r="S66" s="2028"/>
      <c r="T66" s="2028"/>
      <c r="U66" s="2028"/>
      <c r="V66" s="2028"/>
    </row>
    <row r="67" spans="1:22" ht="25.5" customHeight="1">
      <c r="A67" s="352" t="s">
        <v>389</v>
      </c>
      <c r="B67" s="3375" t="s">
        <v>390</v>
      </c>
      <c r="C67" s="3375"/>
      <c r="D67" s="353">
        <v>0</v>
      </c>
      <c r="E67" s="41" t="s">
        <v>391</v>
      </c>
      <c r="F67" s="62" t="s">
        <v>21</v>
      </c>
      <c r="G67" s="3359"/>
      <c r="H67" s="311"/>
      <c r="I67" s="1291"/>
      <c r="J67" s="2035"/>
      <c r="K67" s="1976">
        <v>2</v>
      </c>
      <c r="L67" s="3331" t="s">
        <v>388</v>
      </c>
      <c r="M67" s="3331"/>
      <c r="N67" s="1324">
        <f>'数据-取费表'!B2</f>
        <v>43402</v>
      </c>
      <c r="O67" s="1324"/>
      <c r="P67" s="1324"/>
      <c r="Q67" s="2028"/>
      <c r="R67" s="2028"/>
      <c r="S67" s="2028"/>
      <c r="T67" s="2028"/>
      <c r="U67" s="2028"/>
      <c r="V67" s="2028"/>
    </row>
    <row r="68" spans="1:22" ht="25.5" customHeight="1">
      <c r="A68" s="354"/>
      <c r="B68" s="3375" t="s">
        <v>393</v>
      </c>
      <c r="C68" s="3375"/>
      <c r="D68" s="355"/>
      <c r="E68" s="77"/>
      <c r="F68" s="356"/>
      <c r="G68" s="3360"/>
      <c r="H68" s="311"/>
      <c r="I68" s="1291"/>
      <c r="J68" s="2035"/>
      <c r="K68" s="1976">
        <v>3</v>
      </c>
      <c r="L68" s="3331" t="s">
        <v>392</v>
      </c>
      <c r="M68" s="3331"/>
      <c r="N68" s="1292">
        <f ca="1">C42</f>
        <v>1941</v>
      </c>
      <c r="O68" s="1292"/>
      <c r="P68" s="1292"/>
      <c r="Q68" s="2028"/>
      <c r="R68" s="2028"/>
      <c r="S68" s="2028"/>
      <c r="T68" s="2028"/>
      <c r="U68" s="2028"/>
      <c r="V68" s="2028"/>
    </row>
    <row r="69" spans="1:22" ht="12" customHeight="1">
      <c r="A69" s="357"/>
      <c r="B69" s="3375" t="s">
        <v>394</v>
      </c>
      <c r="C69" s="3375"/>
      <c r="D69" s="358"/>
      <c r="E69" s="73"/>
      <c r="F69" s="356"/>
      <c r="G69" s="3361"/>
      <c r="H69" s="311"/>
      <c r="I69" s="1291"/>
      <c r="J69" s="2035"/>
      <c r="K69" s="1293">
        <v>4</v>
      </c>
      <c r="L69" s="3337" t="s">
        <v>2885</v>
      </c>
      <c r="M69" s="3338"/>
      <c r="N69" s="1294" t="str">
        <f>C44</f>
        <v>——</v>
      </c>
      <c r="O69" s="1294"/>
      <c r="P69" s="1294"/>
      <c r="Q69" s="2028"/>
      <c r="R69" s="2028"/>
      <c r="S69" s="2028"/>
      <c r="T69" s="2028"/>
      <c r="U69" s="2028"/>
      <c r="V69" s="2028"/>
    </row>
    <row r="70" spans="1:22" ht="24" customHeight="1">
      <c r="A70" s="359" t="s">
        <v>395</v>
      </c>
      <c r="B70" s="3375" t="s">
        <v>396</v>
      </c>
      <c r="C70" s="3375"/>
      <c r="D70" s="358">
        <f ca="1">ROUND(D63*'数据-取费表'!B41/(1+'数据-取费表'!C42),0)</f>
        <v>61</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74" t="s">
        <v>404</v>
      </c>
      <c r="C71" s="3386"/>
      <c r="D71" s="358">
        <f ca="1">ROUND(D63*'数据-取费表'!B41/(1+'数据-取费表'!C42),0)</f>
        <v>61</v>
      </c>
      <c r="E71" s="17" t="s">
        <v>397</v>
      </c>
      <c r="F71" s="360">
        <f>'数据-取费表'!B41</f>
        <v>5.5000000000000007E-2</v>
      </c>
      <c r="G71" s="361"/>
      <c r="H71" s="311"/>
      <c r="I71" s="1291"/>
      <c r="J71" s="2035"/>
      <c r="K71" s="3061" t="s">
        <v>398</v>
      </c>
      <c r="L71" s="3339" t="s">
        <v>399</v>
      </c>
      <c r="M71" s="3339"/>
      <c r="N71" s="3061" t="s">
        <v>400</v>
      </c>
      <c r="O71" s="3061" t="s">
        <v>401</v>
      </c>
      <c r="P71" s="3061" t="s">
        <v>402</v>
      </c>
      <c r="Q71" s="2028"/>
      <c r="R71" s="2028"/>
      <c r="S71" s="2028"/>
      <c r="T71" s="2028"/>
      <c r="U71" s="2028"/>
      <c r="V71" s="2028"/>
    </row>
    <row r="72" spans="1:22" ht="12" customHeight="1">
      <c r="A72" s="359" t="s">
        <v>406</v>
      </c>
      <c r="B72" s="3374" t="s">
        <v>407</v>
      </c>
      <c r="C72" s="3386"/>
      <c r="D72" s="358">
        <f ca="1">C86</f>
        <v>0</v>
      </c>
      <c r="E72" s="73" t="s">
        <v>408</v>
      </c>
      <c r="F72" s="360">
        <f>'数据-取费表'!B41</f>
        <v>5.5000000000000007E-2</v>
      </c>
      <c r="G72" s="361"/>
      <c r="H72" s="1297"/>
      <c r="I72" s="1291"/>
      <c r="J72" s="2035"/>
      <c r="K72" s="1976">
        <v>1</v>
      </c>
      <c r="L72" s="3336" t="s">
        <v>405</v>
      </c>
      <c r="M72" s="3336"/>
      <c r="N72" s="1295">
        <f ca="1">D66</f>
        <v>61</v>
      </c>
      <c r="O72" s="1859" t="str">
        <f>E66</f>
        <v>销售额×税（费）率</v>
      </c>
      <c r="P72" s="1296">
        <f>F66</f>
        <v>5.5000000000000007E-2</v>
      </c>
      <c r="Q72" s="2028"/>
      <c r="R72" s="2028"/>
      <c r="S72" s="2028"/>
      <c r="T72" s="2028"/>
      <c r="U72" s="2028"/>
      <c r="V72" s="2028"/>
    </row>
    <row r="73" spans="1:22" ht="24" customHeight="1">
      <c r="A73" s="3362" t="s">
        <v>410</v>
      </c>
      <c r="B73" s="3363"/>
      <c r="C73" s="3363"/>
      <c r="D73" s="362">
        <f>IF(H73="个人住宅",0,ROUND(D63*I73,0))</f>
        <v>0</v>
      </c>
      <c r="E73" s="17" t="s">
        <v>411</v>
      </c>
      <c r="F73" s="360" t="str">
        <f>IF(H73="正常",I73,"免征")</f>
        <v>免征</v>
      </c>
      <c r="G73" s="361"/>
      <c r="H73" s="191" t="s">
        <v>2457</v>
      </c>
      <c r="I73" s="360">
        <f>'数据-取费表'!B49</f>
        <v>5.0000000000000001E-4</v>
      </c>
      <c r="J73" s="2035"/>
      <c r="K73" s="1976">
        <v>2</v>
      </c>
      <c r="L73" s="3336" t="s">
        <v>409</v>
      </c>
      <c r="M73" s="3336"/>
      <c r="N73" s="1295">
        <f t="shared" ref="N73:P74" si="1">D73</f>
        <v>0</v>
      </c>
      <c r="O73" s="1859" t="str">
        <f t="shared" si="1"/>
        <v>销售额×税（费）率</v>
      </c>
      <c r="P73" s="1296" t="str">
        <f t="shared" si="1"/>
        <v>免征</v>
      </c>
      <c r="Q73" s="2028"/>
      <c r="R73" s="2028"/>
      <c r="S73" s="2028"/>
      <c r="T73" s="2028"/>
      <c r="U73" s="2028"/>
      <c r="V73" s="2028"/>
    </row>
    <row r="74" spans="1:22" ht="24.75">
      <c r="A74" s="3362" t="s">
        <v>414</v>
      </c>
      <c r="B74" s="3363"/>
      <c r="C74" s="3363"/>
      <c r="D74" s="362">
        <f ca="1">IF(H74="个人住宅",D75,D76)</f>
        <v>131</v>
      </c>
      <c r="E74" s="17" t="s">
        <v>415</v>
      </c>
      <c r="F74" s="360" t="str">
        <f>IF(H74="正常",F76,"免征")</f>
        <v>——</v>
      </c>
      <c r="G74" s="982" t="s">
        <v>416</v>
      </c>
      <c r="H74" s="363" t="s">
        <v>412</v>
      </c>
      <c r="I74" s="42"/>
      <c r="J74" s="2035"/>
      <c r="K74" s="1976">
        <v>3</v>
      </c>
      <c r="L74" s="3336" t="s">
        <v>413</v>
      </c>
      <c r="M74" s="3336"/>
      <c r="N74" s="1295">
        <f t="shared" ca="1" si="1"/>
        <v>131</v>
      </c>
      <c r="O74" s="1859" t="str">
        <f t="shared" si="1"/>
        <v>增值额×税（费）率</v>
      </c>
      <c r="P74" s="1298" t="str">
        <f t="shared" si="1"/>
        <v>——</v>
      </c>
      <c r="Q74" s="2028"/>
      <c r="R74" s="2028"/>
      <c r="S74" s="2028"/>
      <c r="T74" s="2028"/>
      <c r="U74" s="2028"/>
      <c r="V74" s="2028"/>
    </row>
    <row r="75" spans="1:22" ht="24">
      <c r="A75" s="359" t="s">
        <v>417</v>
      </c>
      <c r="B75" s="3343" t="s">
        <v>418</v>
      </c>
      <c r="C75" s="3344"/>
      <c r="D75" s="364">
        <v>0</v>
      </c>
      <c r="E75" s="41" t="s">
        <v>419</v>
      </c>
      <c r="F75" s="365"/>
      <c r="G75" s="361"/>
      <c r="H75" s="42"/>
      <c r="I75" s="42"/>
      <c r="J75" s="2035"/>
      <c r="K75" s="3054">
        <f>IF(H77="非个人房产","",4)</f>
        <v>4</v>
      </c>
      <c r="L75" s="3336" t="str">
        <f>IF(H77="非个人房产","——","个人所得税")</f>
        <v>个人所得税</v>
      </c>
      <c r="M75" s="3336"/>
      <c r="N75" s="1299">
        <f ca="1">D77</f>
        <v>12</v>
      </c>
      <c r="O75" s="1872" t="str">
        <f>E77</f>
        <v>销售额×税（费）率</v>
      </c>
      <c r="P75" s="1300">
        <f>F77</f>
        <v>0.01</v>
      </c>
      <c r="Q75" s="2028"/>
      <c r="R75" s="2028"/>
      <c r="S75" s="2028"/>
      <c r="T75" s="2028"/>
      <c r="U75" s="2028"/>
      <c r="V75" s="2028"/>
    </row>
    <row r="76" spans="1:22" ht="24.75">
      <c r="A76" s="359" t="s">
        <v>395</v>
      </c>
      <c r="B76" s="3343" t="s">
        <v>421</v>
      </c>
      <c r="C76" s="3385"/>
      <c r="D76" s="362">
        <f ca="1">IF(H76="转让取得",C99,C115)</f>
        <v>131</v>
      </c>
      <c r="E76" s="17" t="s">
        <v>422</v>
      </c>
      <c r="F76" s="53" t="s">
        <v>21</v>
      </c>
      <c r="G76" s="361"/>
      <c r="H76" s="363" t="s">
        <v>423</v>
      </c>
      <c r="I76" s="42"/>
      <c r="J76" s="2035"/>
      <c r="K76" s="3054" t="str">
        <f>IF(项目基本情况!K6="上海银行",IF(K75="",4,K75+1),"")</f>
        <v/>
      </c>
      <c r="L76" s="3324" t="str">
        <f>IF(项目基本情况!K6="上海银行","其他处置费用","")</f>
        <v/>
      </c>
      <c r="M76" s="3325"/>
      <c r="N76" s="1295" t="str">
        <f>IF(项目基本情况!K6="上海银行",N89,"")</f>
        <v/>
      </c>
      <c r="O76" s="3326" t="str">
        <f>IF(项目基本情况!K6="上海银行","包含处置中涉及的律师、诉讼、拍卖、评估等费用","")</f>
        <v/>
      </c>
      <c r="P76" s="3327"/>
      <c r="Q76" s="2028"/>
      <c r="R76" s="2028"/>
      <c r="S76" s="2028"/>
      <c r="T76" s="2028"/>
      <c r="U76" s="2028"/>
      <c r="V76" s="2028"/>
    </row>
    <row r="77" spans="1:22" ht="26.25" thickBot="1">
      <c r="A77" s="3354" t="s">
        <v>425</v>
      </c>
      <c r="B77" s="3355"/>
      <c r="C77" s="3355"/>
      <c r="D77" s="366">
        <f ca="1">IF(H77="非个人房产","——",IF(H77="个人住宅",0,ROUND(D63*I77,0)))</f>
        <v>12</v>
      </c>
      <c r="E77" s="367" t="str">
        <f>IF(H77="非个人房产","——","销售额×税（费）率")</f>
        <v>销售额×税（费）率</v>
      </c>
      <c r="F77" s="368">
        <f>IF(H77="非个人房产","——",IF(H77="个人住宅","免征",I77))</f>
        <v>0.01</v>
      </c>
      <c r="G77" s="983" t="s">
        <v>416</v>
      </c>
      <c r="H77" s="363" t="s">
        <v>2886</v>
      </c>
      <c r="I77" s="369">
        <v>0.01</v>
      </c>
      <c r="J77" s="2035"/>
      <c r="K77" s="3350">
        <f>IF(AND(K75="",K76=""),4,IF(项目基本情况!K6="上海银行",K76+1,K75+1))</f>
        <v>5</v>
      </c>
      <c r="L77" s="3336" t="s">
        <v>2887</v>
      </c>
      <c r="M77" s="3060" t="s">
        <v>420</v>
      </c>
      <c r="N77" s="1301"/>
      <c r="O77" s="1302">
        <f ca="1">SUMIF(N72:N76,"&lt;9e307")</f>
        <v>204</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50"/>
      <c r="L78" s="3336"/>
      <c r="M78" s="3060" t="s">
        <v>424</v>
      </c>
      <c r="N78" s="1301"/>
      <c r="O78" s="1302" t="str">
        <f ca="1">NUMBERSTRING(INT(O77*10000),2)&amp;"元整"</f>
        <v>贰佰零肆万元整</v>
      </c>
      <c r="P78" s="1303"/>
      <c r="Q78" s="2028"/>
      <c r="R78" s="2028"/>
      <c r="S78" s="2028"/>
      <c r="T78" s="2028"/>
      <c r="U78" s="2028"/>
      <c r="V78" s="2028"/>
    </row>
    <row r="79" spans="1:22" ht="13.5" thickBot="1">
      <c r="A79" s="3340" t="s">
        <v>426</v>
      </c>
      <c r="B79" s="3340"/>
      <c r="C79" s="3340"/>
      <c r="D79" s="3340"/>
      <c r="E79" s="3340"/>
      <c r="F79" s="42"/>
      <c r="G79" s="42"/>
      <c r="H79" s="1002"/>
      <c r="I79" s="311"/>
      <c r="J79" s="2035"/>
      <c r="K79" s="3334">
        <f>K77+1</f>
        <v>6</v>
      </c>
      <c r="L79" s="3336" t="s">
        <v>2888</v>
      </c>
      <c r="M79" s="3060" t="s">
        <v>420</v>
      </c>
      <c r="N79" s="1301"/>
      <c r="O79" s="1302" t="e">
        <f ca="1">N69-O77</f>
        <v>#VALUE!</v>
      </c>
      <c r="P79" s="1303"/>
      <c r="Q79" s="2028"/>
      <c r="R79" s="2028"/>
      <c r="S79" s="2028"/>
      <c r="T79" s="2028"/>
      <c r="U79" s="2028"/>
      <c r="V79" s="2028"/>
    </row>
    <row r="80" spans="1:22" ht="12.75">
      <c r="A80" s="3341" t="s">
        <v>427</v>
      </c>
      <c r="B80" s="3342"/>
      <c r="C80" s="993"/>
      <c r="D80" s="993" t="s">
        <v>428</v>
      </c>
      <c r="E80" s="370" t="s">
        <v>429</v>
      </c>
      <c r="F80" s="42"/>
      <c r="G80" s="42"/>
      <c r="H80" s="1002"/>
      <c r="I80" s="311"/>
      <c r="J80" s="2028"/>
      <c r="K80" s="3335"/>
      <c r="L80" s="3336"/>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1110</v>
      </c>
      <c r="D81" s="373"/>
      <c r="E81" s="374"/>
      <c r="F81" s="42"/>
      <c r="G81" s="42"/>
      <c r="H81" s="1002"/>
      <c r="I81" s="311"/>
      <c r="J81" s="2028"/>
      <c r="K81" s="3054">
        <f>K79+1</f>
        <v>7</v>
      </c>
      <c r="L81" s="3348" t="s">
        <v>2889</v>
      </c>
      <c r="M81" s="3349"/>
      <c r="N81" s="1305"/>
      <c r="O81" s="1306" t="e">
        <f ca="1">ROUND(O79*10000/'数据-汇总表'!E3,0)</f>
        <v>#VALUE!</v>
      </c>
      <c r="P81" s="1307"/>
      <c r="Q81" s="2028"/>
      <c r="R81" s="2028"/>
      <c r="S81" s="2028"/>
      <c r="T81" s="2028"/>
      <c r="U81" s="2028"/>
      <c r="V81" s="2028"/>
    </row>
    <row r="82" spans="1:26" ht="13.5" thickTop="1">
      <c r="A82" s="375" t="s">
        <v>1824</v>
      </c>
      <c r="B82" s="376" t="s">
        <v>431</v>
      </c>
      <c r="C82" s="377">
        <f ca="1">D63</f>
        <v>1165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23"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323"/>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-890</v>
      </c>
      <c r="D85" s="378" t="s">
        <v>19</v>
      </c>
      <c r="E85" s="379"/>
      <c r="F85" s="42"/>
      <c r="G85" s="42"/>
      <c r="H85" s="1002"/>
      <c r="I85" s="311"/>
      <c r="J85" s="2028"/>
      <c r="K85" s="3323"/>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5.5000000000000007E-2</v>
      </c>
      <c r="E86" s="390"/>
      <c r="F86" s="42"/>
      <c r="G86" s="42"/>
      <c r="H86" s="1002"/>
      <c r="I86" s="311"/>
      <c r="J86" s="2028"/>
      <c r="K86" s="3323"/>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23"/>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77" t="s">
        <v>436</v>
      </c>
      <c r="B88" s="3378"/>
      <c r="C88" s="3378"/>
      <c r="D88" s="3378"/>
      <c r="E88" s="3378"/>
      <c r="F88" s="3378"/>
      <c r="G88" s="3378"/>
      <c r="H88" s="3378"/>
      <c r="I88" s="1314"/>
      <c r="J88" s="2036"/>
      <c r="K88" s="3323"/>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41" t="s">
        <v>427</v>
      </c>
      <c r="B89" s="3342"/>
      <c r="C89" s="993"/>
      <c r="D89" s="993" t="s">
        <v>428</v>
      </c>
      <c r="E89" s="391" t="s">
        <v>437</v>
      </c>
      <c r="F89" s="392"/>
      <c r="G89" s="392"/>
      <c r="H89" s="393"/>
      <c r="I89" s="1315"/>
      <c r="J89" s="2038"/>
      <c r="K89" s="3323"/>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1110</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2567</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74" t="s">
        <v>446</v>
      </c>
      <c r="F94" s="3375"/>
      <c r="G94" s="3375"/>
      <c r="H94" s="337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6</v>
      </c>
      <c r="D96" s="406">
        <f>'数据-取费表'!B43</f>
        <v>5.000000000000001E-3</v>
      </c>
      <c r="E96" s="3364" t="s">
        <v>2430</v>
      </c>
      <c r="F96" s="3365"/>
      <c r="G96" s="3365"/>
      <c r="H96" s="336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-1457</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7" t="s">
        <v>453</v>
      </c>
      <c r="B101" s="3378"/>
      <c r="C101" s="3378"/>
      <c r="D101" s="3378"/>
      <c r="E101" s="3378"/>
      <c r="F101" s="3378"/>
      <c r="G101" s="3378"/>
      <c r="H101" s="3378"/>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1" t="s">
        <v>427</v>
      </c>
      <c r="B102" s="3342"/>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1110</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696</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67" t="s">
        <v>461</v>
      </c>
      <c r="F109" s="3365"/>
      <c r="G109" s="3365"/>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67" t="s">
        <v>463</v>
      </c>
      <c r="F110" s="3365"/>
      <c r="G110" s="3365"/>
      <c r="H110" s="3366"/>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6</v>
      </c>
      <c r="D111" s="406">
        <f>'数据-取费表'!B43</f>
        <v>5.000000000000001E-3</v>
      </c>
      <c r="E111" s="3364" t="s">
        <v>2430</v>
      </c>
      <c r="F111" s="3365"/>
      <c r="G111" s="3365"/>
      <c r="H111" s="3366"/>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67" t="s">
        <v>2455</v>
      </c>
      <c r="F112" s="3365"/>
      <c r="G112" s="3365"/>
      <c r="H112" s="3366"/>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414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0.59482758620689657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5" stopIfTrue="1" operator="equal">
      <formula>25</formula>
    </cfRule>
  </conditionalFormatting>
  <conditionalFormatting sqref="C8:C9">
    <cfRule type="cellIs" dxfId="158" priority="23" stopIfTrue="1" operator="equal">
      <formula>15</formula>
    </cfRule>
  </conditionalFormatting>
  <conditionalFormatting sqref="D5:D7">
    <cfRule type="cellIs" dxfId="157" priority="14" stopIfTrue="1" operator="equal">
      <formula>25</formula>
    </cfRule>
  </conditionalFormatting>
  <conditionalFormatting sqref="D8:D9">
    <cfRule type="cellIs" dxfId="156" priority="13" stopIfTrue="1" operator="equal">
      <formula>15</formula>
    </cfRule>
  </conditionalFormatting>
  <conditionalFormatting sqref="C10:D13">
    <cfRule type="cellIs" dxfId="155" priority="12" stopIfTrue="1" operator="equal">
      <formula>15</formula>
    </cfRule>
  </conditionalFormatting>
  <conditionalFormatting sqref="C108">
    <cfRule type="expression" dxfId="154" priority="7" stopIfTrue="1">
      <formula>$H$106&lt;&gt;"仅含出让金"</formula>
    </cfRule>
  </conditionalFormatting>
  <conditionalFormatting sqref="C109">
    <cfRule type="expression" dxfId="153" priority="6" stopIfTrue="1">
      <formula>$H$109="由企业提供"</formula>
    </cfRule>
  </conditionalFormatting>
  <conditionalFormatting sqref="I33">
    <cfRule type="expression" dxfId="152" priority="5"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11.375" style="2114" customWidth="1"/>
    <col min="13" max="13" width="9" style="2114" customWidth="1"/>
    <col min="14" max="14" width="12.5" style="2114" customWidth="1"/>
    <col min="15"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7</v>
      </c>
    </row>
    <row r="2" spans="1:31" s="2041" customFormat="1" ht="18" customHeight="1">
      <c r="A2" s="2101" t="s">
        <v>466</v>
      </c>
      <c r="B2" s="2105">
        <f ca="1">C36</f>
        <v>4126</v>
      </c>
      <c r="C2" s="2104"/>
      <c r="D2" s="2104"/>
      <c r="E2" s="2104"/>
      <c r="F2" s="2104"/>
      <c r="G2" s="2104"/>
      <c r="H2" s="2104"/>
      <c r="I2" s="2104"/>
      <c r="J2" s="2104"/>
      <c r="K2" s="2104"/>
    </row>
    <row r="3" spans="1:31" s="2041" customFormat="1" ht="18" customHeight="1">
      <c r="A3" s="2106" t="s">
        <v>1684</v>
      </c>
      <c r="B3" s="2107">
        <f ca="1">ROUND(B2*10000/IF(B1="",'数据-汇总表'!E3,INDIRECT("'数据-取费表'!K"&amp;$K$1)),0)</f>
        <v>2044</v>
      </c>
      <c r="C3" s="2104"/>
      <c r="D3" s="2104"/>
      <c r="E3" s="2104"/>
      <c r="F3" s="2104"/>
      <c r="G3" s="2104"/>
      <c r="H3" s="2104"/>
      <c r="I3" s="2104"/>
      <c r="J3" s="2104"/>
      <c r="K3" s="2104"/>
    </row>
    <row r="4" spans="1:31" s="2041" customFormat="1" ht="18" customHeight="1">
      <c r="A4" s="426" t="s">
        <v>467</v>
      </c>
      <c r="B4" s="427">
        <f ca="1">ROUND(B2*10000/IF(B1="",'数据-汇总表'!D3,INDIRECT("'数据-取费表'!R"&amp;$K$1)),0)</f>
        <v>7152</v>
      </c>
      <c r="C4" s="428"/>
      <c r="D4" s="422"/>
      <c r="E4" s="422"/>
      <c r="F4" s="422"/>
      <c r="G4" s="422"/>
      <c r="H4" s="422"/>
      <c r="I4" s="422"/>
      <c r="J4" s="422"/>
      <c r="K4" s="422"/>
    </row>
    <row r="5" spans="1:31" s="2041" customFormat="1" ht="18" customHeight="1" thickBot="1">
      <c r="A5" s="429"/>
      <c r="B5" s="430">
        <f ca="1">ROUND(B2/(IF(B1="",'数据-汇总表'!D3,INDIRECT("'数据-取费表'!R"&amp;$K$1))/666.67),0)</f>
        <v>477</v>
      </c>
      <c r="C5" s="431" t="s">
        <v>468</v>
      </c>
      <c r="D5" s="422"/>
      <c r="E5" s="422"/>
      <c r="F5" s="422"/>
      <c r="G5" s="422"/>
      <c r="H5" s="422"/>
      <c r="I5" s="422"/>
      <c r="J5" s="422"/>
      <c r="K5" s="422"/>
    </row>
    <row r="6" spans="1:31" s="2111" customFormat="1" ht="16.5" customHeight="1">
      <c r="A6" s="2828" t="s">
        <v>1842</v>
      </c>
      <c r="B6" s="2829"/>
      <c r="C6" s="2830">
        <f ca="1">SUM(C10:K10)</f>
        <v>15244.054</v>
      </c>
      <c r="D6" s="2829"/>
      <c r="E6" s="2829"/>
      <c r="F6" s="2829"/>
      <c r="G6" s="2829"/>
      <c r="H6" s="2829"/>
      <c r="I6" s="2829"/>
      <c r="J6" s="2829"/>
      <c r="K6" s="2831"/>
    </row>
    <row r="7" spans="1:31" s="2113" customFormat="1" ht="15">
      <c r="A7" s="2832" t="s">
        <v>469</v>
      </c>
      <c r="B7" s="2833" t="s">
        <v>470</v>
      </c>
      <c r="C7" s="436">
        <v>36987</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 ca="1">不动产收益法!B3</f>
        <v>7550</v>
      </c>
      <c r="D8" s="2834">
        <f ca="1">'不动产收益法 (2)'!B3</f>
        <v>0</v>
      </c>
      <c r="E8" s="2834">
        <f ca="1">'不动产收益法 (3)'!B3</f>
        <v>0</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20190.8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28" t="s">
        <v>3212</v>
      </c>
      <c r="M9" s="3228" t="s">
        <v>3213</v>
      </c>
      <c r="N9" s="3228" t="s">
        <v>3214</v>
      </c>
      <c r="O9" s="3228" t="s">
        <v>3215</v>
      </c>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 ca="1">C8*C9/10000</f>
        <v>15244.054</v>
      </c>
      <c r="D10" s="3029">
        <f ca="1">D8*D9/10000</f>
        <v>0</v>
      </c>
      <c r="E10" s="3029">
        <f ca="1">E8*E9/10000</f>
        <v>0</v>
      </c>
      <c r="F10" s="2837"/>
      <c r="G10" s="2837"/>
      <c r="H10" s="2837"/>
      <c r="I10" s="2837"/>
      <c r="J10" s="2837"/>
      <c r="K10" s="2838"/>
      <c r="L10" s="2114" t="e">
        <f>M10*O10+M11*O11+M12*O12</f>
        <v>#DIV/0!</v>
      </c>
      <c r="M10" s="2114"/>
      <c r="N10" s="3225"/>
      <c r="O10" s="2114" t="e">
        <f>N10/(N10+N11+N12)</f>
        <v>#DIV/0!</v>
      </c>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c r="N11" s="3226"/>
      <c r="O11" s="2111" t="e">
        <f>N11/(N10+N11+N12)</f>
        <v>#DIV/0!</v>
      </c>
    </row>
    <row r="12" spans="1:31" s="2085" customFormat="1" ht="13.5" customHeight="1">
      <c r="A12" s="2840" t="s">
        <v>469</v>
      </c>
      <c r="B12" s="2812" t="s">
        <v>470</v>
      </c>
      <c r="C12" s="2841" t="s">
        <v>474</v>
      </c>
      <c r="D12" s="2808" t="s">
        <v>475</v>
      </c>
      <c r="E12" s="2808" t="s">
        <v>476</v>
      </c>
      <c r="F12" s="2808" t="s">
        <v>477</v>
      </c>
      <c r="G12" s="2812"/>
      <c r="H12" s="2813"/>
      <c r="I12" s="2813"/>
      <c r="J12" s="2813"/>
      <c r="K12" s="2814"/>
      <c r="N12" s="3227"/>
      <c r="O12" s="2114" t="e">
        <f>N12/(N10+N11+N12)</f>
        <v>#DIV/0!</v>
      </c>
    </row>
    <row r="13" spans="1:31" s="2116" customFormat="1" ht="13.5" customHeight="1">
      <c r="A13" s="2842" t="s">
        <v>1848</v>
      </c>
      <c r="B13" s="2843" t="s">
        <v>478</v>
      </c>
      <c r="C13" s="450">
        <f ca="1">IF(B1="",'数据-取费表'!P16,INDIRECT("'数据-取费表'!p"&amp;$K$1)+INDIRECT("'数据-取费表'!t"&amp;$K$1))</f>
        <v>5653</v>
      </c>
      <c r="D13" s="2844"/>
      <c r="E13" s="2845"/>
      <c r="F13" s="2846"/>
      <c r="G13" s="2812"/>
      <c r="H13" s="2813"/>
      <c r="I13" s="2813"/>
      <c r="J13" s="2813"/>
      <c r="K13" s="2814"/>
    </row>
    <row r="14" spans="1:31" s="2116" customFormat="1" ht="13.5" customHeight="1">
      <c r="A14" s="2842" t="s">
        <v>1849</v>
      </c>
      <c r="B14" s="2843" t="s">
        <v>479</v>
      </c>
      <c r="C14" s="53">
        <f ca="1">ROUND(C13*F14,0)</f>
        <v>283</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v>
      </c>
      <c r="G15" s="2812" t="s">
        <v>482</v>
      </c>
      <c r="H15" s="2813"/>
      <c r="I15" s="2813"/>
      <c r="J15" s="2813"/>
      <c r="K15" s="2814"/>
    </row>
    <row r="16" spans="1:31" s="2117" customFormat="1" ht="13.5" customHeight="1">
      <c r="A16" s="2842" t="s">
        <v>1851</v>
      </c>
      <c r="B16" s="2843" t="s">
        <v>483</v>
      </c>
      <c r="C16" s="53">
        <f ca="1">ROUND(D16*E16/10000,0)</f>
        <v>404</v>
      </c>
      <c r="D16" s="2844">
        <f ca="1">IF(B1="",'数据-汇总表'!E3,INDIRECT("'数据-取费表'!K"&amp;$K$1)+INDIRECT("'数据-取费表'!S"&amp;$K$1))</f>
        <v>20190.8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85</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6425</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20190.8</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151</v>
      </c>
      <c r="D20" s="2854"/>
      <c r="E20" s="2808"/>
      <c r="F20" s="2855"/>
      <c r="G20" s="3089"/>
      <c r="H20" s="2810"/>
      <c r="I20" s="2811" t="s">
        <v>2653</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75</v>
      </c>
      <c r="F21" s="2847"/>
      <c r="G21" s="26"/>
      <c r="H21" s="51"/>
      <c r="I21" s="51"/>
      <c r="J21" s="51"/>
      <c r="K21" s="2819"/>
    </row>
    <row r="22" spans="1:14" s="2116" customFormat="1" ht="13.5" customHeight="1">
      <c r="A22" s="2842" t="s">
        <v>1857</v>
      </c>
      <c r="B22" s="2843" t="s">
        <v>491</v>
      </c>
      <c r="C22" s="53">
        <f ca="1">ROUND(D22*E22/10000,0)</f>
        <v>151</v>
      </c>
      <c r="D22" s="2844">
        <f ca="1">IF(B1="",'数据-汇总表'!E6,IF(INDIRECT("'数据-取费表'!c"&amp;$K$1)="住宅",INDIRECT("'数据-取费表'!s"&amp;$K$1),INDIRECT("'数据-取费表'!k"&amp;$K$1)+INDIRECT("'数据-取费表'!s"&amp;$K$1)))</f>
        <v>20190.8</v>
      </c>
      <c r="E22" s="53">
        <f>'数据-取费表'!B28</f>
        <v>75</v>
      </c>
      <c r="F22" s="2847"/>
      <c r="G22" s="26"/>
      <c r="H22" s="51"/>
      <c r="I22" s="51"/>
      <c r="J22" s="51"/>
      <c r="K22" s="2819"/>
    </row>
    <row r="23" spans="1:14" s="2116" customFormat="1" ht="13.5" customHeight="1">
      <c r="A23" s="2850" t="s">
        <v>1858</v>
      </c>
      <c r="B23" s="3035" t="s">
        <v>2836</v>
      </c>
      <c r="C23" s="2852">
        <f ca="1">ROUND((C18+C19+C20)*F23,0)</f>
        <v>132</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457</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340</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340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798</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8303</v>
      </c>
      <c r="D30" s="477">
        <f ca="1">C32</f>
        <v>0.12909999999999999</v>
      </c>
      <c r="E30" s="469" t="s">
        <v>494</v>
      </c>
      <c r="F30" s="471"/>
      <c r="G30" s="2820" t="s">
        <v>2978</v>
      </c>
      <c r="H30" s="2813"/>
      <c r="I30" s="2813"/>
      <c r="J30" s="2813"/>
      <c r="K30" s="2814"/>
    </row>
    <row r="31" spans="1:14" s="2120" customFormat="1" ht="13.5" customHeight="1">
      <c r="A31" s="803" t="s">
        <v>1856</v>
      </c>
      <c r="B31" s="2858"/>
      <c r="C31" s="450">
        <f ca="1">C18+C19+C20+C23+C24+C26+C29</f>
        <v>8303</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4" t="s">
        <v>2835</v>
      </c>
      <c r="B33" s="3032" t="s">
        <v>2833</v>
      </c>
      <c r="C33" s="478">
        <f ca="1">C35</f>
        <v>1433</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1856</v>
      </c>
      <c r="B34" s="2863" t="s">
        <v>500</v>
      </c>
      <c r="C34" s="472">
        <f ca="1">ROUND((1+C25)*F33,4)</f>
        <v>0.20580000000000001</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1433</v>
      </c>
      <c r="D35" s="1628"/>
      <c r="E35" s="2864"/>
      <c r="F35" s="1629"/>
      <c r="G35" s="2822"/>
      <c r="H35" s="2823"/>
      <c r="I35" s="2823"/>
      <c r="J35" s="2823"/>
      <c r="K35" s="2824"/>
    </row>
    <row r="36" spans="1:11" s="2085" customFormat="1" ht="13.5" customHeight="1" thickBot="1">
      <c r="A36" s="284" t="s">
        <v>1844</v>
      </c>
      <c r="B36" s="2826"/>
      <c r="C36" s="2865">
        <f ca="1">ROUND((C6-C30-C33)/(1+D30+D33),0)</f>
        <v>4126</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5653</v>
      </c>
      <c r="D13" s="451"/>
      <c r="E13" s="365"/>
      <c r="F13" s="452"/>
      <c r="G13" s="444"/>
      <c r="H13" s="447"/>
      <c r="I13" s="447"/>
      <c r="J13" s="447"/>
      <c r="K13" s="448"/>
    </row>
    <row r="14" spans="1:41" s="2116" customFormat="1" ht="13.5" customHeight="1">
      <c r="A14" s="1632" t="s">
        <v>1849</v>
      </c>
      <c r="B14" s="449" t="s">
        <v>479</v>
      </c>
      <c r="C14" s="53">
        <f ca="1">ROUND(C13*F14,0)</f>
        <v>283</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2" t="s">
        <v>1851</v>
      </c>
      <c r="B16" s="449" t="s">
        <v>483</v>
      </c>
      <c r="C16" s="53">
        <f ca="1">ROUND(D16*E16/10000,0)</f>
        <v>404</v>
      </c>
      <c r="D16" s="451">
        <f ca="1">IF(B1="",'数据-汇总表'!E3,INDIRECT("'数据-取费表'!K"&amp;$K$1)+INDIRECT("'数据-取费表'!S"&amp;$K$1))</f>
        <v>20190.8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85</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6425</v>
      </c>
      <c r="D18" s="461"/>
      <c r="E18" s="462"/>
      <c r="F18" s="462"/>
      <c r="G18" s="1326" t="s">
        <v>2434</v>
      </c>
      <c r="H18" s="447"/>
      <c r="I18" s="447"/>
      <c r="J18" s="447"/>
      <c r="K18" s="448"/>
    </row>
    <row r="19" spans="1:14" s="2119" customFormat="1" ht="13.5" customHeight="1">
      <c r="A19" s="1633" t="s">
        <v>1854</v>
      </c>
      <c r="B19" s="459" t="s">
        <v>492</v>
      </c>
      <c r="C19" s="460">
        <f ca="1">ROUND(C18*F19,0)</f>
        <v>129</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311</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311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1311</v>
      </c>
      <c r="D24" s="489">
        <f ca="1">C26</f>
        <v>6.0000000000000001E-3</v>
      </c>
      <c r="E24" s="469" t="s">
        <v>506</v>
      </c>
      <c r="F24" s="479">
        <f ca="1">IF(B1="",'数据-取费表'!Q16,INDIRECT("'数据-取费表'!q"&amp;$K$1))</f>
        <v>0.2</v>
      </c>
      <c r="G24" s="444"/>
      <c r="H24" s="447"/>
      <c r="I24" s="447"/>
      <c r="J24" s="447"/>
      <c r="K24" s="448"/>
    </row>
    <row r="25" spans="1:14" s="2120" customFormat="1" ht="13.5" customHeight="1">
      <c r="A25" s="1632" t="s">
        <v>1848</v>
      </c>
      <c r="B25" s="1327" t="s">
        <v>2438</v>
      </c>
      <c r="C25" s="490">
        <f ca="1">ROUND((C18+C19)*F24,0)</f>
        <v>1311</v>
      </c>
      <c r="D25" s="472"/>
      <c r="E25" s="473"/>
      <c r="F25" s="480"/>
      <c r="G25" s="1325" t="s">
        <v>2435</v>
      </c>
      <c r="H25" s="457"/>
      <c r="I25" s="457"/>
      <c r="J25" s="457"/>
      <c r="K25" s="458"/>
    </row>
    <row r="26" spans="1:14" s="2120" customFormat="1" ht="13.5" customHeight="1">
      <c r="A26" s="1632" t="s">
        <v>1849</v>
      </c>
      <c r="B26" s="1327" t="s">
        <v>508</v>
      </c>
      <c r="C26" s="491">
        <f ca="1">ROUND(F20*F24,4)</f>
        <v>6.0000000000000001E-3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8983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5" t="str">
        <f>项目基本情况!B1</f>
        <v>出让国有建设用地使用权抵押价格预评估</v>
      </c>
      <c r="C37" s="3235"/>
      <c r="D37" s="3235"/>
      <c r="E37" s="3235"/>
      <c r="F37" s="3235"/>
      <c r="G37" s="3235"/>
      <c r="H37" s="3235"/>
      <c r="I37" s="3235"/>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0" zoomScaleNormal="95" zoomScaleSheetLayoutView="70" workbookViewId="0">
      <selection activeCell="M15" sqref="M1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1088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539</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1886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22" t="s">
        <v>521</v>
      </c>
      <c r="D6" s="3423"/>
      <c r="E6" s="3422" t="s">
        <v>522</v>
      </c>
      <c r="F6" s="3423"/>
      <c r="G6" s="3422" t="s">
        <v>523</v>
      </c>
      <c r="H6" s="3423"/>
      <c r="I6" s="3422" t="s">
        <v>524</v>
      </c>
      <c r="J6" s="3423"/>
      <c r="K6" s="514" t="s">
        <v>525</v>
      </c>
      <c r="L6" s="2133"/>
      <c r="M6" s="2132"/>
      <c r="N6" s="2132"/>
      <c r="O6" s="2134"/>
      <c r="P6" s="3424" t="s">
        <v>526</v>
      </c>
      <c r="Q6" s="3425"/>
      <c r="R6" s="3410" t="s">
        <v>522</v>
      </c>
      <c r="S6" s="3411"/>
      <c r="T6" s="3410" t="s">
        <v>523</v>
      </c>
      <c r="U6" s="3411"/>
      <c r="V6" s="3430" t="s">
        <v>524</v>
      </c>
      <c r="W6" s="3430"/>
      <c r="X6" s="1566"/>
      <c r="Y6" s="3410" t="s">
        <v>526</v>
      </c>
      <c r="Z6" s="3411"/>
      <c r="AA6" s="3405" t="s">
        <v>522</v>
      </c>
      <c r="AB6" s="3406" t="s">
        <v>523</v>
      </c>
      <c r="AC6" s="3405" t="s">
        <v>524</v>
      </c>
    </row>
    <row r="7" spans="1:30" ht="20.25">
      <c r="A7" s="515"/>
      <c r="B7" s="516"/>
      <c r="C7" s="3433" t="s">
        <v>3208</v>
      </c>
      <c r="D7" s="3434"/>
      <c r="E7" s="3433" t="str">
        <f>土地案例!A43</f>
        <v>三合镇羊河村3、9组</v>
      </c>
      <c r="F7" s="3434"/>
      <c r="G7" s="3433" t="str">
        <f>土地案例!A5</f>
        <v>工业园区攀羊路以南、宝羊路以东</v>
      </c>
      <c r="H7" s="3434"/>
      <c r="I7" s="3433" t="str">
        <f>土地案例!A42</f>
        <v>三合镇羊河村1、2、3、9组</v>
      </c>
      <c r="J7" s="3434"/>
      <c r="K7" s="514"/>
      <c r="L7" s="2133"/>
      <c r="M7" s="2132"/>
      <c r="N7" s="2132"/>
      <c r="O7" s="2134"/>
      <c r="P7" s="3426"/>
      <c r="Q7" s="3427"/>
      <c r="R7" s="3412"/>
      <c r="S7" s="3413"/>
      <c r="T7" s="3412"/>
      <c r="U7" s="3413"/>
      <c r="V7" s="3430"/>
      <c r="W7" s="3430"/>
      <c r="X7" s="1566"/>
      <c r="Y7" s="3412"/>
      <c r="Z7" s="3413"/>
      <c r="AA7" s="3406"/>
      <c r="AB7" s="3406"/>
      <c r="AC7" s="3406"/>
    </row>
    <row r="8" spans="1:30" ht="21" thickBot="1">
      <c r="A8" s="515"/>
      <c r="B8" s="516"/>
      <c r="C8" s="3435" t="s">
        <v>2937</v>
      </c>
      <c r="D8" s="3436"/>
      <c r="E8" s="3435" t="s">
        <v>2937</v>
      </c>
      <c r="F8" s="3436"/>
      <c r="G8" s="3431" t="s">
        <v>2937</v>
      </c>
      <c r="H8" s="3432"/>
      <c r="I8" s="3431" t="s">
        <v>2937</v>
      </c>
      <c r="J8" s="3432"/>
      <c r="K8" s="514" t="s">
        <v>527</v>
      </c>
      <c r="L8" s="2133"/>
      <c r="M8" s="2132"/>
      <c r="N8" s="2132"/>
      <c r="O8" s="2134"/>
      <c r="P8" s="3428"/>
      <c r="Q8" s="3429"/>
      <c r="R8" s="3412"/>
      <c r="S8" s="3413"/>
      <c r="T8" s="3414"/>
      <c r="U8" s="3415"/>
      <c r="V8" s="3430"/>
      <c r="W8" s="3430"/>
      <c r="X8" s="1566"/>
      <c r="Y8" s="3414"/>
      <c r="Z8" s="3415"/>
      <c r="AA8" s="3407"/>
      <c r="AB8" s="3407"/>
      <c r="AC8" s="3407"/>
    </row>
    <row r="9" spans="1:30" s="1219" customFormat="1" ht="21" thickBot="1">
      <c r="A9" s="2912"/>
      <c r="B9" s="2919" t="s">
        <v>528</v>
      </c>
      <c r="C9" s="2911">
        <f>'数据-取费表'!B2</f>
        <v>43402</v>
      </c>
      <c r="D9" s="520">
        <v>100</v>
      </c>
      <c r="E9" s="521" t="str">
        <f>土地案例!H43</f>
        <v>2016-05-27</v>
      </c>
      <c r="F9" s="522">
        <f>SUMIF(72:72,YEAR(E9)&amp;"-"&amp;INT((MONTH(E9)+2)/3),73:73)</f>
        <v>92</v>
      </c>
      <c r="G9" s="523" t="str">
        <f>土地案例!H5</f>
        <v>2018-01-05</v>
      </c>
      <c r="H9" s="520">
        <f>SUMIF(72:72,YEAR(G9)&amp;"-"&amp;INT((MONTH(G9)+2)/3),73:73)</f>
        <v>99</v>
      </c>
      <c r="I9" s="523" t="str">
        <f>土地案例!H42</f>
        <v>2016-05-27</v>
      </c>
      <c r="J9" s="520">
        <f>SUMIF(72:72,YEAR(I9)&amp;"-"&amp;INT((MONTH(I9)+2)/3),73:73)</f>
        <v>92</v>
      </c>
      <c r="K9" s="524"/>
      <c r="L9" s="2135"/>
      <c r="M9" s="2132"/>
      <c r="N9" s="2132"/>
      <c r="O9" s="2136"/>
      <c r="P9" s="3408" t="s">
        <v>529</v>
      </c>
      <c r="Q9" s="3417"/>
      <c r="R9" s="1567" t="s">
        <v>8</v>
      </c>
      <c r="S9" s="1568">
        <f t="shared" ref="S9:S17" si="0">F9</f>
        <v>92</v>
      </c>
      <c r="T9" s="1567" t="s">
        <v>8</v>
      </c>
      <c r="U9" s="1568">
        <f t="shared" ref="U9:U17" si="1">H9</f>
        <v>99</v>
      </c>
      <c r="V9" s="1567" t="s">
        <v>8</v>
      </c>
      <c r="W9" s="1568">
        <f t="shared" ref="W9:W17" si="2">J9</f>
        <v>92</v>
      </c>
      <c r="X9" s="1569"/>
      <c r="Y9" s="3408" t="s">
        <v>529</v>
      </c>
      <c r="Z9" s="3409"/>
      <c r="AA9" s="1570">
        <f>D9/F9</f>
        <v>1.0869565217391304</v>
      </c>
      <c r="AB9" s="1570">
        <f>D9/H9</f>
        <v>1.0101010101010102</v>
      </c>
      <c r="AC9" s="1570">
        <f>D9/J9</f>
        <v>1.0869565217391304</v>
      </c>
    </row>
    <row r="10" spans="1:30" s="1219" customFormat="1" ht="21"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408" t="s">
        <v>532</v>
      </c>
      <c r="Q10" s="3409"/>
      <c r="R10" s="1567" t="s">
        <v>8</v>
      </c>
      <c r="S10" s="1568">
        <f t="shared" si="0"/>
        <v>100</v>
      </c>
      <c r="T10" s="1567" t="s">
        <v>8</v>
      </c>
      <c r="U10" s="1568">
        <f t="shared" si="1"/>
        <v>100</v>
      </c>
      <c r="V10" s="1567" t="s">
        <v>8</v>
      </c>
      <c r="W10" s="1568">
        <f t="shared" si="2"/>
        <v>100</v>
      </c>
      <c r="X10" s="1569"/>
      <c r="Y10" s="3408" t="s">
        <v>532</v>
      </c>
      <c r="Z10" s="3409"/>
      <c r="AA10" s="1570">
        <f t="shared" ref="AA10:AA47" si="3">D10/F10</f>
        <v>1</v>
      </c>
      <c r="AB10" s="1570">
        <f t="shared" ref="AB10:AB47" si="4">D10/H10</f>
        <v>1</v>
      </c>
      <c r="AC10" s="1570">
        <f t="shared" ref="AC10:AC47" si="5">D10/J10</f>
        <v>1</v>
      </c>
    </row>
    <row r="11" spans="1:30" s="1219" customFormat="1" ht="20.25">
      <c r="A11" s="2914"/>
      <c r="B11" s="2921" t="s">
        <v>2758</v>
      </c>
      <c r="C11" s="2908" t="s">
        <v>2994</v>
      </c>
      <c r="D11" s="254">
        <v>100</v>
      </c>
      <c r="E11" s="526" t="s">
        <v>2994</v>
      </c>
      <c r="F11" s="254">
        <f>SUMIF(77:77,E11,78:78)-SUMIF(77:77,C11,78:78)+100</f>
        <v>100</v>
      </c>
      <c r="G11" s="526" t="s">
        <v>2994</v>
      </c>
      <c r="H11" s="254">
        <f>SUMIF(77:77,G11,78:78)-SUMIF(77:77,C11,78:78)+100</f>
        <v>100</v>
      </c>
      <c r="I11" s="526" t="s">
        <v>2994</v>
      </c>
      <c r="J11" s="254">
        <f>SUMIF(77:77,I11,78:78)-SUMIF(77:77,C11,78:78)+100</f>
        <v>100</v>
      </c>
      <c r="K11" s="524"/>
      <c r="L11" s="2135"/>
      <c r="M11" s="2132"/>
      <c r="N11" s="2132"/>
      <c r="O11" s="2137"/>
      <c r="P11" s="3416" t="s">
        <v>534</v>
      </c>
      <c r="Q11" s="1150" t="str">
        <f t="shared" ref="Q11:Q17" si="6">B11</f>
        <v>用途</v>
      </c>
      <c r="R11" s="1567" t="s">
        <v>8</v>
      </c>
      <c r="S11" s="1568">
        <f t="shared" si="0"/>
        <v>100</v>
      </c>
      <c r="T11" s="1567" t="s">
        <v>8</v>
      </c>
      <c r="U11" s="1568">
        <f t="shared" si="1"/>
        <v>100</v>
      </c>
      <c r="V11" s="1567" t="s">
        <v>8</v>
      </c>
      <c r="W11" s="1568">
        <f t="shared" si="2"/>
        <v>100</v>
      </c>
      <c r="X11" s="1569"/>
      <c r="Y11" s="3373"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416"/>
      <c r="Q12" s="1150" t="str">
        <f t="shared" si="6"/>
        <v>土地使用年限（年）</v>
      </c>
      <c r="R12" s="1567" t="s">
        <v>8</v>
      </c>
      <c r="S12" s="1568">
        <f t="shared" si="0"/>
        <v>102</v>
      </c>
      <c r="T12" s="1567" t="s">
        <v>8</v>
      </c>
      <c r="U12" s="1568">
        <f t="shared" si="1"/>
        <v>102</v>
      </c>
      <c r="V12" s="1567" t="s">
        <v>8</v>
      </c>
      <c r="W12" s="1568">
        <f t="shared" si="2"/>
        <v>102</v>
      </c>
      <c r="X12" s="1569"/>
      <c r="Y12" s="3373"/>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4">
        <v>3.5</v>
      </c>
      <c r="D13" s="255">
        <v>100</v>
      </c>
      <c r="E13" s="533">
        <v>4</v>
      </c>
      <c r="F13" s="255">
        <f>LOOKUP(E13,82:82,83:83)-LOOKUP(C13,82:82,83:83)+100</f>
        <v>97</v>
      </c>
      <c r="G13" s="534">
        <v>4</v>
      </c>
      <c r="H13" s="255">
        <f>LOOKUP(G13,82:82,83:83)-LOOKUP(C13,82:82,83:83)+100</f>
        <v>97</v>
      </c>
      <c r="I13" s="533">
        <v>4</v>
      </c>
      <c r="J13" s="255">
        <f>LOOKUP(I13,82:82,83:83)-LOOKUP(C13,82:82,83:83)+100</f>
        <v>97</v>
      </c>
      <c r="K13" s="535">
        <v>3</v>
      </c>
      <c r="L13" s="2140"/>
      <c r="M13" s="2132"/>
      <c r="N13" s="2132"/>
      <c r="O13" s="2141"/>
      <c r="P13" s="3416"/>
      <c r="Q13" s="1150" t="str">
        <f t="shared" si="6"/>
        <v>容积率</v>
      </c>
      <c r="R13" s="1567" t="s">
        <v>8</v>
      </c>
      <c r="S13" s="1568">
        <f t="shared" si="0"/>
        <v>97</v>
      </c>
      <c r="T13" s="1567" t="s">
        <v>8</v>
      </c>
      <c r="U13" s="1568">
        <f t="shared" si="1"/>
        <v>97</v>
      </c>
      <c r="V13" s="1567" t="s">
        <v>8</v>
      </c>
      <c r="W13" s="1568">
        <f t="shared" si="2"/>
        <v>97</v>
      </c>
      <c r="X13" s="1569"/>
      <c r="Y13" s="3373"/>
      <c r="Z13" s="1149" t="str">
        <f t="shared" si="7"/>
        <v>容积率</v>
      </c>
      <c r="AA13" s="1570">
        <f t="shared" si="3"/>
        <v>1.0309278350515463</v>
      </c>
      <c r="AB13" s="1570">
        <f t="shared" si="4"/>
        <v>1.0309278350515463</v>
      </c>
      <c r="AC13" s="1570">
        <f t="shared" si="5"/>
        <v>1.0309278350515463</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16"/>
      <c r="Q14" s="1150" t="str">
        <f t="shared" si="6"/>
        <v>配建</v>
      </c>
      <c r="R14" s="1567" t="s">
        <v>8</v>
      </c>
      <c r="S14" s="1568">
        <f t="shared" si="0"/>
        <v>100</v>
      </c>
      <c r="T14" s="1567" t="s">
        <v>8</v>
      </c>
      <c r="U14" s="1568">
        <f t="shared" si="1"/>
        <v>100</v>
      </c>
      <c r="V14" s="1567" t="s">
        <v>8</v>
      </c>
      <c r="W14" s="1568">
        <f t="shared" si="2"/>
        <v>100</v>
      </c>
      <c r="X14" s="1569"/>
      <c r="Y14" s="3373"/>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16"/>
      <c r="Q15" s="1150">
        <f t="shared" si="6"/>
        <v>111</v>
      </c>
      <c r="R15" s="1567" t="s">
        <v>8</v>
      </c>
      <c r="S15" s="1568">
        <f t="shared" si="0"/>
        <v>100</v>
      </c>
      <c r="T15" s="1567" t="s">
        <v>8</v>
      </c>
      <c r="U15" s="1568">
        <f t="shared" si="1"/>
        <v>100</v>
      </c>
      <c r="V15" s="1567" t="s">
        <v>8</v>
      </c>
      <c r="W15" s="1568">
        <f t="shared" si="2"/>
        <v>100</v>
      </c>
      <c r="X15" s="1569"/>
      <c r="Y15" s="3373"/>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6"/>
      <c r="Q16" s="1150">
        <f t="shared" si="6"/>
        <v>111</v>
      </c>
      <c r="R16" s="1567" t="s">
        <v>8</v>
      </c>
      <c r="S16" s="1568">
        <f t="shared" si="0"/>
        <v>100</v>
      </c>
      <c r="T16" s="1567" t="s">
        <v>8</v>
      </c>
      <c r="U16" s="1568">
        <f t="shared" si="1"/>
        <v>100</v>
      </c>
      <c r="V16" s="1567" t="s">
        <v>8</v>
      </c>
      <c r="W16" s="1568">
        <f t="shared" si="2"/>
        <v>100</v>
      </c>
      <c r="X16" s="1569"/>
      <c r="Y16" s="3373"/>
      <c r="Z16" s="1149">
        <f t="shared" si="7"/>
        <v>111</v>
      </c>
      <c r="AA16" s="1570">
        <f>D16/F16</f>
        <v>1</v>
      </c>
      <c r="AB16" s="1570">
        <f>D16/H16</f>
        <v>1</v>
      </c>
      <c r="AC16" s="1570">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2"/>
      <c r="M17" s="2132"/>
      <c r="N17" s="2132"/>
      <c r="O17" s="2141"/>
      <c r="P17" s="3418" t="s">
        <v>539</v>
      </c>
      <c r="Q17" s="1571" t="str">
        <f t="shared" si="6"/>
        <v>居住社区成熟度</v>
      </c>
      <c r="R17" s="1572" t="s">
        <v>8</v>
      </c>
      <c r="S17" s="1573">
        <f t="shared" si="0"/>
        <v>100</v>
      </c>
      <c r="T17" s="1572" t="s">
        <v>8</v>
      </c>
      <c r="U17" s="1573">
        <f t="shared" si="1"/>
        <v>100</v>
      </c>
      <c r="V17" s="1572" t="s">
        <v>8</v>
      </c>
      <c r="W17" s="1573">
        <f t="shared" si="2"/>
        <v>100</v>
      </c>
      <c r="X17" s="1566"/>
      <c r="Y17" s="3418" t="s">
        <v>539</v>
      </c>
      <c r="Z17" s="1574" t="str">
        <f t="shared" si="7"/>
        <v>居住社区成熟度</v>
      </c>
      <c r="AA17" s="1575">
        <f t="shared" si="3"/>
        <v>1</v>
      </c>
      <c r="AB17" s="1575">
        <f t="shared" si="4"/>
        <v>1</v>
      </c>
      <c r="AC17" s="1575">
        <f t="shared" si="5"/>
        <v>1</v>
      </c>
    </row>
    <row r="18" spans="1:29" ht="20.25">
      <c r="A18" s="532"/>
      <c r="B18" s="553"/>
      <c r="C18" s="554" t="s">
        <v>3005</v>
      </c>
      <c r="D18" s="557"/>
      <c r="E18" s="558" t="s">
        <v>3003</v>
      </c>
      <c r="F18" s="555"/>
      <c r="G18" s="556" t="s">
        <v>3003</v>
      </c>
      <c r="H18" s="559"/>
      <c r="I18" s="558" t="s">
        <v>3003</v>
      </c>
      <c r="J18" s="555"/>
      <c r="K18" s="531"/>
      <c r="L18" s="2142"/>
      <c r="M18" s="2132"/>
      <c r="N18" s="2132"/>
      <c r="O18" s="2141"/>
      <c r="P18" s="3419"/>
      <c r="Q18" s="1571"/>
      <c r="R18" s="1572"/>
      <c r="S18" s="1573"/>
      <c r="T18" s="1572"/>
      <c r="U18" s="1573"/>
      <c r="V18" s="1572"/>
      <c r="W18" s="1573"/>
      <c r="X18" s="1566"/>
      <c r="Y18" s="3419"/>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105</v>
      </c>
      <c r="G19" s="562"/>
      <c r="H19" s="565">
        <f>SUMIF(92:92,G20,93:93)-SUMIF(92:92,C20,93:93)+100</f>
        <v>105</v>
      </c>
      <c r="I19" s="564"/>
      <c r="J19" s="565">
        <f>SUMIF(92:92,I20,93:93)-SUMIF(92:92,C20,93:93)+100</f>
        <v>105</v>
      </c>
      <c r="K19" s="535">
        <v>5</v>
      </c>
      <c r="L19" s="2142"/>
      <c r="M19" s="2132"/>
      <c r="N19" s="2132"/>
      <c r="O19" s="2141"/>
      <c r="P19" s="3419"/>
      <c r="Q19" s="1571" t="str">
        <f>B19</f>
        <v>商业繁华度</v>
      </c>
      <c r="R19" s="1572" t="s">
        <v>8</v>
      </c>
      <c r="S19" s="1573">
        <f>F19</f>
        <v>105</v>
      </c>
      <c r="T19" s="1572" t="s">
        <v>8</v>
      </c>
      <c r="U19" s="1573">
        <f>H19</f>
        <v>105</v>
      </c>
      <c r="V19" s="1572" t="s">
        <v>8</v>
      </c>
      <c r="W19" s="1573">
        <f>J19</f>
        <v>105</v>
      </c>
      <c r="X19" s="1566"/>
      <c r="Y19" s="3419"/>
      <c r="Z19" s="1574" t="str">
        <f>Q19</f>
        <v>商业繁华度</v>
      </c>
      <c r="AA19" s="1575">
        <f t="shared" si="3"/>
        <v>0.95238095238095233</v>
      </c>
      <c r="AB19" s="1575">
        <f t="shared" si="4"/>
        <v>0.95238095238095233</v>
      </c>
      <c r="AC19" s="1575">
        <f t="shared" si="5"/>
        <v>0.95238095238095233</v>
      </c>
    </row>
    <row r="20" spans="1:29" ht="20.25">
      <c r="A20" s="532"/>
      <c r="B20" s="566"/>
      <c r="C20" s="567" t="s">
        <v>3005</v>
      </c>
      <c r="D20" s="563"/>
      <c r="E20" s="569" t="s">
        <v>3003</v>
      </c>
      <c r="F20" s="559"/>
      <c r="G20" s="568" t="s">
        <v>3003</v>
      </c>
      <c r="H20" s="555"/>
      <c r="I20" s="569" t="s">
        <v>3003</v>
      </c>
      <c r="J20" s="555"/>
      <c r="K20" s="531"/>
      <c r="L20" s="2142"/>
      <c r="M20" s="2132"/>
      <c r="N20" s="2132"/>
      <c r="O20" s="2141"/>
      <c r="P20" s="3419"/>
      <c r="Q20" s="1571"/>
      <c r="R20" s="1572"/>
      <c r="S20" s="1573"/>
      <c r="T20" s="1572"/>
      <c r="U20" s="1573"/>
      <c r="V20" s="1572"/>
      <c r="W20" s="1573"/>
      <c r="X20" s="1566"/>
      <c r="Y20" s="3419"/>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19"/>
      <c r="Q21" s="1571" t="str">
        <f>B21</f>
        <v>办公集聚程度</v>
      </c>
      <c r="R21" s="1572" t="s">
        <v>8</v>
      </c>
      <c r="S21" s="1573">
        <f>F21</f>
        <v>100</v>
      </c>
      <c r="T21" s="1572" t="s">
        <v>8</v>
      </c>
      <c r="U21" s="1573">
        <f>H21</f>
        <v>100</v>
      </c>
      <c r="V21" s="1572" t="s">
        <v>8</v>
      </c>
      <c r="W21" s="1573">
        <f>J21</f>
        <v>100</v>
      </c>
      <c r="X21" s="1566"/>
      <c r="Y21" s="3419"/>
      <c r="Z21" s="1574" t="str">
        <f>Q21</f>
        <v>办公集聚程度</v>
      </c>
      <c r="AA21" s="1575">
        <f t="shared" si="3"/>
        <v>1</v>
      </c>
      <c r="AB21" s="1575">
        <f t="shared" si="4"/>
        <v>1</v>
      </c>
      <c r="AC21" s="1575">
        <f t="shared" si="5"/>
        <v>1</v>
      </c>
    </row>
    <row r="22" spans="1:29" ht="20.25">
      <c r="A22" s="532"/>
      <c r="B22" s="566"/>
      <c r="C22" s="554" t="s">
        <v>3002</v>
      </c>
      <c r="D22" s="557"/>
      <c r="E22" s="558" t="s">
        <v>3002</v>
      </c>
      <c r="F22" s="555"/>
      <c r="G22" s="556" t="s">
        <v>3005</v>
      </c>
      <c r="H22" s="555"/>
      <c r="I22" s="558" t="s">
        <v>3005</v>
      </c>
      <c r="J22" s="555"/>
      <c r="K22" s="531"/>
      <c r="L22" s="2142"/>
      <c r="M22" s="2132"/>
      <c r="N22" s="2132"/>
      <c r="O22" s="2141"/>
      <c r="P22" s="3419"/>
      <c r="Q22" s="1571"/>
      <c r="R22" s="1572"/>
      <c r="S22" s="1573"/>
      <c r="T22" s="1572"/>
      <c r="U22" s="1573"/>
      <c r="V22" s="1572"/>
      <c r="W22" s="1573"/>
      <c r="X22" s="1566"/>
      <c r="Y22" s="3419"/>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2"/>
      <c r="M23" s="2132"/>
      <c r="N23" s="2132"/>
      <c r="O23" s="2141"/>
      <c r="P23" s="3419"/>
      <c r="Q23" s="1571" t="str">
        <f>B23</f>
        <v>交通便捷度</v>
      </c>
      <c r="R23" s="1572" t="s">
        <v>8</v>
      </c>
      <c r="S23" s="1573">
        <f>F23</f>
        <v>105</v>
      </c>
      <c r="T23" s="1572" t="s">
        <v>8</v>
      </c>
      <c r="U23" s="1573">
        <f>H23</f>
        <v>105</v>
      </c>
      <c r="V23" s="1572" t="s">
        <v>8</v>
      </c>
      <c r="W23" s="1573">
        <f>J23</f>
        <v>105</v>
      </c>
      <c r="X23" s="1566"/>
      <c r="Y23" s="3419"/>
      <c r="Z23" s="1574" t="str">
        <f>Q23</f>
        <v>交通便捷度</v>
      </c>
      <c r="AA23" s="1575">
        <f t="shared" si="3"/>
        <v>0.95238095238095233</v>
      </c>
      <c r="AB23" s="1575">
        <f t="shared" si="4"/>
        <v>0.95238095238095233</v>
      </c>
      <c r="AC23" s="1575">
        <f t="shared" si="5"/>
        <v>0.95238095238095233</v>
      </c>
    </row>
    <row r="24" spans="1:29" ht="20.25">
      <c r="A24" s="532"/>
      <c r="B24" s="578"/>
      <c r="C24" s="554" t="s">
        <v>3005</v>
      </c>
      <c r="D24" s="557"/>
      <c r="E24" s="558" t="s">
        <v>3003</v>
      </c>
      <c r="F24" s="555"/>
      <c r="G24" s="556" t="s">
        <v>3003</v>
      </c>
      <c r="H24" s="555"/>
      <c r="I24" s="558" t="s">
        <v>3003</v>
      </c>
      <c r="J24" s="555"/>
      <c r="K24" s="531"/>
      <c r="L24" s="2142"/>
      <c r="M24" s="2132"/>
      <c r="N24" s="2132"/>
      <c r="O24" s="2141"/>
      <c r="P24" s="3419"/>
      <c r="Q24" s="1571"/>
      <c r="R24" s="1572"/>
      <c r="S24" s="1573"/>
      <c r="T24" s="1572"/>
      <c r="U24" s="1573"/>
      <c r="V24" s="1572"/>
      <c r="W24" s="1573"/>
      <c r="X24" s="1566"/>
      <c r="Y24" s="3419"/>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19"/>
      <c r="Q25" s="1571" t="str">
        <f t="shared" ref="Q25:Q39" si="8">B25</f>
        <v>区域土地利用方向</v>
      </c>
      <c r="R25" s="1572" t="s">
        <v>8</v>
      </c>
      <c r="S25" s="1573">
        <f>F25</f>
        <v>100</v>
      </c>
      <c r="T25" s="1572" t="s">
        <v>8</v>
      </c>
      <c r="U25" s="1573">
        <f>H25</f>
        <v>100</v>
      </c>
      <c r="V25" s="1572" t="s">
        <v>8</v>
      </c>
      <c r="W25" s="1573">
        <f>J25</f>
        <v>100</v>
      </c>
      <c r="X25" s="1566"/>
      <c r="Y25" s="3419"/>
      <c r="Z25" s="1574" t="str">
        <f>Q25</f>
        <v>区域土地利用方向</v>
      </c>
      <c r="AA25" s="1575">
        <f t="shared" si="3"/>
        <v>1</v>
      </c>
      <c r="AB25" s="1575">
        <f t="shared" si="4"/>
        <v>1</v>
      </c>
      <c r="AC25" s="1575">
        <f t="shared" si="5"/>
        <v>1</v>
      </c>
    </row>
    <row r="26" spans="1:29" ht="20.25">
      <c r="A26" s="515"/>
      <c r="B26" s="1006"/>
      <c r="C26" s="554" t="s">
        <v>3005</v>
      </c>
      <c r="D26" s="557"/>
      <c r="E26" s="558" t="s">
        <v>3005</v>
      </c>
      <c r="F26" s="555"/>
      <c r="G26" s="556" t="s">
        <v>3005</v>
      </c>
      <c r="H26" s="555"/>
      <c r="I26" s="558" t="s">
        <v>3005</v>
      </c>
      <c r="J26" s="555"/>
      <c r="K26" s="531"/>
      <c r="L26" s="2142"/>
      <c r="M26" s="2132"/>
      <c r="N26" s="2132"/>
      <c r="O26" s="2141"/>
      <c r="P26" s="3419"/>
      <c r="Q26" s="1571"/>
      <c r="R26" s="1572"/>
      <c r="S26" s="1573"/>
      <c r="T26" s="1572"/>
      <c r="U26" s="1573"/>
      <c r="V26" s="1572"/>
      <c r="W26" s="1573"/>
      <c r="X26" s="1566"/>
      <c r="Y26" s="3419"/>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92</v>
      </c>
      <c r="G27" s="562"/>
      <c r="H27" s="559">
        <f>SUMIF(100:100,G28,101:101)-SUMIF(100:100,C28,101:101)+100</f>
        <v>92</v>
      </c>
      <c r="I27" s="564"/>
      <c r="J27" s="559">
        <f>SUMIF(100:100,I28,101:101)-SUMIF(100:100,C28,101:101)+100</f>
        <v>92</v>
      </c>
      <c r="K27" s="535">
        <v>8</v>
      </c>
      <c r="L27" s="2142"/>
      <c r="M27" s="2132"/>
      <c r="N27" s="2132"/>
      <c r="O27" s="2141"/>
      <c r="P27" s="3419"/>
      <c r="Q27" s="1571" t="str">
        <f t="shared" si="8"/>
        <v>自然及人文环境状况</v>
      </c>
      <c r="R27" s="1572" t="s">
        <v>8</v>
      </c>
      <c r="S27" s="1573">
        <f>F27</f>
        <v>92</v>
      </c>
      <c r="T27" s="1572" t="s">
        <v>8</v>
      </c>
      <c r="U27" s="1573">
        <f>H27</f>
        <v>92</v>
      </c>
      <c r="V27" s="1572" t="s">
        <v>8</v>
      </c>
      <c r="W27" s="1573">
        <f>J27</f>
        <v>92</v>
      </c>
      <c r="X27" s="1566"/>
      <c r="Y27" s="3419"/>
      <c r="Z27" s="1574" t="str">
        <f>Q27</f>
        <v>自然及人文环境状况</v>
      </c>
      <c r="AA27" s="1575">
        <f t="shared" si="3"/>
        <v>1.0869565217391304</v>
      </c>
      <c r="AB27" s="1575">
        <f t="shared" si="4"/>
        <v>1.0869565217391304</v>
      </c>
      <c r="AC27" s="1575">
        <f t="shared" si="5"/>
        <v>1.0869565217391304</v>
      </c>
    </row>
    <row r="28" spans="1:29" ht="20.25">
      <c r="A28" s="515"/>
      <c r="B28" s="566"/>
      <c r="C28" s="554" t="s">
        <v>3003</v>
      </c>
      <c r="D28" s="557"/>
      <c r="E28" s="576" t="s">
        <v>3005</v>
      </c>
      <c r="F28" s="555"/>
      <c r="G28" s="554" t="s">
        <v>3005</v>
      </c>
      <c r="H28" s="555"/>
      <c r="I28" s="576" t="s">
        <v>3005</v>
      </c>
      <c r="J28" s="555"/>
      <c r="K28" s="531"/>
      <c r="L28" s="2142"/>
      <c r="M28" s="2132"/>
      <c r="N28" s="2132"/>
      <c r="O28" s="2141"/>
      <c r="P28" s="3419"/>
      <c r="Q28" s="1571"/>
      <c r="R28" s="1572"/>
      <c r="S28" s="1573"/>
      <c r="T28" s="1572"/>
      <c r="U28" s="1573"/>
      <c r="V28" s="1572"/>
      <c r="W28" s="1573"/>
      <c r="X28" s="1566"/>
      <c r="Y28" s="3419"/>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419"/>
      <c r="Q29" s="1150" t="str">
        <f t="shared" si="8"/>
        <v>公共配套设施</v>
      </c>
      <c r="R29" s="1567" t="s">
        <v>8</v>
      </c>
      <c r="S29" s="1568">
        <f>F29</f>
        <v>105</v>
      </c>
      <c r="T29" s="1567" t="s">
        <v>8</v>
      </c>
      <c r="U29" s="1568">
        <f>H29</f>
        <v>105</v>
      </c>
      <c r="V29" s="1567" t="s">
        <v>8</v>
      </c>
      <c r="W29" s="1568">
        <f>J29</f>
        <v>105</v>
      </c>
      <c r="X29" s="1569"/>
      <c r="Y29" s="3419"/>
      <c r="Z29" s="1149" t="str">
        <f>Q29</f>
        <v>公共配套设施</v>
      </c>
      <c r="AA29" s="1575">
        <f>D29/F29</f>
        <v>0.95238095238095233</v>
      </c>
      <c r="AB29" s="1575">
        <f>D29/H29</f>
        <v>0.95238095238095233</v>
      </c>
      <c r="AC29" s="1575">
        <f>D29/J29</f>
        <v>0.95238095238095233</v>
      </c>
    </row>
    <row r="30" spans="1:29" s="1219" customFormat="1" ht="20.25">
      <c r="A30" s="577"/>
      <c r="B30" s="566"/>
      <c r="C30" s="579" t="s">
        <v>3005</v>
      </c>
      <c r="D30" s="557"/>
      <c r="E30" s="576" t="s">
        <v>3003</v>
      </c>
      <c r="F30" s="555"/>
      <c r="G30" s="554" t="s">
        <v>3003</v>
      </c>
      <c r="H30" s="555"/>
      <c r="I30" s="576" t="s">
        <v>3003</v>
      </c>
      <c r="J30" s="555"/>
      <c r="K30" s="531"/>
      <c r="L30" s="2135"/>
      <c r="M30" s="2132"/>
      <c r="N30" s="2132"/>
      <c r="O30" s="2137"/>
      <c r="P30" s="3419"/>
      <c r="Q30" s="1150"/>
      <c r="R30" s="1567"/>
      <c r="S30" s="1568"/>
      <c r="T30" s="1567"/>
      <c r="U30" s="1568"/>
      <c r="V30" s="1567"/>
      <c r="W30" s="1568"/>
      <c r="X30" s="1569"/>
      <c r="Y30" s="3419"/>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19"/>
      <c r="Q31" s="2578" t="str">
        <f t="shared" ref="Q31" si="9">B31</f>
        <v>基础设施水平</v>
      </c>
      <c r="R31" s="1567" t="s">
        <v>8</v>
      </c>
      <c r="S31" s="1568">
        <f>F31</f>
        <v>100</v>
      </c>
      <c r="T31" s="1567" t="s">
        <v>8</v>
      </c>
      <c r="U31" s="1568">
        <f>H31</f>
        <v>100</v>
      </c>
      <c r="V31" s="1567" t="s">
        <v>8</v>
      </c>
      <c r="W31" s="1568">
        <f>J31</f>
        <v>100</v>
      </c>
      <c r="X31" s="1569"/>
      <c r="Y31" s="3419"/>
      <c r="Z31" s="2575" t="str">
        <f>Q31</f>
        <v>基础设施水平</v>
      </c>
      <c r="AA31" s="1575">
        <f>D31/F31</f>
        <v>1</v>
      </c>
      <c r="AB31" s="1575">
        <f>D31/H31</f>
        <v>1</v>
      </c>
      <c r="AC31" s="1575">
        <f>D31/J31</f>
        <v>1</v>
      </c>
    </row>
    <row r="32" spans="1:29" s="1219" customFormat="1" ht="20.25">
      <c r="A32" s="577"/>
      <c r="B32" s="566"/>
      <c r="C32" s="579" t="s">
        <v>3209</v>
      </c>
      <c r="D32" s="557"/>
      <c r="E32" s="2592" t="s">
        <v>3209</v>
      </c>
      <c r="F32" s="555"/>
      <c r="G32" s="579" t="s">
        <v>3209</v>
      </c>
      <c r="H32" s="555"/>
      <c r="I32" s="579" t="s">
        <v>3209</v>
      </c>
      <c r="J32" s="555"/>
      <c r="K32" s="531"/>
      <c r="L32" s="2135"/>
      <c r="M32" s="2132"/>
      <c r="N32" s="2132"/>
      <c r="O32" s="2137"/>
      <c r="P32" s="3419"/>
      <c r="Q32" s="2578"/>
      <c r="R32" s="1567"/>
      <c r="S32" s="1568"/>
      <c r="T32" s="1567"/>
      <c r="U32" s="1568"/>
      <c r="V32" s="1567"/>
      <c r="W32" s="1568"/>
      <c r="X32" s="1569"/>
      <c r="Y32" s="3419"/>
      <c r="Z32" s="2575"/>
      <c r="AA32" s="1575">
        <v>1</v>
      </c>
      <c r="AB32" s="1575">
        <v>1</v>
      </c>
      <c r="AC32" s="1575">
        <v>1</v>
      </c>
    </row>
    <row r="33" spans="1:29" ht="20.25">
      <c r="A33" s="532"/>
      <c r="B33" s="566" t="s">
        <v>546</v>
      </c>
      <c r="C33" s="580" t="s">
        <v>3216</v>
      </c>
      <c r="D33" s="575">
        <v>100</v>
      </c>
      <c r="E33" s="583" t="s">
        <v>3216</v>
      </c>
      <c r="F33" s="540">
        <f>SUMIF(106:106,E33,107:107)-SUMIF(106:106,C33,107:107)+100</f>
        <v>100</v>
      </c>
      <c r="G33" s="580" t="s">
        <v>3216</v>
      </c>
      <c r="H33" s="540">
        <f>SUMIF(106:106,G33,107:107)-SUMIF(106:106,C33,107:107)+100</f>
        <v>100</v>
      </c>
      <c r="I33" s="580" t="s">
        <v>3216</v>
      </c>
      <c r="J33" s="540">
        <f>SUMIF(106:106,I33,107:107)-SUMIF(106:106,C33,107:107)+100</f>
        <v>100</v>
      </c>
      <c r="K33" s="535">
        <v>0</v>
      </c>
      <c r="L33" s="2142"/>
      <c r="M33" s="2132"/>
      <c r="N33" s="2132"/>
      <c r="O33" s="2141"/>
      <c r="P33" s="341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19"/>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19"/>
      <c r="Q34" s="1571" t="str">
        <f t="shared" si="8"/>
        <v>毗邻道路的类型与等级</v>
      </c>
      <c r="R34" s="1572" t="s">
        <v>8</v>
      </c>
      <c r="S34" s="1573">
        <f t="shared" si="10"/>
        <v>100</v>
      </c>
      <c r="T34" s="1572" t="s">
        <v>8</v>
      </c>
      <c r="U34" s="1573">
        <f t="shared" si="11"/>
        <v>100</v>
      </c>
      <c r="V34" s="1572" t="s">
        <v>8</v>
      </c>
      <c r="W34" s="1573">
        <f t="shared" si="12"/>
        <v>100</v>
      </c>
      <c r="X34" s="1566"/>
      <c r="Y34" s="3419"/>
      <c r="Z34" s="1574" t="str">
        <f t="shared" si="13"/>
        <v>毗邻道路的类型与等级</v>
      </c>
      <c r="AA34" s="1575">
        <f t="shared" si="3"/>
        <v>1</v>
      </c>
      <c r="AB34" s="1575">
        <f t="shared" si="4"/>
        <v>1</v>
      </c>
      <c r="AC34" s="1575">
        <f t="shared" si="5"/>
        <v>1</v>
      </c>
    </row>
    <row r="35" spans="1:29" ht="20.25">
      <c r="A35" s="532"/>
      <c r="B35" s="566"/>
      <c r="C35" s="554" t="s">
        <v>3066</v>
      </c>
      <c r="D35" s="557"/>
      <c r="E35" s="576" t="s">
        <v>3066</v>
      </c>
      <c r="F35" s="555"/>
      <c r="G35" s="554" t="s">
        <v>3066</v>
      </c>
      <c r="H35" s="555"/>
      <c r="I35" s="576" t="s">
        <v>3066</v>
      </c>
      <c r="J35" s="555"/>
      <c r="K35" s="581"/>
      <c r="L35" s="2142"/>
      <c r="M35" s="2132"/>
      <c r="N35" s="2132"/>
      <c r="O35" s="2141"/>
      <c r="P35" s="3419"/>
      <c r="Q35" s="1571"/>
      <c r="R35" s="1572"/>
      <c r="S35" s="1573"/>
      <c r="T35" s="1572"/>
      <c r="U35" s="1573"/>
      <c r="V35" s="1572"/>
      <c r="W35" s="1573"/>
      <c r="X35" s="1566"/>
      <c r="Y35" s="3419"/>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9"/>
      <c r="Q36" s="1571" t="str">
        <f t="shared" si="8"/>
        <v>土地级别</v>
      </c>
      <c r="R36" s="1572" t="s">
        <v>8</v>
      </c>
      <c r="S36" s="1573">
        <f t="shared" si="10"/>
        <v>100</v>
      </c>
      <c r="T36" s="1572" t="s">
        <v>8</v>
      </c>
      <c r="U36" s="1573">
        <f t="shared" si="11"/>
        <v>100</v>
      </c>
      <c r="V36" s="1572" t="s">
        <v>8</v>
      </c>
      <c r="W36" s="1573">
        <f t="shared" si="12"/>
        <v>100</v>
      </c>
      <c r="X36" s="1566"/>
      <c r="Y36" s="3419"/>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9"/>
      <c r="Q37" s="1571">
        <f t="shared" si="8"/>
        <v>111</v>
      </c>
      <c r="R37" s="1572" t="s">
        <v>8</v>
      </c>
      <c r="S37" s="1573">
        <f t="shared" si="10"/>
        <v>100</v>
      </c>
      <c r="T37" s="1572" t="s">
        <v>8</v>
      </c>
      <c r="U37" s="1573">
        <f t="shared" si="11"/>
        <v>100</v>
      </c>
      <c r="V37" s="1572" t="s">
        <v>8</v>
      </c>
      <c r="W37" s="1573">
        <f t="shared" si="12"/>
        <v>100</v>
      </c>
      <c r="X37" s="1566"/>
      <c r="Y37" s="3419"/>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0" t="s">
        <v>549</v>
      </c>
      <c r="Q38" s="1571">
        <f t="shared" si="8"/>
        <v>111</v>
      </c>
      <c r="R38" s="1572" t="s">
        <v>8</v>
      </c>
      <c r="S38" s="1573">
        <f t="shared" si="10"/>
        <v>100</v>
      </c>
      <c r="T38" s="1572" t="s">
        <v>8</v>
      </c>
      <c r="U38" s="1573">
        <f t="shared" si="11"/>
        <v>100</v>
      </c>
      <c r="V38" s="1572" t="s">
        <v>8</v>
      </c>
      <c r="W38" s="1573">
        <f t="shared" si="12"/>
        <v>100</v>
      </c>
      <c r="X38" s="1566"/>
      <c r="Y38" s="3421"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1"/>
      <c r="Q39" s="1571">
        <f t="shared" si="8"/>
        <v>111</v>
      </c>
      <c r="R39" s="1576" t="s">
        <v>8</v>
      </c>
      <c r="S39" s="1577">
        <f t="shared" si="10"/>
        <v>100</v>
      </c>
      <c r="T39" s="1576" t="s">
        <v>8</v>
      </c>
      <c r="U39" s="1577">
        <f t="shared" si="11"/>
        <v>100</v>
      </c>
      <c r="V39" s="1576" t="s">
        <v>8</v>
      </c>
      <c r="W39" s="1577">
        <f t="shared" si="12"/>
        <v>100</v>
      </c>
      <c r="X39" s="1578"/>
      <c r="Y39" s="3421"/>
      <c r="Z39" s="1579">
        <f t="shared" si="13"/>
        <v>111</v>
      </c>
      <c r="AA39" s="1575">
        <f t="shared" si="3"/>
        <v>1</v>
      </c>
      <c r="AB39" s="1575">
        <f t="shared" si="4"/>
        <v>1</v>
      </c>
      <c r="AC39" s="1575">
        <f t="shared" si="5"/>
        <v>1</v>
      </c>
    </row>
    <row r="40" spans="1:29" ht="20.25">
      <c r="A40" s="2907" t="s">
        <v>2757</v>
      </c>
      <c r="B40" s="595" t="s">
        <v>551</v>
      </c>
      <c r="C40" s="596">
        <f>'数据-基础表'!A3</f>
        <v>5768.8</v>
      </c>
      <c r="D40" s="597">
        <v>100</v>
      </c>
      <c r="E40" s="596">
        <f>土地案例!D43</f>
        <v>43416</v>
      </c>
      <c r="F40" s="597">
        <f>LOOKUP(E40,119:119,120:120)-LOOKUP(C40,119:119,120:120)+100</f>
        <v>106</v>
      </c>
      <c r="G40" s="596">
        <f>土地案例!D5</f>
        <v>33942.400000000001</v>
      </c>
      <c r="H40" s="597">
        <f>LOOKUP(G40,119:119,120:120)-LOOKUP(C40,119:119,120:120)+100</f>
        <v>106</v>
      </c>
      <c r="I40" s="598">
        <f>土地案例!D42</f>
        <v>67543.7</v>
      </c>
      <c r="J40" s="597">
        <f>LOOKUP(I40,119:119,120:120)-LOOKUP(C40,119:119,120:120)+100</f>
        <v>106</v>
      </c>
      <c r="K40" s="581"/>
      <c r="L40" s="2142"/>
      <c r="M40" s="2132"/>
      <c r="N40" s="2132"/>
      <c r="O40" s="2141"/>
      <c r="P40" s="3421"/>
      <c r="Q40" s="1571" t="str">
        <f>B40</f>
        <v>宗地面积</v>
      </c>
      <c r="R40" s="1572" t="s">
        <v>8</v>
      </c>
      <c r="S40" s="1573">
        <f t="shared" si="10"/>
        <v>106</v>
      </c>
      <c r="T40" s="1572" t="s">
        <v>8</v>
      </c>
      <c r="U40" s="1573">
        <f t="shared" si="11"/>
        <v>106</v>
      </c>
      <c r="V40" s="1572" t="s">
        <v>8</v>
      </c>
      <c r="W40" s="1573">
        <f t="shared" si="12"/>
        <v>106</v>
      </c>
      <c r="X40" s="1566"/>
      <c r="Y40" s="3421"/>
      <c r="Z40" s="1574" t="str">
        <f t="shared" si="13"/>
        <v>宗地面积</v>
      </c>
      <c r="AA40" s="1575">
        <f t="shared" si="3"/>
        <v>0.94339622641509435</v>
      </c>
      <c r="AB40" s="1575">
        <f t="shared" si="4"/>
        <v>0.94339622641509435</v>
      </c>
      <c r="AC40" s="1575">
        <f t="shared" si="5"/>
        <v>0.94339622641509435</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21"/>
      <c r="Q41" s="1571" t="str">
        <f t="shared" ref="Q41:Q47" si="14">B41</f>
        <v>宗地形状</v>
      </c>
      <c r="R41" s="1572" t="s">
        <v>8</v>
      </c>
      <c r="S41" s="1573">
        <f t="shared" si="10"/>
        <v>100</v>
      </c>
      <c r="T41" s="1572" t="s">
        <v>8</v>
      </c>
      <c r="U41" s="1573">
        <f t="shared" si="11"/>
        <v>100</v>
      </c>
      <c r="V41" s="1572" t="s">
        <v>8</v>
      </c>
      <c r="W41" s="1573">
        <f t="shared" si="12"/>
        <v>100</v>
      </c>
      <c r="X41" s="1566"/>
      <c r="Y41" s="3421"/>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21"/>
      <c r="Q42" s="1571" t="str">
        <f t="shared" si="14"/>
        <v>临街宽度及深度</v>
      </c>
      <c r="R42" s="1572" t="s">
        <v>8</v>
      </c>
      <c r="S42" s="1573">
        <f t="shared" si="10"/>
        <v>100</v>
      </c>
      <c r="T42" s="1572" t="s">
        <v>8</v>
      </c>
      <c r="U42" s="1573">
        <f t="shared" si="11"/>
        <v>100</v>
      </c>
      <c r="V42" s="1572" t="s">
        <v>8</v>
      </c>
      <c r="W42" s="1573">
        <f t="shared" si="12"/>
        <v>100</v>
      </c>
      <c r="X42" s="1566"/>
      <c r="Y42" s="3421"/>
      <c r="Z42" s="1574" t="str">
        <f t="shared" si="13"/>
        <v>临街宽度及深度</v>
      </c>
      <c r="AA42" s="1575">
        <f t="shared" si="3"/>
        <v>1</v>
      </c>
      <c r="AB42" s="1575">
        <f t="shared" si="4"/>
        <v>1</v>
      </c>
      <c r="AC42" s="1575">
        <f t="shared" si="5"/>
        <v>1</v>
      </c>
    </row>
    <row r="43" spans="1:29" s="1219" customFormat="1" ht="20.25">
      <c r="A43" s="600"/>
      <c r="B43" s="1895" t="s">
        <v>2426</v>
      </c>
      <c r="C43" s="601" t="s">
        <v>3209</v>
      </c>
      <c r="D43" s="255">
        <v>100</v>
      </c>
      <c r="E43" s="601" t="s">
        <v>3209</v>
      </c>
      <c r="F43" s="540">
        <f>SUMIF(125:125,E43,126:126)-SUMIF(125:125,C43,126:126)+100</f>
        <v>100</v>
      </c>
      <c r="G43" s="601" t="s">
        <v>3209</v>
      </c>
      <c r="H43" s="540">
        <f>SUMIF(125:125,G43,126:126)-SUMIF(125:125,C43,126:126)+100</f>
        <v>100</v>
      </c>
      <c r="I43" s="601" t="s">
        <v>3209</v>
      </c>
      <c r="J43" s="540">
        <f>SUMIF(125:125,I43,126:126)-SUMIF(125:125,C43,126:126)+100</f>
        <v>100</v>
      </c>
      <c r="K43" s="584">
        <v>20</v>
      </c>
      <c r="L43" s="2135"/>
      <c r="M43" s="2132"/>
      <c r="N43" s="2132"/>
      <c r="O43" s="2137"/>
      <c r="P43" s="3421"/>
      <c r="Q43" s="1571" t="str">
        <f t="shared" si="14"/>
        <v>宗地开发程度</v>
      </c>
      <c r="R43" s="1567" t="s">
        <v>8</v>
      </c>
      <c r="S43" s="1568">
        <f t="shared" si="10"/>
        <v>100</v>
      </c>
      <c r="T43" s="1567" t="s">
        <v>8</v>
      </c>
      <c r="U43" s="1568">
        <f t="shared" si="11"/>
        <v>100</v>
      </c>
      <c r="V43" s="1567" t="s">
        <v>8</v>
      </c>
      <c r="W43" s="1568">
        <f t="shared" si="12"/>
        <v>100</v>
      </c>
      <c r="X43" s="1569"/>
      <c r="Y43" s="3421"/>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21" t="s">
        <v>549</v>
      </c>
      <c r="Q44" s="1571" t="str">
        <f t="shared" si="14"/>
        <v>工程地质条件</v>
      </c>
      <c r="R44" s="1572" t="s">
        <v>8</v>
      </c>
      <c r="S44" s="1573">
        <f t="shared" si="10"/>
        <v>100</v>
      </c>
      <c r="T44" s="1572" t="s">
        <v>8</v>
      </c>
      <c r="U44" s="1573">
        <f t="shared" si="11"/>
        <v>100</v>
      </c>
      <c r="V44" s="1572" t="s">
        <v>8</v>
      </c>
      <c r="W44" s="1573">
        <f t="shared" si="12"/>
        <v>100</v>
      </c>
      <c r="X44" s="1566"/>
      <c r="Y44" s="3421"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1"/>
      <c r="Q45" s="1571">
        <f t="shared" si="14"/>
        <v>111</v>
      </c>
      <c r="R45" s="1572" t="s">
        <v>8</v>
      </c>
      <c r="S45" s="1573">
        <f t="shared" si="10"/>
        <v>100</v>
      </c>
      <c r="T45" s="1572" t="s">
        <v>8</v>
      </c>
      <c r="U45" s="1573">
        <f t="shared" si="11"/>
        <v>100</v>
      </c>
      <c r="V45" s="1572" t="s">
        <v>8</v>
      </c>
      <c r="W45" s="1573">
        <f t="shared" si="12"/>
        <v>100</v>
      </c>
      <c r="X45" s="1566"/>
      <c r="Y45" s="3421"/>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1"/>
      <c r="Q46" s="1571">
        <f t="shared" si="14"/>
        <v>111</v>
      </c>
      <c r="R46" s="1572" t="s">
        <v>8</v>
      </c>
      <c r="S46" s="1573">
        <f t="shared" si="10"/>
        <v>100</v>
      </c>
      <c r="T46" s="1572" t="s">
        <v>8</v>
      </c>
      <c r="U46" s="1573">
        <f t="shared" si="11"/>
        <v>100</v>
      </c>
      <c r="V46" s="1572" t="s">
        <v>8</v>
      </c>
      <c r="W46" s="1573">
        <f t="shared" si="12"/>
        <v>100</v>
      </c>
      <c r="X46" s="1566"/>
      <c r="Y46" s="3421"/>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1"/>
      <c r="Q47" s="1571">
        <f t="shared" si="14"/>
        <v>111</v>
      </c>
      <c r="R47" s="1576" t="s">
        <v>8</v>
      </c>
      <c r="S47" s="1577">
        <f t="shared" si="10"/>
        <v>100</v>
      </c>
      <c r="T47" s="1576" t="s">
        <v>8</v>
      </c>
      <c r="U47" s="1577">
        <f t="shared" si="11"/>
        <v>100</v>
      </c>
      <c r="V47" s="1576" t="s">
        <v>8</v>
      </c>
      <c r="W47" s="1577">
        <f t="shared" si="12"/>
        <v>100</v>
      </c>
      <c r="X47" s="1578"/>
      <c r="Y47" s="3421"/>
      <c r="Z47" s="1579">
        <f t="shared" si="13"/>
        <v>111</v>
      </c>
      <c r="AA47" s="1575">
        <f t="shared" si="3"/>
        <v>1</v>
      </c>
      <c r="AB47" s="1575">
        <f t="shared" si="4"/>
        <v>1</v>
      </c>
      <c r="AC47" s="1575">
        <f t="shared" si="5"/>
        <v>1</v>
      </c>
    </row>
    <row r="48" spans="1:29" ht="20.25">
      <c r="A48" s="607" t="s">
        <v>555</v>
      </c>
      <c r="B48" s="608" t="s">
        <v>3051</v>
      </c>
      <c r="C48" s="609" t="s">
        <v>1</v>
      </c>
      <c r="D48" s="610"/>
      <c r="E48" s="611">
        <v>565</v>
      </c>
      <c r="F48" s="612"/>
      <c r="G48" s="613">
        <f>土地案例!K5</f>
        <v>573.75</v>
      </c>
      <c r="H48" s="614"/>
      <c r="I48" s="611">
        <f>土地案例!K42</f>
        <v>564.5</v>
      </c>
      <c r="J48" s="614"/>
      <c r="K48" s="1339"/>
      <c r="L48" s="2144"/>
      <c r="M48" s="2132"/>
      <c r="N48" s="2132"/>
      <c r="O48" s="2145"/>
      <c r="P48" s="3416" t="str">
        <f>A48</f>
        <v>成交单价</v>
      </c>
      <c r="Q48" s="3416"/>
      <c r="R48" s="3430">
        <f>E48</f>
        <v>565</v>
      </c>
      <c r="S48" s="3430"/>
      <c r="T48" s="3430">
        <f>G48</f>
        <v>573.75</v>
      </c>
      <c r="U48" s="3430"/>
      <c r="V48" s="3430">
        <f>I48</f>
        <v>564.5</v>
      </c>
      <c r="W48" s="3430"/>
      <c r="X48" s="1558"/>
      <c r="Y48" s="1580"/>
      <c r="Z48" s="1558"/>
      <c r="AA48" s="1558"/>
      <c r="AB48" s="1558"/>
      <c r="AC48" s="1558"/>
    </row>
    <row r="49" spans="1:29" ht="21" thickBot="1">
      <c r="A49" s="615" t="s">
        <v>2695</v>
      </c>
      <c r="B49" s="616"/>
      <c r="C49" s="617">
        <f>R50</f>
        <v>539</v>
      </c>
      <c r="D49" s="618"/>
      <c r="E49" s="617">
        <f>R49</f>
        <v>550</v>
      </c>
      <c r="F49" s="619"/>
      <c r="G49" s="620">
        <f>T49</f>
        <v>519</v>
      </c>
      <c r="H49" s="618"/>
      <c r="I49" s="617">
        <f>V49</f>
        <v>549</v>
      </c>
      <c r="J49" s="618"/>
      <c r="K49" s="1340"/>
      <c r="L49" s="2144"/>
      <c r="M49" s="2132"/>
      <c r="N49" s="2132"/>
      <c r="O49" s="2145"/>
      <c r="P49" s="3416" t="str">
        <f>A49</f>
        <v>比较价格（元/平方米）</v>
      </c>
      <c r="Q49" s="3416"/>
      <c r="R49" s="3440">
        <f>ROUND(PRODUCT(R48,AA9:AA47),0)</f>
        <v>550</v>
      </c>
      <c r="S49" s="3440"/>
      <c r="T49" s="3440">
        <f>ROUND(PRODUCT(T48,AB9:AB47),0)</f>
        <v>519</v>
      </c>
      <c r="U49" s="3440"/>
      <c r="V49" s="3440">
        <f>ROUND(PRODUCT(V48,AC9:AC47),0)</f>
        <v>549</v>
      </c>
      <c r="W49" s="3440"/>
      <c r="X49" s="1558"/>
      <c r="Y49" s="1558"/>
      <c r="Z49" s="1558"/>
      <c r="AA49" s="1558"/>
      <c r="AB49" s="1558"/>
      <c r="AC49" s="1558"/>
    </row>
    <row r="50" spans="1:29" ht="21" thickBot="1">
      <c r="A50" s="621" t="s">
        <v>2939</v>
      </c>
      <c r="B50" s="622"/>
      <c r="C50" s="623">
        <f>R50</f>
        <v>539</v>
      </c>
      <c r="D50" s="623"/>
      <c r="E50" s="623"/>
      <c r="F50" s="623"/>
      <c r="G50" s="623"/>
      <c r="H50" s="623"/>
      <c r="I50" s="623"/>
      <c r="J50" s="623"/>
      <c r="K50" s="1341"/>
      <c r="L50" s="2144"/>
      <c r="M50" s="2132"/>
      <c r="N50" s="2132"/>
      <c r="O50" s="2145"/>
      <c r="P50" s="3437" t="str">
        <f>A50</f>
        <v>估价对象XX用房的比较价格（楼面单价，元/平方米）</v>
      </c>
      <c r="Q50" s="3438"/>
      <c r="R50" s="3439">
        <f>ROUND(AVERAGE(R49:V49),0)</f>
        <v>539</v>
      </c>
      <c r="S50" s="3439"/>
      <c r="T50" s="3439"/>
      <c r="U50" s="3439"/>
      <c r="V50" s="3439"/>
      <c r="W50" s="343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2.7272727272727337E-2</v>
      </c>
      <c r="F53" s="627" t="str">
        <f>IF(OR(E53&gt;=0.3,E53&lt;=-0.3),"超过30%","")</f>
        <v/>
      </c>
      <c r="G53" s="626">
        <f>IF(G48&lt;G49,G49/G48-1,G48/G49-1)</f>
        <v>0.1054913294797688</v>
      </c>
      <c r="H53" s="627" t="str">
        <f>IF(OR(G53&gt;=0.3,G53&lt;=-0.3),"超过30%","")</f>
        <v/>
      </c>
      <c r="I53" s="626">
        <f>IF(I48&lt;I49,I49/I48-1,I48/I49-1)</f>
        <v>2.823315118397085E-2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5.9730250481695668E-2</v>
      </c>
      <c r="F54" s="627" t="str">
        <f>IF(OR(E54&gt;=0.2,E54&lt;=-0.2),"超过20%","")</f>
        <v/>
      </c>
      <c r="G54" s="626">
        <f>IF(G49&lt;I49,I49/G49-1,G49/I49-1)</f>
        <v>5.7803468208092568E-2</v>
      </c>
      <c r="H54" s="627" t="str">
        <f>IF(OR(G54&gt;=0.2,G54&lt;=-0.2),"超过20%","")</f>
        <v/>
      </c>
      <c r="I54" s="626">
        <f>IF(I49&lt;E49,E49/I49-1,I49/E49-1)</f>
        <v>1.8214936247722413E-3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1.5486725663716783E-2</v>
      </c>
      <c r="F55" s="627" t="str">
        <f>IF(OR(E55&gt;=0.3,E55&lt;=-0.3),"超过30%","")</f>
        <v/>
      </c>
      <c r="G55" s="626">
        <f>IF(G48&lt;I48,I48/G48-1,G48/I48-1)</f>
        <v>1.6386182462356125E-2</v>
      </c>
      <c r="H55" s="627" t="str">
        <f>IF(OR(G55&gt;=0.3,G55&lt;=-0.3),"超过30%","")</f>
        <v/>
      </c>
      <c r="I55" s="626">
        <f>IF(I48&lt;E48,E48/I48-1,I48/E48-1)</f>
        <v>8.8573959255988655E-4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400" t="s">
        <v>2283</v>
      </c>
      <c r="H57" s="3401"/>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539</v>
      </c>
      <c r="C58" s="635">
        <v>1</v>
      </c>
      <c r="D58" s="2228">
        <v>1</v>
      </c>
      <c r="E58" s="635">
        <f>'数据-汇总表'!E8+'数据-汇总表'!E9</f>
        <v>20190.8</v>
      </c>
      <c r="F58" s="636">
        <f t="shared" ref="F58:F67" si="15">ROUND(B58*E58/10000,0)</f>
        <v>1088</v>
      </c>
      <c r="G58" s="3402"/>
      <c r="H58" s="3403"/>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404"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404"/>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404"/>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404"/>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20190.8</v>
      </c>
      <c r="F68" s="644">
        <f>IF(B48="楼面地价",SUM(F58:F67),ROUND(C50*E68/10000,0))</f>
        <v>1088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北京市平均增长率0.00%</v>
      </c>
      <c r="C73" s="894">
        <v>100</v>
      </c>
      <c r="D73" s="730">
        <v>100</v>
      </c>
      <c r="E73" s="730">
        <v>100</v>
      </c>
      <c r="F73" s="730">
        <v>99</v>
      </c>
      <c r="G73" s="730">
        <v>98</v>
      </c>
      <c r="H73" s="730">
        <v>97</v>
      </c>
      <c r="I73" s="730">
        <v>96</v>
      </c>
      <c r="J73" s="730">
        <v>95</v>
      </c>
      <c r="K73" s="730">
        <v>94</v>
      </c>
      <c r="L73" s="730">
        <v>93</v>
      </c>
      <c r="M73" s="2792">
        <v>92</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3057</v>
      </c>
      <c r="D77" s="3179" t="s">
        <v>3222</v>
      </c>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541"/>
      <c r="L82" s="541"/>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92</v>
      </c>
      <c r="E101" s="679">
        <f>D101-$K27</f>
        <v>84</v>
      </c>
      <c r="F101" s="679">
        <f>E101-$K27</f>
        <v>76</v>
      </c>
      <c r="G101" s="679">
        <f>F101-$K27</f>
        <v>68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3044</v>
      </c>
      <c r="D108" s="3180" t="s">
        <v>3045</v>
      </c>
      <c r="E108" s="3180" t="s">
        <v>3046</v>
      </c>
      <c r="F108" s="3180" t="s">
        <v>3047</v>
      </c>
      <c r="G108" s="3180" t="s">
        <v>3048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2553</v>
      </c>
      <c r="D125" s="1375" t="s">
        <v>2554</v>
      </c>
      <c r="E125" s="1375" t="s">
        <v>3210</v>
      </c>
      <c r="F125" s="1375" t="s">
        <v>3211</v>
      </c>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22" t="s">
        <v>521</v>
      </c>
      <c r="D6" s="3423"/>
      <c r="E6" s="3446" t="s">
        <v>522</v>
      </c>
      <c r="F6" s="3447"/>
      <c r="G6" s="3422" t="s">
        <v>523</v>
      </c>
      <c r="H6" s="3423"/>
      <c r="I6" s="3422" t="s">
        <v>524</v>
      </c>
      <c r="J6" s="3423"/>
      <c r="K6" s="514" t="s">
        <v>525</v>
      </c>
      <c r="L6" s="2133"/>
      <c r="M6" s="2134"/>
      <c r="N6" s="2134"/>
      <c r="O6" s="2134"/>
      <c r="P6" s="3424" t="s">
        <v>526</v>
      </c>
      <c r="Q6" s="3425"/>
      <c r="R6" s="3410" t="s">
        <v>522</v>
      </c>
      <c r="S6" s="3411"/>
      <c r="T6" s="3410" t="s">
        <v>523</v>
      </c>
      <c r="U6" s="3411"/>
      <c r="V6" s="3430" t="s">
        <v>524</v>
      </c>
      <c r="W6" s="3430"/>
      <c r="X6" s="1566"/>
      <c r="Y6" s="3410" t="s">
        <v>526</v>
      </c>
      <c r="Z6" s="3411"/>
      <c r="AA6" s="3405" t="s">
        <v>522</v>
      </c>
      <c r="AB6" s="3406" t="s">
        <v>523</v>
      </c>
      <c r="AC6" s="3405" t="s">
        <v>524</v>
      </c>
    </row>
    <row r="7" spans="1:29" ht="15">
      <c r="A7" s="515"/>
      <c r="B7" s="516"/>
      <c r="C7" s="3450" t="s">
        <v>2933</v>
      </c>
      <c r="D7" s="3434"/>
      <c r="E7" s="3448" t="s">
        <v>2934</v>
      </c>
      <c r="F7" s="3449"/>
      <c r="G7" s="3450" t="s">
        <v>2935</v>
      </c>
      <c r="H7" s="3434"/>
      <c r="I7" s="3450" t="s">
        <v>2936</v>
      </c>
      <c r="J7" s="3434"/>
      <c r="K7" s="514"/>
      <c r="L7" s="2133"/>
      <c r="M7" s="2134"/>
      <c r="N7" s="2134"/>
      <c r="O7" s="2134"/>
      <c r="P7" s="3426"/>
      <c r="Q7" s="3427"/>
      <c r="R7" s="3412"/>
      <c r="S7" s="3413"/>
      <c r="T7" s="3412"/>
      <c r="U7" s="3413"/>
      <c r="V7" s="3430"/>
      <c r="W7" s="3430"/>
      <c r="X7" s="1566"/>
      <c r="Y7" s="3412"/>
      <c r="Z7" s="3413"/>
      <c r="AA7" s="3406"/>
      <c r="AB7" s="3406"/>
      <c r="AC7" s="3406"/>
    </row>
    <row r="8" spans="1:29" ht="15.75" thickBot="1">
      <c r="A8" s="517"/>
      <c r="B8" s="518"/>
      <c r="C8" s="3431" t="s">
        <v>2937</v>
      </c>
      <c r="D8" s="3432"/>
      <c r="E8" s="3451" t="s">
        <v>2937</v>
      </c>
      <c r="F8" s="3452"/>
      <c r="G8" s="3431" t="s">
        <v>2937</v>
      </c>
      <c r="H8" s="3432"/>
      <c r="I8" s="3431" t="s">
        <v>2937</v>
      </c>
      <c r="J8" s="3432"/>
      <c r="K8" s="514" t="s">
        <v>527</v>
      </c>
      <c r="L8" s="2133"/>
      <c r="M8" s="2134"/>
      <c r="N8" s="2134"/>
      <c r="O8" s="2134"/>
      <c r="P8" s="3428"/>
      <c r="Q8" s="3429"/>
      <c r="R8" s="3412"/>
      <c r="S8" s="3413"/>
      <c r="T8" s="3414"/>
      <c r="U8" s="3415"/>
      <c r="V8" s="3430"/>
      <c r="W8" s="3430"/>
      <c r="X8" s="1566"/>
      <c r="Y8" s="3414"/>
      <c r="Z8" s="3415"/>
      <c r="AA8" s="3407"/>
      <c r="AB8" s="3407"/>
      <c r="AC8" s="3407"/>
    </row>
    <row r="9" spans="1:29" s="1219" customFormat="1" ht="15.75" thickBot="1">
      <c r="A9" s="2912"/>
      <c r="B9" s="2919" t="s">
        <v>528</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8" t="s">
        <v>529</v>
      </c>
      <c r="Q9" s="3417"/>
      <c r="R9" s="1567" t="s">
        <v>8</v>
      </c>
      <c r="S9" s="1568">
        <f t="shared" ref="S9:S17" si="0">F9</f>
        <v>0</v>
      </c>
      <c r="T9" s="1567" t="s">
        <v>8</v>
      </c>
      <c r="U9" s="1568">
        <f t="shared" ref="U9:U17" si="1">H9</f>
        <v>0</v>
      </c>
      <c r="V9" s="1567" t="s">
        <v>8</v>
      </c>
      <c r="W9" s="1568">
        <f t="shared" ref="W9:W17" si="2">J9</f>
        <v>0</v>
      </c>
      <c r="X9" s="1569"/>
      <c r="Y9" s="3408" t="s">
        <v>529</v>
      </c>
      <c r="Z9" s="3409"/>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8" t="s">
        <v>532</v>
      </c>
      <c r="Q10" s="3409"/>
      <c r="R10" s="1567" t="s">
        <v>8</v>
      </c>
      <c r="S10" s="1568">
        <f t="shared" si="0"/>
        <v>0</v>
      </c>
      <c r="T10" s="1567" t="s">
        <v>8</v>
      </c>
      <c r="U10" s="1568">
        <f t="shared" si="1"/>
        <v>0</v>
      </c>
      <c r="V10" s="1567" t="s">
        <v>8</v>
      </c>
      <c r="W10" s="1568">
        <f t="shared" si="2"/>
        <v>0</v>
      </c>
      <c r="X10" s="1569"/>
      <c r="Y10" s="3408" t="s">
        <v>532</v>
      </c>
      <c r="Z10" s="3409"/>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6" t="s">
        <v>534</v>
      </c>
      <c r="Q11" s="1150" t="str">
        <f t="shared" ref="Q11:Q17" si="6">B11</f>
        <v>用途</v>
      </c>
      <c r="R11" s="1567" t="s">
        <v>8</v>
      </c>
      <c r="S11" s="1568">
        <f t="shared" si="0"/>
        <v>100</v>
      </c>
      <c r="T11" s="1567" t="s">
        <v>8</v>
      </c>
      <c r="U11" s="1568">
        <f t="shared" si="1"/>
        <v>100</v>
      </c>
      <c r="V11" s="1567" t="s">
        <v>8</v>
      </c>
      <c r="W11" s="1568">
        <f t="shared" si="2"/>
        <v>100</v>
      </c>
      <c r="X11" s="1569"/>
      <c r="Y11" s="3373"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416"/>
      <c r="Q12" s="1150" t="str">
        <f t="shared" si="6"/>
        <v>土地使用年限（年）</v>
      </c>
      <c r="R12" s="1567" t="s">
        <v>8</v>
      </c>
      <c r="S12" s="1568">
        <f t="shared" si="0"/>
        <v>102</v>
      </c>
      <c r="T12" s="1567" t="s">
        <v>8</v>
      </c>
      <c r="U12" s="1568">
        <f t="shared" si="1"/>
        <v>102</v>
      </c>
      <c r="V12" s="1567" t="s">
        <v>8</v>
      </c>
      <c r="W12" s="1568">
        <f t="shared" si="2"/>
        <v>102</v>
      </c>
      <c r="X12" s="1569"/>
      <c r="Y12" s="3373"/>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6"/>
      <c r="Q13" s="1150" t="str">
        <f t="shared" si="6"/>
        <v>容积率</v>
      </c>
      <c r="R13" s="1567" t="s">
        <v>8</v>
      </c>
      <c r="S13" s="1568" t="e">
        <f t="shared" si="0"/>
        <v>#N/A</v>
      </c>
      <c r="T13" s="1567" t="s">
        <v>8</v>
      </c>
      <c r="U13" s="1568" t="e">
        <f t="shared" si="1"/>
        <v>#N/A</v>
      </c>
      <c r="V13" s="1567" t="s">
        <v>8</v>
      </c>
      <c r="W13" s="1568" t="e">
        <f t="shared" si="2"/>
        <v>#N/A</v>
      </c>
      <c r="X13" s="1569"/>
      <c r="Y13" s="3373"/>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6"/>
      <c r="Q14" s="1150">
        <f t="shared" si="6"/>
        <v>111</v>
      </c>
      <c r="R14" s="1567" t="s">
        <v>8</v>
      </c>
      <c r="S14" s="1568">
        <f t="shared" si="0"/>
        <v>100</v>
      </c>
      <c r="T14" s="1567" t="s">
        <v>8</v>
      </c>
      <c r="U14" s="1568">
        <f t="shared" si="1"/>
        <v>100</v>
      </c>
      <c r="V14" s="1567" t="s">
        <v>8</v>
      </c>
      <c r="W14" s="1568">
        <f t="shared" si="2"/>
        <v>100</v>
      </c>
      <c r="X14" s="1569"/>
      <c r="Y14" s="3373"/>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6"/>
      <c r="Q15" s="1150">
        <f t="shared" si="6"/>
        <v>111</v>
      </c>
      <c r="R15" s="1567" t="s">
        <v>8</v>
      </c>
      <c r="S15" s="1568">
        <f t="shared" si="0"/>
        <v>100</v>
      </c>
      <c r="T15" s="1567" t="s">
        <v>8</v>
      </c>
      <c r="U15" s="1568">
        <f t="shared" si="1"/>
        <v>100</v>
      </c>
      <c r="V15" s="1567" t="s">
        <v>8</v>
      </c>
      <c r="W15" s="1568">
        <f t="shared" si="2"/>
        <v>100</v>
      </c>
      <c r="X15" s="1569"/>
      <c r="Y15" s="3373"/>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6"/>
      <c r="Q16" s="1150">
        <f t="shared" si="6"/>
        <v>111</v>
      </c>
      <c r="R16" s="1567" t="s">
        <v>8</v>
      </c>
      <c r="S16" s="1568">
        <f t="shared" si="0"/>
        <v>100</v>
      </c>
      <c r="T16" s="1567" t="s">
        <v>8</v>
      </c>
      <c r="U16" s="1568">
        <f t="shared" si="1"/>
        <v>100</v>
      </c>
      <c r="V16" s="1567" t="s">
        <v>8</v>
      </c>
      <c r="W16" s="1568">
        <f t="shared" si="2"/>
        <v>100</v>
      </c>
      <c r="X16" s="1569"/>
      <c r="Y16" s="3373"/>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8" t="s">
        <v>539</v>
      </c>
      <c r="Q17" s="1571" t="str">
        <f t="shared" si="6"/>
        <v>产业集聚程度</v>
      </c>
      <c r="R17" s="1572" t="s">
        <v>8</v>
      </c>
      <c r="S17" s="1573">
        <f t="shared" si="0"/>
        <v>100</v>
      </c>
      <c r="T17" s="1572" t="s">
        <v>8</v>
      </c>
      <c r="U17" s="1573">
        <f t="shared" si="1"/>
        <v>100</v>
      </c>
      <c r="V17" s="1572" t="s">
        <v>8</v>
      </c>
      <c r="W17" s="1573">
        <f t="shared" si="2"/>
        <v>100</v>
      </c>
      <c r="X17" s="1566"/>
      <c r="Y17" s="341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19"/>
      <c r="Q18" s="1571"/>
      <c r="R18" s="1572"/>
      <c r="S18" s="1573"/>
      <c r="T18" s="1572"/>
      <c r="U18" s="1573"/>
      <c r="V18" s="1572"/>
      <c r="W18" s="1573"/>
      <c r="X18" s="1566"/>
      <c r="Y18" s="3419"/>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9"/>
      <c r="Q19" s="1571" t="str">
        <f>B19</f>
        <v>交通便捷度</v>
      </c>
      <c r="R19" s="1572" t="s">
        <v>8</v>
      </c>
      <c r="S19" s="1573">
        <f>F19</f>
        <v>100</v>
      </c>
      <c r="T19" s="1572" t="s">
        <v>8</v>
      </c>
      <c r="U19" s="1573">
        <f>H19</f>
        <v>100</v>
      </c>
      <c r="V19" s="1572" t="s">
        <v>8</v>
      </c>
      <c r="W19" s="1573">
        <f>J19</f>
        <v>100</v>
      </c>
      <c r="X19" s="1566"/>
      <c r="Y19" s="3419"/>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19"/>
      <c r="Q20" s="1571"/>
      <c r="R20" s="1572"/>
      <c r="S20" s="1573"/>
      <c r="T20" s="1572"/>
      <c r="U20" s="1573"/>
      <c r="V20" s="1572"/>
      <c r="W20" s="1573"/>
      <c r="X20" s="1566"/>
      <c r="Y20" s="3419"/>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19"/>
      <c r="Q21" s="1571" t="str">
        <f t="shared" ref="Q21:Q35" si="8">B21</f>
        <v>区域土地利用方向</v>
      </c>
      <c r="R21" s="1572" t="s">
        <v>8</v>
      </c>
      <c r="S21" s="1573">
        <f>F21</f>
        <v>100</v>
      </c>
      <c r="T21" s="1572" t="s">
        <v>8</v>
      </c>
      <c r="U21" s="1573">
        <f>H21</f>
        <v>100</v>
      </c>
      <c r="V21" s="1572" t="s">
        <v>8</v>
      </c>
      <c r="W21" s="1573">
        <f>J21</f>
        <v>100</v>
      </c>
      <c r="X21" s="1566"/>
      <c r="Y21" s="341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19"/>
      <c r="Q22" s="1571"/>
      <c r="R22" s="1572"/>
      <c r="S22" s="1573"/>
      <c r="T22" s="1572"/>
      <c r="U22" s="1573"/>
      <c r="V22" s="1572"/>
      <c r="W22" s="1573"/>
      <c r="X22" s="1566"/>
      <c r="Y22" s="3419"/>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9"/>
      <c r="Q23" s="1571" t="str">
        <f t="shared" si="8"/>
        <v>环境状况</v>
      </c>
      <c r="R23" s="1572" t="s">
        <v>8</v>
      </c>
      <c r="S23" s="1573">
        <f>F23</f>
        <v>100</v>
      </c>
      <c r="T23" s="1572" t="s">
        <v>8</v>
      </c>
      <c r="U23" s="1573">
        <f>H23</f>
        <v>100</v>
      </c>
      <c r="V23" s="1572" t="s">
        <v>8</v>
      </c>
      <c r="W23" s="1573">
        <f>J23</f>
        <v>100</v>
      </c>
      <c r="X23" s="1566"/>
      <c r="Y23" s="341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19"/>
      <c r="Q24" s="1571"/>
      <c r="R24" s="1572"/>
      <c r="S24" s="1573"/>
      <c r="T24" s="1572"/>
      <c r="U24" s="1573"/>
      <c r="V24" s="1572"/>
      <c r="W24" s="1573"/>
      <c r="X24" s="1566"/>
      <c r="Y24" s="3419"/>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9"/>
      <c r="Q25" s="1150" t="str">
        <f t="shared" si="8"/>
        <v>公共配套设施</v>
      </c>
      <c r="R25" s="1567" t="s">
        <v>8</v>
      </c>
      <c r="S25" s="1568">
        <f>F25</f>
        <v>100</v>
      </c>
      <c r="T25" s="1567" t="s">
        <v>8</v>
      </c>
      <c r="U25" s="1568">
        <f>H25</f>
        <v>100</v>
      </c>
      <c r="V25" s="1567" t="s">
        <v>8</v>
      </c>
      <c r="W25" s="1568">
        <f>J25</f>
        <v>100</v>
      </c>
      <c r="X25" s="1569"/>
      <c r="Y25" s="3419"/>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19"/>
      <c r="Q26" s="1150"/>
      <c r="R26" s="1567"/>
      <c r="S26" s="1568"/>
      <c r="T26" s="1567"/>
      <c r="U26" s="1568"/>
      <c r="V26" s="1567"/>
      <c r="W26" s="1568"/>
      <c r="X26" s="1569"/>
      <c r="Y26" s="3419"/>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9"/>
      <c r="Q27" s="2578" t="str">
        <f t="shared" ref="Q27" si="9">B27</f>
        <v>基础设施水平</v>
      </c>
      <c r="R27" s="1567" t="s">
        <v>8</v>
      </c>
      <c r="S27" s="1568">
        <f>F27</f>
        <v>100</v>
      </c>
      <c r="T27" s="1567" t="s">
        <v>8</v>
      </c>
      <c r="U27" s="1568">
        <f>H27</f>
        <v>100</v>
      </c>
      <c r="V27" s="1567" t="s">
        <v>8</v>
      </c>
      <c r="W27" s="1568">
        <f>J27</f>
        <v>100</v>
      </c>
      <c r="X27" s="1569"/>
      <c r="Y27" s="3419"/>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19"/>
      <c r="Q28" s="2578"/>
      <c r="R28" s="1567"/>
      <c r="S28" s="1568"/>
      <c r="T28" s="1567"/>
      <c r="U28" s="1568"/>
      <c r="V28" s="1567"/>
      <c r="W28" s="1568"/>
      <c r="X28" s="1569"/>
      <c r="Y28" s="3419"/>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9"/>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9"/>
      <c r="Q30" s="1571" t="str">
        <f t="shared" si="8"/>
        <v>毗邻道路的类型与等级</v>
      </c>
      <c r="R30" s="1572" t="s">
        <v>8</v>
      </c>
      <c r="S30" s="1573">
        <f t="shared" si="10"/>
        <v>100</v>
      </c>
      <c r="T30" s="1572" t="s">
        <v>8</v>
      </c>
      <c r="U30" s="1573">
        <f t="shared" si="11"/>
        <v>100</v>
      </c>
      <c r="V30" s="1572" t="s">
        <v>8</v>
      </c>
      <c r="W30" s="1573">
        <f t="shared" si="12"/>
        <v>100</v>
      </c>
      <c r="X30" s="1566"/>
      <c r="Y30" s="341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19"/>
      <c r="Q31" s="1571"/>
      <c r="R31" s="1572"/>
      <c r="S31" s="1573"/>
      <c r="T31" s="1572"/>
      <c r="U31" s="1573"/>
      <c r="V31" s="1572"/>
      <c r="W31" s="1573"/>
      <c r="X31" s="1566"/>
      <c r="Y31" s="3419"/>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9"/>
      <c r="Q32" s="1571" t="str">
        <f t="shared" si="8"/>
        <v>土地级别</v>
      </c>
      <c r="R32" s="1572" t="s">
        <v>8</v>
      </c>
      <c r="S32" s="1573">
        <f t="shared" si="10"/>
        <v>100</v>
      </c>
      <c r="T32" s="1572" t="s">
        <v>8</v>
      </c>
      <c r="U32" s="1573">
        <f t="shared" si="11"/>
        <v>100</v>
      </c>
      <c r="V32" s="1572" t="s">
        <v>8</v>
      </c>
      <c r="W32" s="1573">
        <f t="shared" si="12"/>
        <v>100</v>
      </c>
      <c r="X32" s="1566"/>
      <c r="Y32" s="341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9"/>
      <c r="Q33" s="1571">
        <f t="shared" si="8"/>
        <v>111</v>
      </c>
      <c r="R33" s="1572" t="s">
        <v>8</v>
      </c>
      <c r="S33" s="1573">
        <f t="shared" si="10"/>
        <v>100</v>
      </c>
      <c r="T33" s="1572" t="s">
        <v>8</v>
      </c>
      <c r="U33" s="1573">
        <f t="shared" si="11"/>
        <v>100</v>
      </c>
      <c r="V33" s="1572" t="s">
        <v>8</v>
      </c>
      <c r="W33" s="1573">
        <f t="shared" si="12"/>
        <v>100</v>
      </c>
      <c r="X33" s="1566"/>
      <c r="Y33" s="341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0" t="s">
        <v>549</v>
      </c>
      <c r="Q34" s="1571">
        <f t="shared" si="8"/>
        <v>111</v>
      </c>
      <c r="R34" s="1572" t="s">
        <v>8</v>
      </c>
      <c r="S34" s="1573">
        <f t="shared" si="10"/>
        <v>100</v>
      </c>
      <c r="T34" s="1572" t="s">
        <v>8</v>
      </c>
      <c r="U34" s="1573">
        <f t="shared" si="11"/>
        <v>100</v>
      </c>
      <c r="V34" s="1572" t="s">
        <v>8</v>
      </c>
      <c r="W34" s="1573">
        <f t="shared" si="12"/>
        <v>100</v>
      </c>
      <c r="X34" s="1566"/>
      <c r="Y34" s="3421"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1"/>
      <c r="Q35" s="1571">
        <f t="shared" si="8"/>
        <v>111</v>
      </c>
      <c r="R35" s="1576" t="s">
        <v>8</v>
      </c>
      <c r="S35" s="1577">
        <f t="shared" si="10"/>
        <v>100</v>
      </c>
      <c r="T35" s="1576" t="s">
        <v>8</v>
      </c>
      <c r="U35" s="1577">
        <f t="shared" si="11"/>
        <v>100</v>
      </c>
      <c r="V35" s="1576" t="s">
        <v>8</v>
      </c>
      <c r="W35" s="1577">
        <f t="shared" si="12"/>
        <v>100</v>
      </c>
      <c r="X35" s="1578"/>
      <c r="Y35" s="3421"/>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1"/>
      <c r="Q36" s="1571" t="str">
        <f>B36</f>
        <v>宗地面积</v>
      </c>
      <c r="R36" s="1572" t="s">
        <v>8</v>
      </c>
      <c r="S36" s="1573" t="e">
        <f t="shared" si="10"/>
        <v>#N/A</v>
      </c>
      <c r="T36" s="1572" t="s">
        <v>8</v>
      </c>
      <c r="U36" s="1573" t="e">
        <f t="shared" si="11"/>
        <v>#N/A</v>
      </c>
      <c r="V36" s="1572" t="s">
        <v>8</v>
      </c>
      <c r="W36" s="1573" t="e">
        <f t="shared" si="12"/>
        <v>#N/A</v>
      </c>
      <c r="X36" s="1566"/>
      <c r="Y36" s="342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1"/>
      <c r="Q37" s="1571" t="str">
        <f t="shared" ref="Q37:Q42" si="14">B37</f>
        <v>宗地形状</v>
      </c>
      <c r="R37" s="1572" t="s">
        <v>8</v>
      </c>
      <c r="S37" s="1573">
        <f t="shared" si="10"/>
        <v>100</v>
      </c>
      <c r="T37" s="1572" t="s">
        <v>8</v>
      </c>
      <c r="U37" s="1573">
        <f t="shared" si="11"/>
        <v>100</v>
      </c>
      <c r="V37" s="1572" t="s">
        <v>8</v>
      </c>
      <c r="W37" s="1573">
        <f t="shared" si="12"/>
        <v>100</v>
      </c>
      <c r="X37" s="1566"/>
      <c r="Y37" s="3421"/>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1"/>
      <c r="Q38" s="1571" t="str">
        <f t="shared" si="14"/>
        <v>宗地开发程度</v>
      </c>
      <c r="R38" s="1567" t="s">
        <v>8</v>
      </c>
      <c r="S38" s="1568">
        <f t="shared" si="10"/>
        <v>100</v>
      </c>
      <c r="T38" s="1567" t="s">
        <v>8</v>
      </c>
      <c r="U38" s="1568">
        <f t="shared" si="11"/>
        <v>100</v>
      </c>
      <c r="V38" s="1567" t="s">
        <v>8</v>
      </c>
      <c r="W38" s="1568">
        <f t="shared" si="12"/>
        <v>100</v>
      </c>
      <c r="X38" s="1569"/>
      <c r="Y38" s="3421"/>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1" t="s">
        <v>600</v>
      </c>
      <c r="Q39" s="1571" t="str">
        <f t="shared" si="14"/>
        <v>工程地质条件</v>
      </c>
      <c r="R39" s="1572" t="s">
        <v>8</v>
      </c>
      <c r="S39" s="1573">
        <f t="shared" si="10"/>
        <v>100</v>
      </c>
      <c r="T39" s="1572" t="s">
        <v>8</v>
      </c>
      <c r="U39" s="1573">
        <f t="shared" si="11"/>
        <v>100</v>
      </c>
      <c r="V39" s="1572" t="s">
        <v>8</v>
      </c>
      <c r="W39" s="1573">
        <f t="shared" si="12"/>
        <v>100</v>
      </c>
      <c r="X39" s="1566"/>
      <c r="Y39" s="342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1"/>
      <c r="Q40" s="1571">
        <f t="shared" si="14"/>
        <v>111</v>
      </c>
      <c r="R40" s="1572" t="s">
        <v>8</v>
      </c>
      <c r="S40" s="1573">
        <f t="shared" si="10"/>
        <v>100</v>
      </c>
      <c r="T40" s="1572" t="s">
        <v>8</v>
      </c>
      <c r="U40" s="1573">
        <f t="shared" si="11"/>
        <v>100</v>
      </c>
      <c r="V40" s="1572" t="s">
        <v>8</v>
      </c>
      <c r="W40" s="1573">
        <f t="shared" si="12"/>
        <v>100</v>
      </c>
      <c r="X40" s="1566"/>
      <c r="Y40" s="342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1"/>
      <c r="Q41" s="1571">
        <f t="shared" si="14"/>
        <v>111</v>
      </c>
      <c r="R41" s="1572" t="s">
        <v>8</v>
      </c>
      <c r="S41" s="1573">
        <f t="shared" si="10"/>
        <v>100</v>
      </c>
      <c r="T41" s="1572" t="s">
        <v>8</v>
      </c>
      <c r="U41" s="1573">
        <f t="shared" si="11"/>
        <v>100</v>
      </c>
      <c r="V41" s="1572" t="s">
        <v>8</v>
      </c>
      <c r="W41" s="1573">
        <f t="shared" si="12"/>
        <v>100</v>
      </c>
      <c r="X41" s="1566"/>
      <c r="Y41" s="342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1"/>
      <c r="Q42" s="1571">
        <f t="shared" si="14"/>
        <v>111</v>
      </c>
      <c r="R42" s="1576" t="s">
        <v>8</v>
      </c>
      <c r="S42" s="1577">
        <f t="shared" si="10"/>
        <v>100</v>
      </c>
      <c r="T42" s="1576" t="s">
        <v>8</v>
      </c>
      <c r="U42" s="1577">
        <f t="shared" si="11"/>
        <v>100</v>
      </c>
      <c r="V42" s="1576" t="s">
        <v>8</v>
      </c>
      <c r="W42" s="1577">
        <f t="shared" si="12"/>
        <v>100</v>
      </c>
      <c r="X42" s="1578"/>
      <c r="Y42" s="3421"/>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416" t="str">
        <f>A43</f>
        <v>成交单价</v>
      </c>
      <c r="Q43" s="3416"/>
      <c r="R43" s="3430">
        <f>E43</f>
        <v>0</v>
      </c>
      <c r="S43" s="3430"/>
      <c r="T43" s="3430">
        <f>G43</f>
        <v>0</v>
      </c>
      <c r="U43" s="3430"/>
      <c r="V43" s="3430">
        <f>I43</f>
        <v>0</v>
      </c>
      <c r="W43" s="3430"/>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416" t="str">
        <f>A44</f>
        <v>比较价格（元/平方米）</v>
      </c>
      <c r="Q44" s="3416"/>
      <c r="R44" s="3440" t="e">
        <f>ROUND(PRODUCT(R43,AA9:AA42),0)</f>
        <v>#DIV/0!</v>
      </c>
      <c r="S44" s="3440"/>
      <c r="T44" s="3440" t="e">
        <f>ROUND(PRODUCT(T43,AB9:AB42),0)</f>
        <v>#DIV/0!</v>
      </c>
      <c r="U44" s="3440"/>
      <c r="V44" s="3440" t="e">
        <f>ROUND(PRODUCT(V43,AC9:AC42),0)</f>
        <v>#DIV/0!</v>
      </c>
      <c r="W44" s="3440"/>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437" t="str">
        <f>A45</f>
        <v>估价对象XX用房的比较价格（楼面单价，元/平方米）</v>
      </c>
      <c r="Q45" s="3438"/>
      <c r="R45" s="3439" t="e">
        <f>ROUND(AVERAGE(R44:V44),0)</f>
        <v>#DIV/0!</v>
      </c>
      <c r="S45" s="3439"/>
      <c r="T45" s="3439"/>
      <c r="U45" s="3439"/>
      <c r="V45" s="3439"/>
      <c r="W45" s="343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41" t="s">
        <v>2286</v>
      </c>
      <c r="H52" s="3442"/>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20190.8</v>
      </c>
      <c r="F53" s="1950" t="e">
        <f t="shared" ref="F53:F62" si="15">ROUND(B53*E53/10000,0)</f>
        <v>#DIV/0!</v>
      </c>
      <c r="G53" s="3443"/>
      <c r="H53" s="344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45"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4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4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4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5768.8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3.5</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54"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3.5</v>
      </c>
      <c r="AA7" s="2192"/>
      <c r="AB7" s="2192"/>
      <c r="AC7" s="2193"/>
      <c r="AD7" s="2929"/>
      <c r="AE7" s="2929"/>
      <c r="AF7" s="2929"/>
      <c r="AG7" s="2929"/>
      <c r="AH7" s="2929"/>
      <c r="AI7" s="2929"/>
      <c r="AJ7" s="2930"/>
    </row>
    <row r="8" spans="1:39" ht="15">
      <c r="A8" s="3455"/>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64" t="s">
        <v>2785</v>
      </c>
      <c r="X8" s="3465"/>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55"/>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63"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55"/>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6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55"/>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63" t="s">
        <v>2783</v>
      </c>
      <c r="X11" s="1047" t="s">
        <v>2768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54"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63"/>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6"/>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63"/>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56"/>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57"/>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54"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55"/>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43402</v>
      </c>
      <c r="H19" s="1474" t="s">
        <v>2941</v>
      </c>
      <c r="I19" s="2784" t="str">
        <f>IF(H19="季度增幅（自定义）",SUMIF(N21:N24,E2,O21:O24),"")</f>
        <v/>
      </c>
      <c r="J19" s="1470"/>
      <c r="K19" s="1480"/>
      <c r="L19" s="3040" t="s">
        <v>2843</v>
      </c>
      <c r="M19" s="3041">
        <f>ROUND(SUMIF(地价!B2:F2,E2,地价!B23:F23),0)</f>
        <v>0</v>
      </c>
      <c r="N19" s="2786" t="s">
        <v>1676</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0"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1"/>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1"/>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2"/>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58" t="s">
        <v>1633</v>
      </c>
      <c r="B90" s="3458"/>
      <c r="C90" s="3458"/>
      <c r="D90" s="3458"/>
      <c r="E90" s="3458"/>
      <c r="F90" s="3458"/>
      <c r="G90" s="3458"/>
      <c r="H90" s="3458"/>
      <c r="I90" s="3458"/>
      <c r="J90" s="3458"/>
      <c r="K90" s="2450"/>
      <c r="L90" s="2450"/>
      <c r="M90" s="2450"/>
      <c r="N90" s="2450"/>
    </row>
    <row r="91" spans="1:40">
      <c r="A91" s="3459" t="s">
        <v>1443</v>
      </c>
      <c r="B91" s="3459" t="s">
        <v>1634</v>
      </c>
      <c r="C91" s="1139" t="s">
        <v>1635</v>
      </c>
      <c r="D91" s="1140"/>
      <c r="E91" s="1140"/>
      <c r="F91" s="1140"/>
      <c r="G91" s="1140"/>
      <c r="H91" s="1140"/>
      <c r="I91" s="1140"/>
      <c r="J91" s="1141"/>
      <c r="K91" s="1133"/>
      <c r="L91" s="1133"/>
      <c r="M91" s="1133"/>
      <c r="N91" s="1133"/>
    </row>
    <row r="92" spans="1:40">
      <c r="A92" s="3459"/>
      <c r="B92" s="345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66"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6"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67"/>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67"/>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67"/>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67"/>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67"/>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67"/>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67"/>
      <c r="B108" s="346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8"/>
      <c r="B109" s="3470"/>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53" t="s">
        <v>1639</v>
      </c>
      <c r="B110" s="3453"/>
      <c r="C110" s="3453"/>
      <c r="D110" s="3453"/>
      <c r="E110" s="3453"/>
      <c r="F110" s="3453"/>
      <c r="G110" s="3453"/>
      <c r="H110" s="3453"/>
      <c r="I110" s="3453"/>
      <c r="J110" s="3453"/>
      <c r="K110" s="2448"/>
      <c r="L110" s="2448"/>
      <c r="M110" s="2448"/>
      <c r="N110" s="2448"/>
    </row>
    <row r="112" spans="1:14" ht="12.75" thickBot="1"/>
    <row r="113" spans="1:13" ht="25.5" thickBot="1">
      <c r="A113" s="1015" t="s">
        <v>895</v>
      </c>
      <c r="B113" s="2451">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59" t="s">
        <v>1007</v>
      </c>
      <c r="B18" s="1153" t="s">
        <v>1446</v>
      </c>
      <c r="C18" s="1130" t="s">
        <v>1447</v>
      </c>
      <c r="D18" s="1131"/>
      <c r="E18" s="1153">
        <v>1</v>
      </c>
      <c r="F18" s="1132" t="s">
        <v>1448</v>
      </c>
      <c r="G18" s="1133"/>
      <c r="H18" s="1104"/>
      <c r="I18" s="1104"/>
    </row>
    <row r="19" spans="1:9" s="1598" customFormat="1" ht="19.5" customHeight="1">
      <c r="A19" s="3459"/>
      <c r="B19" s="3459" t="s">
        <v>1449</v>
      </c>
      <c r="C19" s="1130" t="s">
        <v>1450</v>
      </c>
      <c r="D19" s="1131"/>
      <c r="E19" s="1153">
        <v>0.9</v>
      </c>
      <c r="F19" s="1132" t="s">
        <v>1451</v>
      </c>
      <c r="G19" s="1133"/>
      <c r="H19" s="1104"/>
      <c r="I19" s="1104"/>
    </row>
    <row r="20" spans="1:9" s="1598" customFormat="1" ht="19.5" customHeight="1">
      <c r="A20" s="3459"/>
      <c r="B20" s="3459"/>
      <c r="C20" s="1130" t="s">
        <v>1452</v>
      </c>
      <c r="D20" s="1131"/>
      <c r="E20" s="1153">
        <v>1.1000000000000001</v>
      </c>
      <c r="F20" s="1132" t="s">
        <v>1453</v>
      </c>
      <c r="G20" s="1133"/>
      <c r="H20" s="1104"/>
      <c r="I20" s="1104"/>
    </row>
    <row r="21" spans="1:9" s="1598" customFormat="1" ht="19.5" customHeight="1">
      <c r="A21" s="3459"/>
      <c r="B21" s="3459"/>
      <c r="C21" s="1130" t="s">
        <v>1454</v>
      </c>
      <c r="D21" s="1131"/>
      <c r="E21" s="1153">
        <v>0.8</v>
      </c>
      <c r="F21" s="1132" t="s">
        <v>1455</v>
      </c>
      <c r="G21" s="1133"/>
      <c r="H21" s="1104"/>
      <c r="I21" s="1104"/>
    </row>
    <row r="22" spans="1:9" s="1598" customFormat="1" ht="19.5" customHeight="1">
      <c r="A22" s="3459"/>
      <c r="B22" s="3459"/>
      <c r="C22" s="1130" t="s">
        <v>1456</v>
      </c>
      <c r="D22" s="1131"/>
      <c r="E22" s="1153">
        <v>0.5</v>
      </c>
      <c r="F22" s="1132"/>
      <c r="G22" s="1133"/>
      <c r="H22" s="1104"/>
      <c r="I22" s="1104"/>
    </row>
    <row r="23" spans="1:9" s="1598" customFormat="1" ht="19.5" customHeight="1">
      <c r="A23" s="3459" t="s">
        <v>1029</v>
      </c>
      <c r="B23" s="1153" t="s">
        <v>1446</v>
      </c>
      <c r="C23" s="1130" t="s">
        <v>1457</v>
      </c>
      <c r="D23" s="1131"/>
      <c r="E23" s="1153">
        <v>1</v>
      </c>
      <c r="F23" s="1132" t="s">
        <v>1458</v>
      </c>
      <c r="G23" s="1133"/>
      <c r="H23" s="1104"/>
      <c r="I23" s="1104"/>
    </row>
    <row r="24" spans="1:9" s="1598" customFormat="1" ht="19.5" customHeight="1">
      <c r="A24" s="3459"/>
      <c r="B24" s="3459" t="s">
        <v>1449</v>
      </c>
      <c r="C24" s="1130" t="s">
        <v>1459</v>
      </c>
      <c r="D24" s="1131"/>
      <c r="E24" s="1153">
        <v>0.5</v>
      </c>
      <c r="F24" s="1132"/>
      <c r="G24" s="1133"/>
      <c r="H24" s="1104"/>
      <c r="I24" s="1104"/>
    </row>
    <row r="25" spans="1:9" s="1598" customFormat="1" ht="19.5" customHeight="1">
      <c r="A25" s="3459"/>
      <c r="B25" s="3459"/>
      <c r="C25" s="1130" t="s">
        <v>1460</v>
      </c>
      <c r="D25" s="1131"/>
      <c r="E25" s="1153">
        <v>1.1000000000000001</v>
      </c>
      <c r="F25" s="1132"/>
      <c r="G25" s="1133"/>
      <c r="H25" s="1104"/>
      <c r="I25" s="1104"/>
    </row>
    <row r="26" spans="1:9" s="1598" customFormat="1" ht="19.5" customHeight="1">
      <c r="A26" s="3459"/>
      <c r="B26" s="3459"/>
      <c r="C26" s="1130" t="s">
        <v>1461</v>
      </c>
      <c r="D26" s="1131"/>
      <c r="E26" s="1153">
        <v>1.1000000000000001</v>
      </c>
      <c r="F26" s="1132"/>
      <c r="G26" s="1133"/>
      <c r="H26" s="1104"/>
      <c r="I26" s="1104"/>
    </row>
    <row r="27" spans="1:9" s="1598" customFormat="1" ht="19.5" customHeight="1">
      <c r="A27" s="3459"/>
      <c r="B27" s="3459"/>
      <c r="C27" s="1130" t="s">
        <v>1462</v>
      </c>
      <c r="D27" s="1131"/>
      <c r="E27" s="1153">
        <v>0.9</v>
      </c>
      <c r="F27" s="1132" t="s">
        <v>1463</v>
      </c>
      <c r="G27" s="1133"/>
      <c r="H27" s="1104"/>
      <c r="I27" s="1104"/>
    </row>
    <row r="28" spans="1:9" s="1598" customFormat="1" ht="19.5" customHeight="1">
      <c r="A28" s="3459"/>
      <c r="B28" s="3459"/>
      <c r="C28" s="1130" t="s">
        <v>1464</v>
      </c>
      <c r="D28" s="1131"/>
      <c r="E28" s="1153">
        <v>0.9</v>
      </c>
      <c r="F28" s="1132" t="s">
        <v>1465</v>
      </c>
      <c r="G28" s="1133"/>
      <c r="H28" s="1104"/>
      <c r="I28" s="1104"/>
    </row>
    <row r="29" spans="1:9" s="1598" customFormat="1" ht="19.5" customHeight="1">
      <c r="A29" s="3459"/>
      <c r="B29" s="3459"/>
      <c r="C29" s="1130" t="s">
        <v>1466</v>
      </c>
      <c r="D29" s="1131"/>
      <c r="E29" s="1153">
        <v>0.9</v>
      </c>
      <c r="F29" s="1132" t="s">
        <v>1467</v>
      </c>
      <c r="G29" s="1133"/>
      <c r="H29" s="1104"/>
      <c r="I29" s="1104"/>
    </row>
    <row r="30" spans="1:9" s="1598" customFormat="1" ht="19.5" customHeight="1">
      <c r="A30" s="3459"/>
      <c r="B30" s="3459"/>
      <c r="C30" s="1130" t="s">
        <v>1468</v>
      </c>
      <c r="D30" s="1131"/>
      <c r="E30" s="1153">
        <v>0.9</v>
      </c>
      <c r="F30" s="1132" t="s">
        <v>1469</v>
      </c>
      <c r="G30" s="1133"/>
      <c r="H30" s="1104"/>
      <c r="I30" s="1104"/>
    </row>
    <row r="31" spans="1:9" s="1598" customFormat="1" ht="19.5" customHeight="1">
      <c r="A31" s="3459"/>
      <c r="B31" s="3459"/>
      <c r="C31" s="1130" t="s">
        <v>1470</v>
      </c>
      <c r="D31" s="1131"/>
      <c r="E31" s="1153">
        <v>0.8</v>
      </c>
      <c r="F31" s="1132" t="s">
        <v>1471</v>
      </c>
      <c r="G31" s="1133"/>
      <c r="H31" s="1104"/>
      <c r="I31" s="1104"/>
    </row>
    <row r="32" spans="1:9" s="1598" customFormat="1" ht="19.5" customHeight="1">
      <c r="A32" s="3459"/>
      <c r="B32" s="3459"/>
      <c r="C32" s="1130" t="s">
        <v>1472</v>
      </c>
      <c r="D32" s="1131"/>
      <c r="E32" s="1153">
        <v>0.8</v>
      </c>
      <c r="F32" s="1132" t="s">
        <v>1473</v>
      </c>
      <c r="G32" s="1133"/>
      <c r="H32" s="1104"/>
      <c r="I32" s="1104"/>
    </row>
    <row r="33" spans="1:9" s="1598" customFormat="1" ht="19.5" customHeight="1">
      <c r="A33" s="3459" t="s">
        <v>1474</v>
      </c>
      <c r="B33" s="1153" t="s">
        <v>1446</v>
      </c>
      <c r="C33" s="1130" t="s">
        <v>1475</v>
      </c>
      <c r="D33" s="1131"/>
      <c r="E33" s="1153">
        <v>1</v>
      </c>
      <c r="F33" s="1132" t="s">
        <v>1476</v>
      </c>
      <c r="G33" s="1133"/>
      <c r="H33" s="1104"/>
      <c r="I33" s="1104"/>
    </row>
    <row r="34" spans="1:9" s="1598" customFormat="1" ht="19.5" customHeight="1">
      <c r="A34" s="3459"/>
      <c r="B34" s="1153" t="s">
        <v>1449</v>
      </c>
      <c r="C34" s="1130" t="s">
        <v>1477</v>
      </c>
      <c r="D34" s="1131"/>
      <c r="E34" s="1153">
        <v>1.5</v>
      </c>
      <c r="F34" s="1132" t="s">
        <v>1478</v>
      </c>
      <c r="G34" s="1133"/>
      <c r="H34" s="1104"/>
      <c r="I34" s="1104"/>
    </row>
    <row r="35" spans="1:9" s="1598" customFormat="1" ht="19.5" customHeight="1">
      <c r="A35" s="3459" t="s">
        <v>1432</v>
      </c>
      <c r="B35" s="1153" t="s">
        <v>1446</v>
      </c>
      <c r="C35" s="1130" t="s">
        <v>1479</v>
      </c>
      <c r="D35" s="1131"/>
      <c r="E35" s="1153">
        <v>1</v>
      </c>
      <c r="F35" s="1132" t="s">
        <v>1480</v>
      </c>
      <c r="G35" s="1133"/>
      <c r="H35" s="1104"/>
      <c r="I35" s="1104"/>
    </row>
    <row r="36" spans="1:9" s="1598" customFormat="1" ht="19.5" customHeight="1">
      <c r="A36" s="3459"/>
      <c r="B36" s="3459" t="s">
        <v>1449</v>
      </c>
      <c r="C36" s="1130" t="s">
        <v>1481</v>
      </c>
      <c r="D36" s="1131"/>
      <c r="E36" s="1153">
        <v>1</v>
      </c>
      <c r="F36" s="1132" t="s">
        <v>1482</v>
      </c>
      <c r="G36" s="1133"/>
      <c r="H36" s="1104"/>
      <c r="I36" s="1104"/>
    </row>
    <row r="37" spans="1:9" s="1598" customFormat="1" ht="19.5" customHeight="1">
      <c r="A37" s="3459"/>
      <c r="B37" s="3459"/>
      <c r="C37" s="1130" t="s">
        <v>1483</v>
      </c>
      <c r="D37" s="1131"/>
      <c r="E37" s="1153">
        <v>1.5</v>
      </c>
      <c r="F37" s="1132" t="s">
        <v>1484</v>
      </c>
      <c r="G37" s="1133"/>
      <c r="H37" s="1104"/>
      <c r="I37" s="1104"/>
    </row>
    <row r="38" spans="1:9" s="1598" customFormat="1" ht="19.5" customHeight="1">
      <c r="A38" s="3459"/>
      <c r="B38" s="3459"/>
      <c r="C38" s="1130" t="s">
        <v>1485</v>
      </c>
      <c r="D38" s="1131"/>
      <c r="E38" s="1153">
        <v>1</v>
      </c>
      <c r="F38" s="1132" t="s">
        <v>1486</v>
      </c>
      <c r="G38" s="1133"/>
      <c r="H38" s="1104"/>
      <c r="I38" s="1104"/>
    </row>
    <row r="39" spans="1:9" s="1598" customFormat="1" ht="19.5" customHeight="1">
      <c r="A39" s="3459"/>
      <c r="B39" s="3459"/>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9" t="s">
        <v>1501</v>
      </c>
      <c r="C61" s="1067" t="s">
        <v>1502</v>
      </c>
      <c r="D61" s="1067" t="s">
        <v>1503</v>
      </c>
      <c r="E61" s="1138">
        <v>0.5</v>
      </c>
      <c r="F61" s="1153">
        <v>80</v>
      </c>
      <c r="H61" s="1104">
        <f>SUMIF(C59:C119,基准地价!C8,E59:E119)</f>
        <v>0</v>
      </c>
    </row>
    <row r="62" spans="1:8" s="1104" customFormat="1" ht="24">
      <c r="A62" s="1153">
        <v>2</v>
      </c>
      <c r="B62" s="3459"/>
      <c r="C62" s="1067" t="s">
        <v>1504</v>
      </c>
      <c r="D62" s="1067" t="s">
        <v>1505</v>
      </c>
      <c r="E62" s="1138">
        <v>0.5</v>
      </c>
      <c r="F62" s="1153">
        <v>80</v>
      </c>
    </row>
    <row r="63" spans="1:8" s="1104" customFormat="1" ht="36">
      <c r="A63" s="1153">
        <v>3</v>
      </c>
      <c r="B63" s="3459"/>
      <c r="C63" s="1067" t="s">
        <v>1506</v>
      </c>
      <c r="D63" s="1067" t="s">
        <v>1507</v>
      </c>
      <c r="E63" s="1138">
        <v>0.5</v>
      </c>
      <c r="F63" s="1153">
        <v>80</v>
      </c>
    </row>
    <row r="64" spans="1:8" s="1104" customFormat="1" ht="36">
      <c r="A64" s="1153">
        <v>4</v>
      </c>
      <c r="B64" s="3459"/>
      <c r="C64" s="1067" t="s">
        <v>1508</v>
      </c>
      <c r="D64" s="1067" t="s">
        <v>1509</v>
      </c>
      <c r="E64" s="1138">
        <v>0.4</v>
      </c>
      <c r="F64" s="1153">
        <v>60</v>
      </c>
    </row>
    <row r="65" spans="1:6" s="1104" customFormat="1" ht="36">
      <c r="A65" s="1153">
        <v>5</v>
      </c>
      <c r="B65" s="3459"/>
      <c r="C65" s="1067" t="s">
        <v>1510</v>
      </c>
      <c r="D65" s="1067" t="s">
        <v>1511</v>
      </c>
      <c r="E65" s="1138">
        <v>0.2</v>
      </c>
      <c r="F65" s="1153">
        <v>30</v>
      </c>
    </row>
    <row r="66" spans="1:6" s="1104" customFormat="1" ht="36">
      <c r="A66" s="1153">
        <v>6</v>
      </c>
      <c r="B66" s="3459"/>
      <c r="C66" s="1067" t="s">
        <v>1512</v>
      </c>
      <c r="D66" s="1067" t="s">
        <v>1513</v>
      </c>
      <c r="E66" s="1138">
        <v>0.3</v>
      </c>
      <c r="F66" s="1153">
        <v>50</v>
      </c>
    </row>
    <row r="67" spans="1:6" s="1104" customFormat="1" ht="36">
      <c r="A67" s="1153">
        <v>7</v>
      </c>
      <c r="B67" s="3459"/>
      <c r="C67" s="1067" t="s">
        <v>1514</v>
      </c>
      <c r="D67" s="1067" t="s">
        <v>1515</v>
      </c>
      <c r="E67" s="1138">
        <v>0.2</v>
      </c>
      <c r="F67" s="1153">
        <v>30</v>
      </c>
    </row>
    <row r="68" spans="1:6" s="1104" customFormat="1" ht="36">
      <c r="A68" s="1153">
        <v>8</v>
      </c>
      <c r="B68" s="3459"/>
      <c r="C68" s="1067" t="s">
        <v>1516</v>
      </c>
      <c r="D68" s="1067" t="s">
        <v>1517</v>
      </c>
      <c r="E68" s="1138">
        <v>0.2</v>
      </c>
      <c r="F68" s="1153">
        <v>30</v>
      </c>
    </row>
    <row r="69" spans="1:6" s="1104" customFormat="1" ht="36">
      <c r="A69" s="1153">
        <v>9</v>
      </c>
      <c r="B69" s="3459"/>
      <c r="C69" s="1067" t="s">
        <v>1518</v>
      </c>
      <c r="D69" s="1067" t="s">
        <v>1519</v>
      </c>
      <c r="E69" s="1138">
        <v>0.2</v>
      </c>
      <c r="F69" s="1153">
        <v>30</v>
      </c>
    </row>
    <row r="70" spans="1:6" s="1104" customFormat="1" ht="48">
      <c r="A70" s="1153">
        <v>10</v>
      </c>
      <c r="B70" s="3459"/>
      <c r="C70" s="1067" t="s">
        <v>1520</v>
      </c>
      <c r="D70" s="1067" t="s">
        <v>1521</v>
      </c>
      <c r="E70" s="1138">
        <v>0.2</v>
      </c>
      <c r="F70" s="1153">
        <v>30</v>
      </c>
    </row>
    <row r="71" spans="1:6" s="1104" customFormat="1" ht="48">
      <c r="A71" s="1153">
        <v>11</v>
      </c>
      <c r="B71" s="3459"/>
      <c r="C71" s="1067" t="s">
        <v>1522</v>
      </c>
      <c r="D71" s="1067" t="s">
        <v>1523</v>
      </c>
      <c r="E71" s="1138">
        <v>0.2</v>
      </c>
      <c r="F71" s="1153">
        <v>30</v>
      </c>
    </row>
    <row r="72" spans="1:6" s="1104" customFormat="1" ht="36">
      <c r="A72" s="1153">
        <v>12</v>
      </c>
      <c r="B72" s="3459"/>
      <c r="C72" s="1067" t="s">
        <v>1524</v>
      </c>
      <c r="D72" s="1067" t="s">
        <v>1525</v>
      </c>
      <c r="E72" s="1138">
        <v>0.5</v>
      </c>
      <c r="F72" s="1153">
        <v>80</v>
      </c>
    </row>
    <row r="73" spans="1:6" s="1104" customFormat="1" ht="24">
      <c r="A73" s="1153">
        <v>13</v>
      </c>
      <c r="B73" s="3459"/>
      <c r="C73" s="1067" t="s">
        <v>1526</v>
      </c>
      <c r="D73" s="1067" t="s">
        <v>1527</v>
      </c>
      <c r="E73" s="1138">
        <v>0.4</v>
      </c>
      <c r="F73" s="1153">
        <v>60</v>
      </c>
    </row>
    <row r="74" spans="1:6" s="1104" customFormat="1" ht="24">
      <c r="A74" s="1153">
        <v>14</v>
      </c>
      <c r="B74" s="3459"/>
      <c r="C74" s="1067" t="s">
        <v>1528</v>
      </c>
      <c r="D74" s="1067" t="s">
        <v>1529</v>
      </c>
      <c r="E74" s="1138">
        <v>0.2</v>
      </c>
      <c r="F74" s="1153">
        <v>30</v>
      </c>
    </row>
    <row r="75" spans="1:6" s="1104" customFormat="1" ht="24">
      <c r="A75" s="1153">
        <v>15</v>
      </c>
      <c r="B75" s="3459"/>
      <c r="C75" s="1067" t="s">
        <v>1530</v>
      </c>
      <c r="D75" s="1067" t="s">
        <v>1531</v>
      </c>
      <c r="E75" s="1138">
        <v>0.2</v>
      </c>
      <c r="F75" s="1153">
        <v>30</v>
      </c>
    </row>
    <row r="76" spans="1:6" s="1104" customFormat="1" ht="24">
      <c r="A76" s="1153">
        <v>16</v>
      </c>
      <c r="B76" s="3459" t="s">
        <v>1532</v>
      </c>
      <c r="C76" s="1067" t="s">
        <v>1533</v>
      </c>
      <c r="D76" s="1067" t="s">
        <v>1534</v>
      </c>
      <c r="E76" s="1138">
        <v>0.5</v>
      </c>
      <c r="F76" s="1153">
        <v>80</v>
      </c>
    </row>
    <row r="77" spans="1:6" s="1104" customFormat="1" ht="24">
      <c r="A77" s="1153">
        <v>17</v>
      </c>
      <c r="B77" s="3459"/>
      <c r="C77" s="1067" t="s">
        <v>1535</v>
      </c>
      <c r="D77" s="1067" t="s">
        <v>1536</v>
      </c>
      <c r="E77" s="1138">
        <v>0.5</v>
      </c>
      <c r="F77" s="1153">
        <v>80</v>
      </c>
    </row>
    <row r="78" spans="1:6" s="1104" customFormat="1" ht="24">
      <c r="A78" s="1153">
        <v>18</v>
      </c>
      <c r="B78" s="3459"/>
      <c r="C78" s="1067" t="s">
        <v>1537</v>
      </c>
      <c r="D78" s="1067" t="s">
        <v>1538</v>
      </c>
      <c r="E78" s="1138">
        <v>0.2</v>
      </c>
      <c r="F78" s="1153">
        <v>30</v>
      </c>
    </row>
    <row r="79" spans="1:6" s="1104" customFormat="1" ht="24">
      <c r="A79" s="1153">
        <v>19</v>
      </c>
      <c r="B79" s="3459"/>
      <c r="C79" s="1067" t="s">
        <v>1539</v>
      </c>
      <c r="D79" s="1067" t="s">
        <v>1540</v>
      </c>
      <c r="E79" s="1138">
        <v>0.5</v>
      </c>
      <c r="F79" s="1153">
        <v>80</v>
      </c>
    </row>
    <row r="80" spans="1:6" s="1104" customFormat="1" ht="36">
      <c r="A80" s="1153">
        <v>20</v>
      </c>
      <c r="B80" s="3459"/>
      <c r="C80" s="1067" t="s">
        <v>1541</v>
      </c>
      <c r="D80" s="1067" t="s">
        <v>1542</v>
      </c>
      <c r="E80" s="1138">
        <v>0.2</v>
      </c>
      <c r="F80" s="1153">
        <v>30</v>
      </c>
    </row>
    <row r="81" spans="1:6" s="1104" customFormat="1" ht="36">
      <c r="A81" s="1153">
        <v>21</v>
      </c>
      <c r="B81" s="3459"/>
      <c r="C81" s="1067" t="s">
        <v>1543</v>
      </c>
      <c r="D81" s="1067" t="s">
        <v>1544</v>
      </c>
      <c r="E81" s="1138">
        <v>0.2</v>
      </c>
      <c r="F81" s="1153">
        <v>30</v>
      </c>
    </row>
    <row r="82" spans="1:6" s="1104" customFormat="1" ht="48">
      <c r="A82" s="1153">
        <v>22</v>
      </c>
      <c r="B82" s="3459"/>
      <c r="C82" s="1067" t="s">
        <v>1545</v>
      </c>
      <c r="D82" s="1067" t="s">
        <v>1546</v>
      </c>
      <c r="E82" s="1138">
        <v>0.2</v>
      </c>
      <c r="F82" s="1153">
        <v>30</v>
      </c>
    </row>
    <row r="83" spans="1:6" s="1104" customFormat="1" ht="48">
      <c r="A83" s="1153">
        <v>23</v>
      </c>
      <c r="B83" s="3459"/>
      <c r="C83" s="1067" t="s">
        <v>1547</v>
      </c>
      <c r="D83" s="1067" t="s">
        <v>1548</v>
      </c>
      <c r="E83" s="1138">
        <v>0.2</v>
      </c>
      <c r="F83" s="1153">
        <v>30</v>
      </c>
    </row>
    <row r="84" spans="1:6" s="1104" customFormat="1" ht="36">
      <c r="A84" s="1153">
        <v>24</v>
      </c>
      <c r="B84" s="3459"/>
      <c r="C84" s="1067" t="s">
        <v>1549</v>
      </c>
      <c r="D84" s="1067" t="s">
        <v>1550</v>
      </c>
      <c r="E84" s="1138">
        <v>0.2</v>
      </c>
      <c r="F84" s="1153">
        <v>30</v>
      </c>
    </row>
    <row r="85" spans="1:6" s="1104" customFormat="1" ht="36">
      <c r="A85" s="1153">
        <v>25</v>
      </c>
      <c r="B85" s="3459"/>
      <c r="C85" s="1067" t="s">
        <v>1551</v>
      </c>
      <c r="D85" s="1067" t="s">
        <v>1552</v>
      </c>
      <c r="E85" s="1138">
        <v>0.5</v>
      </c>
      <c r="F85" s="1153">
        <v>80</v>
      </c>
    </row>
    <row r="86" spans="1:6" s="1104" customFormat="1" ht="36">
      <c r="A86" s="1153">
        <v>26</v>
      </c>
      <c r="B86" s="3459"/>
      <c r="C86" s="1067" t="s">
        <v>1553</v>
      </c>
      <c r="D86" s="1067" t="s">
        <v>1554</v>
      </c>
      <c r="E86" s="1138">
        <v>0.2</v>
      </c>
      <c r="F86" s="1153">
        <v>30</v>
      </c>
    </row>
    <row r="87" spans="1:6" s="1104" customFormat="1" ht="36">
      <c r="A87" s="1153">
        <v>27</v>
      </c>
      <c r="B87" s="3459"/>
      <c r="C87" s="1067" t="s">
        <v>1555</v>
      </c>
      <c r="D87" s="1067" t="s">
        <v>1556</v>
      </c>
      <c r="E87" s="1138">
        <v>0.2</v>
      </c>
      <c r="F87" s="1153">
        <v>30</v>
      </c>
    </row>
    <row r="88" spans="1:6" s="1104" customFormat="1" ht="36">
      <c r="A88" s="1153">
        <v>28</v>
      </c>
      <c r="B88" s="3459"/>
      <c r="C88" s="1067" t="s">
        <v>1557</v>
      </c>
      <c r="D88" s="1067" t="s">
        <v>1558</v>
      </c>
      <c r="E88" s="1138">
        <v>0.2</v>
      </c>
      <c r="F88" s="1153">
        <v>30</v>
      </c>
    </row>
    <row r="89" spans="1:6" s="1104" customFormat="1" ht="24">
      <c r="A89" s="1153">
        <v>29</v>
      </c>
      <c r="B89" s="3459"/>
      <c r="C89" s="1067" t="s">
        <v>1559</v>
      </c>
      <c r="D89" s="1067" t="s">
        <v>1560</v>
      </c>
      <c r="E89" s="1138">
        <v>0.2</v>
      </c>
      <c r="F89" s="1153">
        <v>30</v>
      </c>
    </row>
    <row r="90" spans="1:6" s="1104" customFormat="1" ht="24">
      <c r="A90" s="1153">
        <v>30</v>
      </c>
      <c r="B90" s="3459"/>
      <c r="C90" s="1067" t="s">
        <v>1561</v>
      </c>
      <c r="D90" s="1067" t="s">
        <v>1562</v>
      </c>
      <c r="E90" s="1138">
        <v>0.2</v>
      </c>
      <c r="F90" s="1153">
        <v>30</v>
      </c>
    </row>
    <row r="91" spans="1:6" s="1104" customFormat="1" ht="36">
      <c r="A91" s="1153">
        <v>31</v>
      </c>
      <c r="B91" s="3459"/>
      <c r="C91" s="1067" t="s">
        <v>1563</v>
      </c>
      <c r="D91" s="1067" t="s">
        <v>1564</v>
      </c>
      <c r="E91" s="1138">
        <v>0.2</v>
      </c>
      <c r="F91" s="1153">
        <v>30</v>
      </c>
    </row>
    <row r="92" spans="1:6" s="1104" customFormat="1" ht="24">
      <c r="A92" s="1153">
        <v>32</v>
      </c>
      <c r="B92" s="3459" t="s">
        <v>1565</v>
      </c>
      <c r="C92" s="1153" t="s">
        <v>1566</v>
      </c>
      <c r="D92" s="1067" t="s">
        <v>1567</v>
      </c>
      <c r="E92" s="1138">
        <v>0.2</v>
      </c>
      <c r="F92" s="1153">
        <v>30</v>
      </c>
    </row>
    <row r="93" spans="1:6" s="1104" customFormat="1" ht="36">
      <c r="A93" s="1153">
        <v>33</v>
      </c>
      <c r="B93" s="3459"/>
      <c r="C93" s="1153" t="s">
        <v>1568</v>
      </c>
      <c r="D93" s="1067" t="s">
        <v>1569</v>
      </c>
      <c r="E93" s="1138">
        <v>0.2</v>
      </c>
      <c r="F93" s="1153">
        <v>30</v>
      </c>
    </row>
    <row r="94" spans="1:6" s="1104" customFormat="1" ht="48">
      <c r="A94" s="1153">
        <v>34</v>
      </c>
      <c r="B94" s="3459"/>
      <c r="C94" s="1153" t="s">
        <v>1570</v>
      </c>
      <c r="D94" s="1067" t="s">
        <v>1571</v>
      </c>
      <c r="E94" s="1138">
        <v>0.2</v>
      </c>
      <c r="F94" s="1153">
        <v>30</v>
      </c>
    </row>
    <row r="95" spans="1:6" s="1104" customFormat="1" ht="36">
      <c r="A95" s="1153">
        <v>35</v>
      </c>
      <c r="B95" s="3459"/>
      <c r="C95" s="1153" t="s">
        <v>1572</v>
      </c>
      <c r="D95" s="1067" t="s">
        <v>1573</v>
      </c>
      <c r="E95" s="1138">
        <v>0.2</v>
      </c>
      <c r="F95" s="1153">
        <v>30</v>
      </c>
    </row>
    <row r="96" spans="1:6" s="1104" customFormat="1" ht="48">
      <c r="A96" s="1153">
        <v>36</v>
      </c>
      <c r="B96" s="3459"/>
      <c r="C96" s="1067" t="s">
        <v>1574</v>
      </c>
      <c r="D96" s="1067" t="s">
        <v>1575</v>
      </c>
      <c r="E96" s="1138">
        <v>0.2</v>
      </c>
      <c r="F96" s="1153">
        <v>30</v>
      </c>
    </row>
    <row r="97" spans="1:6" s="1104" customFormat="1" ht="36">
      <c r="A97" s="1153">
        <v>37</v>
      </c>
      <c r="B97" s="3459"/>
      <c r="C97" s="1153" t="s">
        <v>1576</v>
      </c>
      <c r="D97" s="1067" t="s">
        <v>1577</v>
      </c>
      <c r="E97" s="1138">
        <v>0.2</v>
      </c>
      <c r="F97" s="1153">
        <v>30</v>
      </c>
    </row>
    <row r="98" spans="1:6" s="1104" customFormat="1" ht="36">
      <c r="A98" s="1153">
        <v>38</v>
      </c>
      <c r="B98" s="3459"/>
      <c r="C98" s="1153" t="s">
        <v>1578</v>
      </c>
      <c r="D98" s="1067" t="s">
        <v>1579</v>
      </c>
      <c r="E98" s="1138">
        <v>0.2</v>
      </c>
      <c r="F98" s="1153">
        <v>30</v>
      </c>
    </row>
    <row r="99" spans="1:6" s="1104" customFormat="1" ht="36">
      <c r="A99" s="1153">
        <v>39</v>
      </c>
      <c r="B99" s="3459" t="s">
        <v>1580</v>
      </c>
      <c r="C99" s="1153" t="s">
        <v>1581</v>
      </c>
      <c r="D99" s="1067" t="s">
        <v>1582</v>
      </c>
      <c r="E99" s="1138">
        <v>0.3</v>
      </c>
      <c r="F99" s="1153">
        <v>50</v>
      </c>
    </row>
    <row r="100" spans="1:6" s="1104" customFormat="1" ht="24">
      <c r="A100" s="1153">
        <v>40</v>
      </c>
      <c r="B100" s="3459"/>
      <c r="C100" s="1153" t="s">
        <v>1583</v>
      </c>
      <c r="D100" s="1067" t="s">
        <v>1584</v>
      </c>
      <c r="E100" s="1138">
        <v>0.2</v>
      </c>
      <c r="F100" s="1153">
        <v>30</v>
      </c>
    </row>
    <row r="101" spans="1:6" s="1104" customFormat="1" ht="36">
      <c r="A101" s="1153">
        <v>41</v>
      </c>
      <c r="B101" s="3459"/>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9" t="s">
        <v>1595</v>
      </c>
      <c r="C105" s="1153" t="s">
        <v>1596</v>
      </c>
      <c r="D105" s="1067" t="s">
        <v>1597</v>
      </c>
      <c r="E105" s="1138">
        <v>0.2</v>
      </c>
      <c r="F105" s="1153">
        <v>30</v>
      </c>
    </row>
    <row r="106" spans="1:6" s="1104" customFormat="1" ht="36">
      <c r="A106" s="1153">
        <v>46</v>
      </c>
      <c r="B106" s="3459"/>
      <c r="C106" s="1153" t="s">
        <v>1598</v>
      </c>
      <c r="D106" s="1067" t="s">
        <v>1599</v>
      </c>
      <c r="E106" s="1138">
        <v>0.2</v>
      </c>
      <c r="F106" s="1153">
        <v>30</v>
      </c>
    </row>
    <row r="107" spans="1:6" s="1104" customFormat="1" ht="36">
      <c r="A107" s="1153">
        <v>47</v>
      </c>
      <c r="B107" s="3459" t="s">
        <v>1600</v>
      </c>
      <c r="C107" s="1153" t="s">
        <v>1601</v>
      </c>
      <c r="D107" s="1067" t="s">
        <v>1602</v>
      </c>
      <c r="E107" s="1138">
        <v>0.3</v>
      </c>
      <c r="F107" s="1153">
        <v>50</v>
      </c>
    </row>
    <row r="108" spans="1:6" s="1104" customFormat="1" ht="36">
      <c r="A108" s="1153">
        <v>48</v>
      </c>
      <c r="B108" s="3459"/>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9" t="s">
        <v>1611</v>
      </c>
      <c r="C111" s="1153" t="s">
        <v>1612</v>
      </c>
      <c r="D111" s="1067" t="s">
        <v>1613</v>
      </c>
      <c r="E111" s="1138">
        <v>0.2</v>
      </c>
      <c r="F111" s="1153">
        <v>30</v>
      </c>
    </row>
    <row r="112" spans="1:6" s="1104" customFormat="1" ht="24">
      <c r="A112" s="1153">
        <v>52</v>
      </c>
      <c r="B112" s="3459"/>
      <c r="C112" s="1153" t="s">
        <v>1614</v>
      </c>
      <c r="D112" s="1067" t="s">
        <v>1615</v>
      </c>
      <c r="E112" s="1138">
        <v>0.2</v>
      </c>
      <c r="F112" s="1153">
        <v>30</v>
      </c>
    </row>
    <row r="113" spans="1:14" s="1104" customFormat="1" ht="24">
      <c r="A113" s="1153">
        <v>53</v>
      </c>
      <c r="B113" s="3459"/>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9" t="s">
        <v>1624</v>
      </c>
      <c r="C116" s="1153" t="s">
        <v>1625</v>
      </c>
      <c r="D116" s="1067" t="s">
        <v>1626</v>
      </c>
      <c r="E116" s="1138">
        <v>0.2</v>
      </c>
      <c r="F116" s="1153">
        <v>30</v>
      </c>
    </row>
    <row r="117" spans="1:14" ht="36">
      <c r="A117" s="1153">
        <v>57</v>
      </c>
      <c r="B117" s="3459"/>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8" t="s">
        <v>1633</v>
      </c>
      <c r="B121" s="3458"/>
      <c r="C121" s="3458"/>
      <c r="D121" s="3458"/>
      <c r="E121" s="3458"/>
      <c r="F121" s="3458"/>
      <c r="G121" s="3458"/>
      <c r="H121" s="3458"/>
      <c r="I121" s="3458"/>
      <c r="J121" s="345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1" t="s">
        <v>1039</v>
      </c>
      <c r="B1" s="3471"/>
      <c r="C1" s="3471"/>
      <c r="D1" s="3471"/>
      <c r="E1" s="3471"/>
      <c r="F1" s="3471"/>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72" t="s">
        <v>1052</v>
      </c>
      <c r="B2" s="3472"/>
      <c r="C2" s="3472"/>
      <c r="D2" s="3472"/>
      <c r="E2" s="3472"/>
      <c r="F2" s="3472"/>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73"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74"/>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5" t="s">
        <v>2081</v>
      </c>
      <c r="B1" s="3475"/>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0</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77" t="s">
        <v>2465</v>
      </c>
      <c r="C8" s="1825">
        <f ca="1">ROUND(F8*F10*F9*(1-F11)/10000,0)</f>
        <v>0</v>
      </c>
      <c r="D8" s="1822" t="s">
        <v>2536</v>
      </c>
      <c r="E8" s="61" t="s">
        <v>636</v>
      </c>
      <c r="F8" s="785">
        <f ca="1">INDIRECT("'数据-取费表'!u"&amp;$G$1)</f>
        <v>1.32</v>
      </c>
      <c r="G8" s="1591"/>
      <c r="H8" s="2504" t="s">
        <v>1824</v>
      </c>
      <c r="I8" s="3477" t="s">
        <v>2465</v>
      </c>
      <c r="J8" s="783">
        <f ca="1">ROUND(M8*M10*M9*(1-M11)/10000,0)</f>
        <v>0</v>
      </c>
      <c r="K8" s="341" t="s">
        <v>2536</v>
      </c>
      <c r="L8" s="784" t="s">
        <v>1738</v>
      </c>
      <c r="M8" s="785">
        <f ca="1">INDIRECT("'数据-取费表'!z"&amp;$G$1)</f>
        <v>0</v>
      </c>
    </row>
    <row r="9" spans="1:25" ht="18" customHeight="1">
      <c r="A9" s="2500"/>
      <c r="B9" s="3478"/>
      <c r="C9" s="1826"/>
      <c r="D9" s="1823"/>
      <c r="E9" s="61" t="s">
        <v>637</v>
      </c>
      <c r="F9" s="785">
        <f ca="1">IF(INDIRECT("'数据-取费表'!ah"&amp;$G$1)="",INDIRECT("'数据-取费表'!k"&amp;$G$1),INDIRECT("'数据-取费表'!ah"&amp;$G$1))</f>
        <v>0</v>
      </c>
      <c r="G9" s="1591"/>
      <c r="H9" s="2489"/>
      <c r="I9" s="3478"/>
      <c r="J9" s="788"/>
      <c r="K9" s="789"/>
      <c r="L9" s="784" t="s">
        <v>1739</v>
      </c>
      <c r="M9" s="785">
        <f ca="1">F9</f>
        <v>0</v>
      </c>
    </row>
    <row r="10" spans="1:25" ht="18" customHeight="1">
      <c r="A10" s="2493"/>
      <c r="B10" s="3479"/>
      <c r="C10" s="1826"/>
      <c r="D10" s="1823"/>
      <c r="E10" s="61" t="s">
        <v>638</v>
      </c>
      <c r="F10" s="785">
        <f ca="1">INDIRECT("'数据-取费表'!ai"&amp;$G$1)</f>
        <v>365</v>
      </c>
      <c r="G10" s="1591"/>
      <c r="H10" s="2489"/>
      <c r="I10" s="3479"/>
      <c r="J10" s="788"/>
      <c r="K10" s="789"/>
      <c r="L10" s="784" t="s">
        <v>1740</v>
      </c>
      <c r="M10" s="785">
        <f ca="1">INDIRECT("'数据-取费表'!ai"&amp;$G$1)</f>
        <v>365</v>
      </c>
    </row>
    <row r="11" spans="1:25" ht="18" customHeight="1">
      <c r="A11" s="786"/>
      <c r="B11" s="3480"/>
      <c r="C11" s="1826"/>
      <c r="D11" s="1823"/>
      <c r="E11" s="61" t="s">
        <v>639</v>
      </c>
      <c r="F11" s="794">
        <f ca="1">INDIRECT("'数据-取费表'!w"&amp;$G$1)</f>
        <v>0.15</v>
      </c>
      <c r="G11" s="1591"/>
      <c r="H11" s="2505"/>
      <c r="I11" s="3479"/>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1</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1</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1.4999999999999999E-2</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1.5E-3</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0.01</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0.2</v>
      </c>
      <c r="G28" s="1591"/>
      <c r="H28" s="781" t="s">
        <v>1837</v>
      </c>
      <c r="I28" s="782" t="s">
        <v>702</v>
      </c>
      <c r="J28" s="783">
        <f ca="1">IF(J7&lt;&gt;0,ROUND(J27*(1-((1+M30)/(1+M28))^M29)/(M28-M30),0),0)</f>
        <v>0</v>
      </c>
      <c r="K28" s="814" t="s">
        <v>703</v>
      </c>
      <c r="L28" s="784" t="s">
        <v>704</v>
      </c>
      <c r="M28" s="794">
        <f ca="1">INDIRECT("'数据-取费表'!I"&amp;$G$1)</f>
        <v>5.5E-2</v>
      </c>
    </row>
    <row r="29" spans="1:25" ht="18" customHeight="1">
      <c r="A29" s="803" t="s">
        <v>1849</v>
      </c>
      <c r="B29" s="784" t="s">
        <v>685</v>
      </c>
      <c r="C29" s="53">
        <f ca="1">ROUND(F23*F28,4)</f>
        <v>6.0000000000000001E-3</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t="e">
        <f ca="1">ROUND(J28/(1+F45)^F46,0)</f>
        <v>#N/A</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10</v>
      </c>
      <c r="G36" s="2062"/>
      <c r="H36" s="2065"/>
      <c r="I36" s="3476"/>
      <c r="J36" s="2079"/>
      <c r="K36" s="2080"/>
      <c r="L36" s="2079"/>
      <c r="M36" s="2079"/>
    </row>
    <row r="37" spans="1:18" ht="18" customHeight="1">
      <c r="A37" s="815"/>
      <c r="B37" s="793"/>
      <c r="C37" s="69"/>
      <c r="D37" s="816"/>
      <c r="E37" s="784" t="s">
        <v>673</v>
      </c>
      <c r="F37" s="785">
        <f ca="1">INDIRECT("'数据-取费表'!r"&amp;$G$1)</f>
        <v>0</v>
      </c>
      <c r="G37" s="2062"/>
      <c r="H37" s="2065"/>
      <c r="I37" s="3476"/>
      <c r="J37" s="2077"/>
      <c r="K37" s="2078"/>
      <c r="L37" s="2077"/>
      <c r="M37" s="2077"/>
    </row>
    <row r="38" spans="1:18" ht="18" customHeight="1">
      <c r="A38" s="803" t="s">
        <v>1877</v>
      </c>
      <c r="B38" s="784" t="s">
        <v>675</v>
      </c>
      <c r="C38" s="53">
        <f ca="1">ROUND(C31*F38,1)</f>
        <v>0</v>
      </c>
      <c r="D38" s="1977" t="s">
        <v>690</v>
      </c>
      <c r="E38" s="784" t="s">
        <v>648</v>
      </c>
      <c r="F38" s="817">
        <f ca="1">INDIRECT("'数据-取费表'!Ak"&amp;$G$1)</f>
        <v>1.4999999999999999E-2</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1.5E-3</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0.01</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8.5000000000000006E-2</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t="e">
        <f ca="1">ROUND(-PV(F45,F46,C44,0),0)</f>
        <v>#N/A</v>
      </c>
      <c r="D45" s="1357" t="s">
        <v>715</v>
      </c>
      <c r="E45" s="806" t="s">
        <v>716</v>
      </c>
      <c r="F45" s="830">
        <f ca="1">INDIRECT("'数据-取费表'!h"&amp;$G$1)</f>
        <v>0.05</v>
      </c>
      <c r="G45" s="2062"/>
      <c r="H45" s="2062"/>
      <c r="I45" s="2062"/>
      <c r="J45" s="2062"/>
      <c r="K45" s="2083"/>
      <c r="L45" s="2062"/>
      <c r="M45" s="2062"/>
    </row>
    <row r="46" spans="1:18" ht="18" customHeight="1" thickBot="1">
      <c r="A46" s="831"/>
      <c r="B46" s="1358"/>
      <c r="C46" s="1359"/>
      <c r="D46" s="1360"/>
      <c r="E46" s="3125" t="s">
        <v>2971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e">
        <f ca="1">IF(M48="住宅",0,IF(L49&gt;J52,L61,J61))</f>
        <v>#DIV/0!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40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38.01</v>
      </c>
      <c r="O49" s="2398" t="s">
        <v>2381</v>
      </c>
      <c r="P49" s="2399" t="s">
        <v>2407</v>
      </c>
      <c r="Q49" s="2400" t="e">
        <f ca="1">C41+J31</f>
        <v>#N/A</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0</v>
      </c>
      <c r="K54" s="3481"/>
      <c r="L54" s="3482"/>
      <c r="O54" s="2401" t="s">
        <v>2390</v>
      </c>
      <c r="P54" s="2399" t="s">
        <v>2391</v>
      </c>
      <c r="Q54" s="2400">
        <f ca="1">J54</f>
        <v>0</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t="e">
        <f ca="1">Q49+Q50</f>
        <v>#N/A</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38.01</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t="e">
        <f ca="1">C41+J31</f>
        <v>#N/A</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#N/A</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t="e">
        <f ca="1">C41+J31</f>
        <v>#N/A</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8.5000000000000006E-2</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#N/A</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85" t="s">
        <v>2578</v>
      </c>
      <c r="C1" s="3485"/>
      <c r="D1" s="3485"/>
      <c r="E1" s="3485"/>
      <c r="F1" s="3485"/>
      <c r="G1" s="3484" t="s">
        <v>2579</v>
      </c>
      <c r="H1" s="3484"/>
      <c r="I1" s="3484"/>
      <c r="J1" s="3484"/>
      <c r="K1" s="3484"/>
      <c r="L1" s="3484"/>
      <c r="N1" s="3484" t="s">
        <v>2580</v>
      </c>
      <c r="O1" s="3484"/>
      <c r="P1" s="3484"/>
      <c r="Q1" s="3484"/>
      <c r="R1" s="2654"/>
      <c r="S1" s="3484" t="s">
        <v>2581</v>
      </c>
      <c r="T1" s="3484"/>
      <c r="U1" s="3484"/>
      <c r="V1" s="3484"/>
      <c r="X1" s="3483" t="s">
        <v>2641</v>
      </c>
      <c r="Y1" s="3484"/>
      <c r="Z1" s="3484"/>
      <c r="AA1" s="3484"/>
      <c r="AB1" s="3484"/>
      <c r="AD1" s="3483" t="s">
        <v>2645</v>
      </c>
      <c r="AE1" s="3484"/>
      <c r="AF1" s="3484"/>
      <c r="AG1" s="3484"/>
      <c r="AH1" s="3484"/>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92">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87"/>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87"/>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88"/>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86">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87"/>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87"/>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88"/>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86">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87"/>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87"/>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88"/>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89">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90"/>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90"/>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91"/>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86">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87"/>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87"/>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88"/>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86">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87">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87">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88">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86">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87">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87">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88">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86">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87">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87">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88">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86">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87">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87">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88">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86">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87">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87">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88">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86">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87">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87">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88">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86">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87">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87">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88">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86">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87">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87">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88">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86">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87">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87">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88">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86">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87">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87">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88">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5768.8平方米。根据《建设工程规划许可证》[]、《出让合同》[]，估价对象规划建筑面积为20190.8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根据《国有土地使用证》[]，估价对象（分摊）出让国有建设用地使用权面积为5768.8平方米。根据《建设工程规划许可证》[]、《出让合同》[]，估价对象规划建筑面积为20190.8平方米。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本次估价对象为出让国有建设用地使用权，《国有土地使用证》[]证载土地终止日期为商业2056年10月23日。截至估价期日，出让国有建设用地使用权剩余土地使用年限为。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4" sqref="E2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v>36987</v>
      </c>
      <c r="D1" s="3126" t="s">
        <v>3054</v>
      </c>
      <c r="E1" s="2387" t="s">
        <v>2376</v>
      </c>
      <c r="F1" s="2388">
        <f ca="1">J53</f>
        <v>36.01</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15245</v>
      </c>
      <c r="C2" s="2057"/>
      <c r="D2" s="2055"/>
      <c r="E2" s="2056"/>
      <c r="F2" s="2056"/>
      <c r="G2" s="1589"/>
      <c r="H2" s="2057"/>
      <c r="I2" s="2057"/>
      <c r="J2" s="2057"/>
      <c r="K2" s="2058"/>
      <c r="L2" s="2057"/>
      <c r="M2" s="2057"/>
    </row>
    <row r="3" spans="1:33" ht="18" customHeight="1" thickBot="1">
      <c r="A3" s="833" t="s">
        <v>1727</v>
      </c>
      <c r="B3" s="834">
        <f ca="1">IF(ISERROR(B2*10000/F43),0,ROUND(B2*10000/F43,0))</f>
        <v>7550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995</v>
      </c>
      <c r="D5" s="2496" t="s">
        <v>2463</v>
      </c>
      <c r="E5" s="2490"/>
      <c r="F5" s="2491"/>
      <c r="G5" s="1591"/>
      <c r="H5" s="781">
        <v>1</v>
      </c>
      <c r="I5" s="782" t="s">
        <v>2460</v>
      </c>
      <c r="J5" s="55">
        <f ca="1">J6+J10+J12</f>
        <v>0</v>
      </c>
      <c r="K5" s="2496" t="s">
        <v>2463</v>
      </c>
      <c r="L5" s="2490"/>
      <c r="M5" s="2491"/>
    </row>
    <row r="6" spans="1:33" ht="18" customHeight="1">
      <c r="A6" s="1830" t="s">
        <v>1824</v>
      </c>
      <c r="B6" s="3477" t="s">
        <v>2465</v>
      </c>
      <c r="C6" s="783">
        <f ca="1">ROUND(F6*F8*F7*(1-F9)/10000,0)</f>
        <v>995</v>
      </c>
      <c r="D6" s="2497" t="s">
        <v>2464</v>
      </c>
      <c r="E6" s="784" t="s">
        <v>1738</v>
      </c>
      <c r="F6" s="785">
        <f ca="1">INDIRECT("'数据-取费表'!u"&amp;$G$1)</f>
        <v>1.5</v>
      </c>
      <c r="G6" s="1591"/>
      <c r="H6" s="2504" t="s">
        <v>2470</v>
      </c>
      <c r="I6" s="3477" t="s">
        <v>2465</v>
      </c>
      <c r="J6" s="783">
        <f ca="1">ROUND(M6*M8*M7*(1-M9)/10000,0)</f>
        <v>0</v>
      </c>
      <c r="K6" s="341" t="s">
        <v>1737</v>
      </c>
      <c r="L6" s="784" t="s">
        <v>1738</v>
      </c>
      <c r="M6" s="785">
        <f ca="1">INDIRECT("'数据-取费表'!z"&amp;$G$1)</f>
        <v>0</v>
      </c>
    </row>
    <row r="7" spans="1:33" ht="18" customHeight="1">
      <c r="A7" s="2500"/>
      <c r="B7" s="3478"/>
      <c r="C7" s="788"/>
      <c r="D7" s="789"/>
      <c r="E7" s="784" t="s">
        <v>1739</v>
      </c>
      <c r="F7" s="785">
        <f ca="1">IF(INDIRECT("'数据-取费表'!ah"&amp;$G$1)="",INDIRECT("'数据-取费表'!k"&amp;$G$1),INDIRECT("'数据-取费表'!ah"&amp;$G$1))</f>
        <v>20190.8</v>
      </c>
      <c r="G7" s="1591"/>
      <c r="H7" s="2489"/>
      <c r="I7" s="3478"/>
      <c r="J7" s="788"/>
      <c r="K7" s="789"/>
      <c r="L7" s="784" t="s">
        <v>1739</v>
      </c>
      <c r="M7" s="785">
        <f ca="1">F7</f>
        <v>20190.8</v>
      </c>
    </row>
    <row r="8" spans="1:33" ht="18" customHeight="1">
      <c r="A8" s="2493"/>
      <c r="B8" s="3479"/>
      <c r="C8" s="788"/>
      <c r="D8" s="789"/>
      <c r="E8" s="784" t="s">
        <v>1740</v>
      </c>
      <c r="F8" s="785">
        <f ca="1">INDIRECT("'数据-取费表'!ai"&amp;$G$1)</f>
        <v>365</v>
      </c>
      <c r="G8" s="1591"/>
      <c r="H8" s="2489"/>
      <c r="I8" s="3479"/>
      <c r="J8" s="788"/>
      <c r="K8" s="789"/>
      <c r="L8" s="784" t="s">
        <v>1740</v>
      </c>
      <c r="M8" s="785">
        <f ca="1">INDIRECT("'数据-取费表'!ai"&amp;$G$1)</f>
        <v>365</v>
      </c>
    </row>
    <row r="9" spans="1:33" ht="18" customHeight="1">
      <c r="A9" s="786"/>
      <c r="B9" s="3480"/>
      <c r="C9" s="788"/>
      <c r="D9" s="789"/>
      <c r="E9" s="784" t="s">
        <v>1741</v>
      </c>
      <c r="F9" s="794">
        <f ca="1">INDIRECT("'数据-取费表'!w"&amp;$G$1)</f>
        <v>0.1</v>
      </c>
      <c r="G9" s="1591"/>
      <c r="H9" s="2505"/>
      <c r="I9" s="3479"/>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8983</v>
      </c>
      <c r="D13" s="1834" t="s">
        <v>2299</v>
      </c>
      <c r="E13" s="1834" t="s">
        <v>1744</v>
      </c>
      <c r="F13" s="2536">
        <f ca="1">INDIRECT("'数据-取费表'!y"&amp;$G$1)</f>
        <v>1</v>
      </c>
      <c r="G13" s="1591"/>
      <c r="H13" s="1829">
        <v>2</v>
      </c>
      <c r="I13" s="1827" t="s">
        <v>1742</v>
      </c>
      <c r="J13" s="1819">
        <f ca="1">ROUND(J14*J15,0)</f>
        <v>8983</v>
      </c>
      <c r="K13" s="1821" t="s">
        <v>1743</v>
      </c>
      <c r="L13" s="2552"/>
      <c r="M13" s="2553"/>
    </row>
    <row r="14" spans="1:33" ht="18" customHeight="1">
      <c r="A14" s="1647" t="s">
        <v>1884</v>
      </c>
      <c r="B14" s="784" t="s">
        <v>644</v>
      </c>
      <c r="C14" s="804">
        <f ca="1">INDIRECT("'数据-取费表'!m"&amp;$G$1)+INDIRECT("'数据-取费表'!t"&amp;$G$1)</f>
        <v>5653</v>
      </c>
      <c r="D14" s="1979" t="s">
        <v>1745</v>
      </c>
      <c r="E14" s="1980"/>
      <c r="F14" s="805"/>
      <c r="G14" s="1591"/>
      <c r="H14" s="1648" t="s">
        <v>1830</v>
      </c>
      <c r="I14" s="2231" t="s">
        <v>2828</v>
      </c>
      <c r="J14" s="53">
        <f ca="1">C29</f>
        <v>8983</v>
      </c>
      <c r="K14" s="26"/>
      <c r="L14" s="801"/>
      <c r="M14" s="802"/>
    </row>
    <row r="15" spans="1:33" s="2064" customFormat="1" ht="18" customHeight="1" thickBot="1">
      <c r="A15" s="1647" t="s">
        <v>1885</v>
      </c>
      <c r="B15" s="784" t="s">
        <v>646</v>
      </c>
      <c r="C15" s="53">
        <f ca="1">ROUND(C14*F15,0)</f>
        <v>283</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909</v>
      </c>
      <c r="K16" s="1821" t="s">
        <v>1750</v>
      </c>
      <c r="L16" s="2486"/>
      <c r="M16" s="2491"/>
    </row>
    <row r="17" spans="1:33" s="2064" customFormat="1" ht="18" customHeight="1">
      <c r="A17" s="1647" t="s">
        <v>1887</v>
      </c>
      <c r="B17" s="784" t="s">
        <v>652</v>
      </c>
      <c r="C17" s="53">
        <f ca="1">ROUND(F17*(F43+INDIRECT("'数据-取费表'!S"&amp;$G$1))/10000,0)</f>
        <v>404</v>
      </c>
      <c r="D17" s="784" t="s">
        <v>1751</v>
      </c>
      <c r="E17" s="784" t="s">
        <v>1752</v>
      </c>
      <c r="F17" s="56">
        <f>'数据-取费表'!B35</f>
        <v>200</v>
      </c>
      <c r="G17" s="1592"/>
      <c r="H17" s="1648" t="s">
        <v>1830</v>
      </c>
      <c r="I17" s="784" t="s">
        <v>655</v>
      </c>
      <c r="J17" s="53">
        <f ca="1">ROUND(IF(项目基本情况!B11="自然人",J5*M17,J18+J19+J20),0)</f>
        <v>761</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85</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6425</v>
      </c>
      <c r="D19" s="261" t="s">
        <v>1757</v>
      </c>
      <c r="E19" s="1982"/>
      <c r="F19" s="56"/>
      <c r="G19" s="1591"/>
      <c r="H19" s="1647" t="s">
        <v>1885</v>
      </c>
      <c r="I19" s="784" t="s">
        <v>1758</v>
      </c>
      <c r="J19" s="53">
        <f ca="1">IF(K19="按租金收入计税",ROUND(J5*M19,1),ROUND(C29*F33*0.7,1))</f>
        <v>754.6</v>
      </c>
      <c r="K19" s="811" t="s">
        <v>664</v>
      </c>
      <c r="L19" s="784" t="s">
        <v>1747</v>
      </c>
      <c r="M19" s="809">
        <f>IF(K19="按租金收入计税",'数据-取费表'!B51,'数据-取费表'!B50)</f>
        <v>1.2E-2</v>
      </c>
    </row>
    <row r="20" spans="1:33" s="2064" customFormat="1" ht="18" customHeight="1">
      <c r="A20" s="1648" t="s">
        <v>1889</v>
      </c>
      <c r="B20" s="784" t="s">
        <v>665</v>
      </c>
      <c r="C20" s="53">
        <f ca="1">ROUND(C19*F20,0)</f>
        <v>129</v>
      </c>
      <c r="D20" s="812" t="s">
        <v>1759</v>
      </c>
      <c r="E20" s="784" t="s">
        <v>1747</v>
      </c>
      <c r="F20" s="809">
        <f>'数据-取费表'!B37</f>
        <v>0.02</v>
      </c>
      <c r="G20" s="1592"/>
      <c r="H20" s="1650" t="s">
        <v>1880</v>
      </c>
      <c r="I20" s="341" t="s">
        <v>1760</v>
      </c>
      <c r="J20" s="54">
        <f ca="1">ROUND(M20*M21/10000,0)</f>
        <v>6</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5768.8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135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311</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13</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-909</v>
      </c>
      <c r="K25" s="2548" t="s">
        <v>1777</v>
      </c>
      <c r="L25" s="2549"/>
      <c r="M25" s="2550"/>
    </row>
    <row r="26" spans="1:33" ht="18" customHeight="1">
      <c r="A26" s="1647" t="s">
        <v>1831</v>
      </c>
      <c r="B26" s="784" t="s">
        <v>2440</v>
      </c>
      <c r="C26" s="53">
        <f ca="1">ROUND((C19+C20)*F26,0)</f>
        <v>1311</v>
      </c>
      <c r="D26" s="812" t="s">
        <v>1778</v>
      </c>
      <c r="E26" s="795" t="s">
        <v>1779</v>
      </c>
      <c r="F26" s="794">
        <f ca="1">INDIRECT("'数据-取费表'!q"&amp;$G$1)</f>
        <v>0.2</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6.0000000000000001E-3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8983</v>
      </c>
      <c r="D29" s="2545"/>
      <c r="E29" s="2546"/>
      <c r="F29" s="2547"/>
      <c r="G29" s="1592"/>
      <c r="H29" s="823" t="s">
        <v>1787</v>
      </c>
      <c r="I29" s="824" t="s">
        <v>1788</v>
      </c>
      <c r="J29" s="825">
        <f ca="1">ROUND(J26/(1+F40)^F41,0)</f>
        <v>0</v>
      </c>
      <c r="K29" s="826" t="s">
        <v>1789</v>
      </c>
      <c r="L29" s="827"/>
      <c r="M29" s="828">
        <f ca="1">INDIRECT("'数据-取费表'!k"&amp;$G$1)</f>
        <v>20190.8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336</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177.3</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52.1</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119.4</v>
      </c>
      <c r="D33" s="811" t="s">
        <v>3065</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5.8</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5768.8</v>
      </c>
      <c r="G35" s="2062"/>
      <c r="H35" s="2065"/>
      <c r="I35" s="837" t="s">
        <v>1814</v>
      </c>
      <c r="J35" s="838">
        <f ca="1">ROUND(C13*J36,0)</f>
        <v>764</v>
      </c>
      <c r="K35" s="2078"/>
      <c r="L35" s="2077"/>
      <c r="M35" s="2077"/>
    </row>
    <row r="36" spans="1:18" ht="18" customHeight="1">
      <c r="A36" s="1648" t="s">
        <v>1889</v>
      </c>
      <c r="B36" s="784" t="s">
        <v>1802</v>
      </c>
      <c r="C36" s="53">
        <f ca="1">ROUND(C29*F36,1)</f>
        <v>134.69999999999999</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10</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659</v>
      </c>
      <c r="D39" s="2548" t="s">
        <v>1806</v>
      </c>
      <c r="E39" s="2549"/>
      <c r="F39" s="2550"/>
      <c r="G39" s="2062"/>
      <c r="H39" s="2077"/>
      <c r="I39" s="837" t="s">
        <v>1818</v>
      </c>
      <c r="J39" s="845">
        <f ca="1">ROUND(J35/C39,3)</f>
        <v>1.159</v>
      </c>
      <c r="K39" s="2083"/>
      <c r="L39" s="2077"/>
      <c r="M39" s="2077"/>
    </row>
    <row r="40" spans="1:18" ht="18" customHeight="1">
      <c r="A40" s="781" t="s">
        <v>1895</v>
      </c>
      <c r="B40" s="2232" t="s">
        <v>2303</v>
      </c>
      <c r="C40" s="783">
        <f ca="1">ROUND(C39*(1-((1+F42)/(1+F40))^F41)/(F40-F42),0)</f>
        <v>15245</v>
      </c>
      <c r="D40" s="814" t="s">
        <v>1807</v>
      </c>
      <c r="E40" s="784" t="s">
        <v>2421</v>
      </c>
      <c r="F40" s="794">
        <f ca="1">INDIRECT("'数据-取费表'!I"&amp;$G$1)</f>
        <v>5.5E-2</v>
      </c>
      <c r="G40" s="2062"/>
      <c r="H40" s="2062"/>
      <c r="I40" s="837" t="s">
        <v>1819</v>
      </c>
      <c r="J40" s="845">
        <f ca="1">1-J39</f>
        <v>-0.15900000000000003</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36.01</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0.58899999999999997</v>
      </c>
      <c r="K42" s="2082"/>
      <c r="L42" s="1988"/>
      <c r="M42" s="1988"/>
    </row>
    <row r="43" spans="1:18" ht="18" customHeight="1" thickBot="1">
      <c r="A43" s="823" t="s">
        <v>1787</v>
      </c>
      <c r="B43" s="824" t="s">
        <v>1810</v>
      </c>
      <c r="C43" s="825">
        <f ca="1">ROUND(C40*10000/F43,0)</f>
        <v>7550</v>
      </c>
      <c r="D43" s="826" t="s">
        <v>1811</v>
      </c>
      <c r="E43" s="827" t="s">
        <v>1812</v>
      </c>
      <c r="F43" s="828">
        <f ca="1">INDIRECT("'数据-取费表'!k"&amp;$G$1)</f>
        <v>20190.8</v>
      </c>
      <c r="G43" s="2062"/>
      <c r="H43" s="1988"/>
      <c r="I43" s="847" t="s">
        <v>1822</v>
      </c>
      <c r="J43" s="848">
        <f ca="1">1-J42</f>
        <v>0.41100000000000003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-17638</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3015</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38.01</v>
      </c>
      <c r="O48" s="2398" t="s">
        <v>2381</v>
      </c>
      <c r="P48" s="2399" t="s">
        <v>2407</v>
      </c>
      <c r="Q48" s="2400">
        <f ca="1">C40+J29</f>
        <v>15245</v>
      </c>
      <c r="R48" s="2399" t="s">
        <v>2382</v>
      </c>
    </row>
    <row r="49" spans="1:18" s="2059" customFormat="1" ht="18" customHeight="1" thickBot="1">
      <c r="A49" s="786"/>
      <c r="B49" s="787"/>
      <c r="C49" s="788"/>
      <c r="D49" s="789"/>
      <c r="E49" s="784" t="s">
        <v>1739</v>
      </c>
      <c r="F49" s="785">
        <f ca="1">F7</f>
        <v>20190.8</v>
      </c>
      <c r="G49" s="2090"/>
      <c r="H49" s="2093"/>
      <c r="I49" s="3127" t="s">
        <v>2348</v>
      </c>
      <c r="J49" s="2383"/>
      <c r="K49" s="3160" t="s">
        <v>2354</v>
      </c>
      <c r="L49" s="2384"/>
      <c r="O49" s="2398" t="s">
        <v>2383</v>
      </c>
      <c r="P49" s="2399" t="s">
        <v>2408</v>
      </c>
      <c r="Q49" s="2400">
        <f ca="1">J60</f>
        <v>161</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8983</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-1764</v>
      </c>
      <c r="O51" s="2401" t="s">
        <v>2386</v>
      </c>
      <c r="P51" s="2399" t="s">
        <v>2387</v>
      </c>
      <c r="Q51" s="2402">
        <f ca="1">J58</f>
        <v>0.4</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36.01</v>
      </c>
      <c r="K53" s="3493" t="s">
        <v>2972</v>
      </c>
      <c r="L53" s="3494"/>
      <c r="O53" s="2401" t="s">
        <v>2390</v>
      </c>
      <c r="P53" s="2399" t="s">
        <v>2391</v>
      </c>
      <c r="Q53" s="2400">
        <f ca="1">J53</f>
        <v>36.01</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15406</v>
      </c>
      <c r="R54" s="2403" t="s">
        <v>2394</v>
      </c>
    </row>
    <row r="55" spans="1:18" s="2059" customFormat="1" ht="18" customHeight="1" thickTop="1" thickBot="1">
      <c r="A55" s="797">
        <v>2</v>
      </c>
      <c r="B55" s="798" t="s">
        <v>643</v>
      </c>
      <c r="C55" s="799">
        <f ca="1">C13</f>
        <v>8983</v>
      </c>
      <c r="D55" s="795"/>
      <c r="E55" s="795"/>
      <c r="F55" s="800"/>
      <c r="I55" s="3166" t="s">
        <v>2357</v>
      </c>
      <c r="J55" s="3102">
        <f ca="1">ROUND(IF(J47="钢混",J57/J50,1-(1-2%)*(J50-J57)/J50),3)</f>
        <v>0.36699999999999999</v>
      </c>
      <c r="K55" s="3167" t="s">
        <v>2358</v>
      </c>
      <c r="L55" s="2386"/>
      <c r="O55" s="2404" t="s">
        <v>2413</v>
      </c>
      <c r="P55" s="1591"/>
      <c r="Q55" s="1603"/>
      <c r="R55" s="1591"/>
    </row>
    <row r="56" spans="1:18" s="2059" customFormat="1" ht="42.75" customHeight="1" thickBot="1">
      <c r="A56" s="1649"/>
      <c r="B56" s="2231" t="s">
        <v>2304</v>
      </c>
      <c r="C56" s="53">
        <f ca="1">C29</f>
        <v>8983</v>
      </c>
      <c r="D56" s="2639"/>
      <c r="E56" s="784"/>
      <c r="F56" s="809"/>
      <c r="I56" s="3168" t="s">
        <v>2359</v>
      </c>
      <c r="J56" s="3178" t="s">
        <v>3055</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154</v>
      </c>
      <c r="D57" s="26" t="s">
        <v>1750</v>
      </c>
      <c r="E57" s="2640"/>
      <c r="F57" s="56"/>
      <c r="I57" s="3169" t="s">
        <v>2360</v>
      </c>
      <c r="J57" s="3170">
        <f ca="1">IF(OR(M47="住宅",J51&lt;L48,J56="是"),"——",J51-L48)</f>
        <v>21.990000000000002</v>
      </c>
      <c r="K57" s="3127" t="s">
        <v>2365</v>
      </c>
      <c r="L57" s="1908" t="str">
        <f ca="1">IF(L48&lt;J51,"——",IF(L55="比较法",L49,IF(L55="基准地价",L50,L51)))</f>
        <v>——</v>
      </c>
      <c r="O57" s="2398" t="s">
        <v>2381</v>
      </c>
      <c r="P57" s="2399" t="s">
        <v>2411</v>
      </c>
      <c r="Q57" s="2400">
        <f ca="1">C40+J29</f>
        <v>15245</v>
      </c>
      <c r="R57" s="2399" t="s">
        <v>2382</v>
      </c>
    </row>
    <row r="58" spans="1:18" s="2059" customFormat="1" ht="28.5" customHeight="1" thickBot="1">
      <c r="A58" s="1648" t="s">
        <v>1824</v>
      </c>
      <c r="B58" s="784" t="s">
        <v>655</v>
      </c>
      <c r="C58" s="53">
        <f ca="1">ROUND(IF(项目基本情况!B11="自然人",C47*F58,C59+C60+C61),1)</f>
        <v>5.8</v>
      </c>
      <c r="D58" s="2638" t="s">
        <v>656</v>
      </c>
      <c r="E58" s="2639" t="s">
        <v>689</v>
      </c>
      <c r="F58" s="810" t="str">
        <f ca="1">IF(项目基本情况!B11="企业","",IF(INDIRECT("'数据-取费表'!c"&amp;$G$1)="住宅",5%,IF(F48*F49*F50/12/(1+'数据-取费表'!C42)&gt;20000,12%,7%)))</f>
        <v/>
      </c>
      <c r="I58" s="3169" t="s">
        <v>2361</v>
      </c>
      <c r="J58" s="3103">
        <f ca="1">IF(J55&lt;0.4,0.4,J55)</f>
        <v>0.4</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3593</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161</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5.8</v>
      </c>
      <c r="D61" s="814" t="s">
        <v>668</v>
      </c>
      <c r="E61" s="784" t="s">
        <v>669</v>
      </c>
      <c r="F61" s="640">
        <f t="shared" si="0"/>
        <v>10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5768.8</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134.69999999999999</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15245</v>
      </c>
      <c r="R63" s="2403" t="s">
        <v>2394</v>
      </c>
    </row>
    <row r="64" spans="1:18" s="2059" customFormat="1" ht="16.5" thickBot="1">
      <c r="A64" s="1648" t="s">
        <v>1890</v>
      </c>
      <c r="B64" s="784" t="s">
        <v>678</v>
      </c>
      <c r="C64" s="53">
        <f ca="1">ROUND(C55*F64,1)</f>
        <v>13.5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-154</v>
      </c>
      <c r="D66" s="2638" t="s">
        <v>699</v>
      </c>
      <c r="E66" s="2637"/>
      <c r="F66" s="820"/>
      <c r="K66" s="2086"/>
      <c r="O66" s="2398" t="s">
        <v>2381</v>
      </c>
      <c r="P66" s="2399" t="s">
        <v>2411</v>
      </c>
      <c r="Q66" s="2400">
        <f ca="1">C40+J29</f>
        <v>15245</v>
      </c>
      <c r="R66" s="2399" t="s">
        <v>2382</v>
      </c>
    </row>
    <row r="67" spans="1:18" s="2059" customFormat="1" ht="20.25" thickBot="1">
      <c r="A67" s="781" t="s">
        <v>1780</v>
      </c>
      <c r="B67" s="2232" t="s">
        <v>2303</v>
      </c>
      <c r="C67" s="783">
        <f ca="1">ROUND(C66*(1-((1+F69)/(1+F67))^F68)/(F67-F69),0)</f>
        <v>-2393</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36.01</v>
      </c>
      <c r="O68" s="2401" t="s">
        <v>2385</v>
      </c>
      <c r="P68" s="2399" t="s">
        <v>2415</v>
      </c>
      <c r="Q68" s="2405">
        <f ca="1">L51</f>
        <v>-1764</v>
      </c>
      <c r="R68" s="2406" t="s">
        <v>2418</v>
      </c>
    </row>
    <row r="69" spans="1:18" ht="20.25" thickBot="1">
      <c r="A69" s="790"/>
      <c r="B69" s="791"/>
      <c r="C69" s="792"/>
      <c r="D69" s="816"/>
      <c r="E69" s="784" t="s">
        <v>709</v>
      </c>
      <c r="F69" s="2371"/>
      <c r="O69" s="2401" t="s">
        <v>2386</v>
      </c>
      <c r="P69" s="2407" t="s">
        <v>2400</v>
      </c>
      <c r="Q69" s="2400">
        <f ca="1">ROUND(Q70-Q71*Q72,0)</f>
        <v>-105</v>
      </c>
      <c r="R69" s="2403"/>
    </row>
    <row r="70" spans="1:18" ht="15.75" thickBot="1">
      <c r="A70" s="823" t="s">
        <v>1787</v>
      </c>
      <c r="B70" s="824" t="s">
        <v>1810</v>
      </c>
      <c r="C70" s="825">
        <f ca="1">ROUND(C67*10000/F70,0)</f>
        <v>-1185</v>
      </c>
      <c r="D70" s="826" t="s">
        <v>1811</v>
      </c>
      <c r="E70" s="827" t="s">
        <v>1812</v>
      </c>
      <c r="F70" s="828">
        <f ca="1">F43</f>
        <v>20190.8</v>
      </c>
      <c r="O70" s="2401" t="s">
        <v>2401</v>
      </c>
      <c r="P70" s="2407" t="s">
        <v>2402</v>
      </c>
      <c r="Q70" s="2400">
        <f ca="1">C39</f>
        <v>659</v>
      </c>
      <c r="R70" s="2399" t="s">
        <v>2382</v>
      </c>
    </row>
    <row r="71" spans="1:18" ht="15.75" thickBot="1">
      <c r="O71" s="2401" t="s">
        <v>2403</v>
      </c>
      <c r="P71" s="2407" t="s">
        <v>2404</v>
      </c>
      <c r="Q71" s="2400">
        <f ca="1">C13</f>
        <v>8983</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15245</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2473</v>
      </c>
      <c r="B1" s="3512"/>
      <c r="C1" s="3513"/>
      <c r="D1" s="3514">
        <f>SUM(I10,I15,I20,I21,I23)</f>
        <v>0</v>
      </c>
      <c r="E1" s="3514"/>
      <c r="F1" s="3514"/>
      <c r="G1" s="3514"/>
      <c r="H1" s="3514"/>
      <c r="I1" s="3515"/>
    </row>
    <row r="2" spans="1:9">
      <c r="A2" s="3501" t="s">
        <v>2474</v>
      </c>
      <c r="B2" s="3502" t="s">
        <v>2475</v>
      </c>
      <c r="C2" s="3502"/>
      <c r="D2" s="2507" t="s">
        <v>2476</v>
      </c>
      <c r="E2" s="2507" t="s">
        <v>2477</v>
      </c>
      <c r="F2" s="2507" t="s">
        <v>2478</v>
      </c>
      <c r="G2" s="2507" t="s">
        <v>2479</v>
      </c>
      <c r="H2" s="2507" t="s">
        <v>2480</v>
      </c>
      <c r="I2" s="2508" t="s">
        <v>2481</v>
      </c>
    </row>
    <row r="3" spans="1:9">
      <c r="A3" s="3501"/>
      <c r="B3" s="3502" t="s">
        <v>2482</v>
      </c>
      <c r="C3" s="3502"/>
      <c r="D3" s="2509"/>
      <c r="E3" s="2507"/>
      <c r="F3" s="2510"/>
      <c r="G3" s="2510"/>
      <c r="H3" s="2511"/>
      <c r="I3" s="2512">
        <f>ROUND(D3*E3*F3*G3*H3/10000,0)</f>
        <v>0</v>
      </c>
    </row>
    <row r="4" spans="1:9">
      <c r="A4" s="3501"/>
      <c r="B4" s="3502" t="s">
        <v>2483</v>
      </c>
      <c r="C4" s="3502"/>
      <c r="D4" s="2509"/>
      <c r="E4" s="2507"/>
      <c r="F4" s="2510"/>
      <c r="G4" s="2510"/>
      <c r="H4" s="2511"/>
      <c r="I4" s="2512">
        <f t="shared" ref="I4:I9" si="0">ROUND(D4*E4*F4*G4*H4/10000,0)</f>
        <v>0</v>
      </c>
    </row>
    <row r="5" spans="1:9">
      <c r="A5" s="3501"/>
      <c r="B5" s="3502" t="s">
        <v>2484</v>
      </c>
      <c r="C5" s="3502"/>
      <c r="D5" s="2509"/>
      <c r="E5" s="2507"/>
      <c r="F5" s="2510"/>
      <c r="G5" s="2510"/>
      <c r="H5" s="2511"/>
      <c r="I5" s="2512">
        <f t="shared" si="0"/>
        <v>0</v>
      </c>
    </row>
    <row r="6" spans="1:9">
      <c r="A6" s="3501"/>
      <c r="B6" s="3502" t="s">
        <v>2485</v>
      </c>
      <c r="C6" s="3502"/>
      <c r="D6" s="2509"/>
      <c r="E6" s="2507"/>
      <c r="F6" s="2510"/>
      <c r="G6" s="2510"/>
      <c r="H6" s="2511"/>
      <c r="I6" s="2512">
        <f t="shared" si="0"/>
        <v>0</v>
      </c>
    </row>
    <row r="7" spans="1:9">
      <c r="A7" s="3501"/>
      <c r="B7" s="3502" t="s">
        <v>2486</v>
      </c>
      <c r="C7" s="3502"/>
      <c r="D7" s="2509"/>
      <c r="E7" s="2507"/>
      <c r="F7" s="2510"/>
      <c r="G7" s="2510"/>
      <c r="H7" s="2511"/>
      <c r="I7" s="2512">
        <f t="shared" si="0"/>
        <v>0</v>
      </c>
    </row>
    <row r="8" spans="1:9">
      <c r="A8" s="3501"/>
      <c r="B8" s="3502" t="s">
        <v>2487</v>
      </c>
      <c r="C8" s="3502"/>
      <c r="D8" s="2509"/>
      <c r="E8" s="2507"/>
      <c r="F8" s="2510"/>
      <c r="G8" s="2510"/>
      <c r="H8" s="2511"/>
      <c r="I8" s="2512">
        <f t="shared" si="0"/>
        <v>0</v>
      </c>
    </row>
    <row r="9" spans="1:9">
      <c r="A9" s="3501"/>
      <c r="B9" s="3502" t="s">
        <v>2488</v>
      </c>
      <c r="C9" s="3502"/>
      <c r="D9" s="2509"/>
      <c r="E9" s="2507"/>
      <c r="F9" s="2510"/>
      <c r="G9" s="2510"/>
      <c r="H9" s="2511"/>
      <c r="I9" s="2512">
        <f t="shared" si="0"/>
        <v>0</v>
      </c>
    </row>
    <row r="10" spans="1:9">
      <c r="A10" s="3501"/>
      <c r="B10" s="3503" t="s">
        <v>2489</v>
      </c>
      <c r="C10" s="3503"/>
      <c r="D10" s="2513">
        <v>527</v>
      </c>
      <c r="E10" s="2513" t="e">
        <f>ROUND(D1*10000/D10/H9,0)</f>
        <v>#DIV/0!</v>
      </c>
      <c r="F10" s="2514"/>
      <c r="G10" s="2514"/>
      <c r="H10" s="2515"/>
      <c r="I10" s="2516">
        <f>SUM(I3:I9)</f>
        <v>0</v>
      </c>
    </row>
    <row r="11" spans="1:9" ht="14.25">
      <c r="A11" s="3501" t="s">
        <v>2490</v>
      </c>
      <c r="B11" s="3502" t="s">
        <v>2491</v>
      </c>
      <c r="C11" s="3502"/>
      <c r="D11" s="2509" t="s">
        <v>2492</v>
      </c>
      <c r="E11" s="2509" t="s">
        <v>2493</v>
      </c>
      <c r="F11" s="2510" t="s">
        <v>2494</v>
      </c>
      <c r="G11" s="2510" t="s">
        <v>2495</v>
      </c>
      <c r="H11" s="2517" t="s">
        <v>2496</v>
      </c>
      <c r="I11" s="2508" t="s">
        <v>2497</v>
      </c>
    </row>
    <row r="12" spans="1:9">
      <c r="A12" s="3501"/>
      <c r="B12" s="3502" t="s">
        <v>2498</v>
      </c>
      <c r="C12" s="3502"/>
      <c r="D12" s="2509"/>
      <c r="E12" s="2509"/>
      <c r="F12" s="2510"/>
      <c r="G12" s="2511"/>
      <c r="H12" s="2518"/>
      <c r="I12" s="2508">
        <f>ROUND(D12*E12*F12*G12/10000,0)</f>
        <v>0</v>
      </c>
    </row>
    <row r="13" spans="1:9">
      <c r="A13" s="3501"/>
      <c r="B13" s="3502" t="s">
        <v>2499</v>
      </c>
      <c r="C13" s="3502"/>
      <c r="D13" s="2509"/>
      <c r="E13" s="2509"/>
      <c r="F13" s="2510"/>
      <c r="G13" s="2511"/>
      <c r="H13" s="2518"/>
      <c r="I13" s="2508">
        <f>ROUND(D13*E13*F13*G13/10000,0)</f>
        <v>0</v>
      </c>
    </row>
    <row r="14" spans="1:9">
      <c r="A14" s="3501"/>
      <c r="B14" s="3502" t="s">
        <v>2500</v>
      </c>
      <c r="C14" s="3502"/>
      <c r="D14" s="2509"/>
      <c r="E14" s="2509"/>
      <c r="F14" s="2510"/>
      <c r="G14" s="2511"/>
      <c r="H14" s="2518"/>
      <c r="I14" s="2508">
        <f>ROUND(D14*E14*F14*G14/10000,0)</f>
        <v>0</v>
      </c>
    </row>
    <row r="15" spans="1:9">
      <c r="A15" s="3501"/>
      <c r="B15" s="3503" t="s">
        <v>2489</v>
      </c>
      <c r="C15" s="3503"/>
      <c r="D15" s="2513"/>
      <c r="E15" s="2513">
        <f>SUM(E12:E14)</f>
        <v>0</v>
      </c>
      <c r="F15" s="2514"/>
      <c r="G15" s="2511"/>
      <c r="H15" s="2518"/>
      <c r="I15" s="2519">
        <f>SUM(I12:I14)</f>
        <v>0</v>
      </c>
    </row>
    <row r="16" spans="1:9" ht="24">
      <c r="A16" s="3501" t="s">
        <v>2501</v>
      </c>
      <c r="B16" s="3502" t="s">
        <v>2502</v>
      </c>
      <c r="C16" s="3502"/>
      <c r="D16" s="2509" t="s">
        <v>2503</v>
      </c>
      <c r="E16" s="2520" t="s">
        <v>2504</v>
      </c>
      <c r="F16" s="2510" t="s">
        <v>2505</v>
      </c>
      <c r="G16" s="2511" t="s">
        <v>2495</v>
      </c>
      <c r="H16" s="2517" t="s">
        <v>2496</v>
      </c>
      <c r="I16" s="2508" t="s">
        <v>2497</v>
      </c>
    </row>
    <row r="17" spans="1:9" ht="14.25">
      <c r="A17" s="3501"/>
      <c r="B17" s="3502" t="s">
        <v>2506</v>
      </c>
      <c r="C17" s="3502"/>
      <c r="D17" s="2509"/>
      <c r="E17" s="2509"/>
      <c r="F17" s="2510"/>
      <c r="G17" s="2511"/>
      <c r="H17" s="2521"/>
      <c r="I17" s="2522">
        <f>ROUND(D17*E17*F17*G17/10000,0)</f>
        <v>0</v>
      </c>
    </row>
    <row r="18" spans="1:9" ht="14.25">
      <c r="A18" s="3501"/>
      <c r="B18" s="3502" t="s">
        <v>2507</v>
      </c>
      <c r="C18" s="3502"/>
      <c r="D18" s="2509"/>
      <c r="E18" s="2509"/>
      <c r="F18" s="2510"/>
      <c r="G18" s="2511"/>
      <c r="H18" s="2521"/>
      <c r="I18" s="2522">
        <f>ROUND(D18*E18*F18*G18/10000,0)</f>
        <v>0</v>
      </c>
    </row>
    <row r="19" spans="1:9" ht="14.25">
      <c r="A19" s="3501"/>
      <c r="B19" s="3502" t="s">
        <v>2508</v>
      </c>
      <c r="C19" s="3502"/>
      <c r="D19" s="2509"/>
      <c r="E19" s="2509"/>
      <c r="F19" s="2510"/>
      <c r="G19" s="2511"/>
      <c r="H19" s="2521"/>
      <c r="I19" s="2522">
        <f>ROUND(D19*E19*F19*G19/10000,0)</f>
        <v>0</v>
      </c>
    </row>
    <row r="20" spans="1:9">
      <c r="A20" s="3501"/>
      <c r="B20" s="3503" t="s">
        <v>2489</v>
      </c>
      <c r="C20" s="3503"/>
      <c r="D20" s="2513">
        <f>SUM(D17:D19)</f>
        <v>0</v>
      </c>
      <c r="E20" s="2513"/>
      <c r="F20" s="2514"/>
      <c r="G20" s="2511"/>
      <c r="H20" s="2518"/>
      <c r="I20" s="2519">
        <f>SUM(I17:I19)</f>
        <v>0</v>
      </c>
    </row>
    <row r="21" spans="1:9">
      <c r="A21" s="3501" t="s">
        <v>2509</v>
      </c>
      <c r="B21" s="3504"/>
      <c r="C21" s="3504"/>
      <c r="D21" s="3504"/>
      <c r="E21" s="3504"/>
      <c r="F21" s="3504"/>
      <c r="G21" s="3504"/>
      <c r="H21" s="2523">
        <v>0.1</v>
      </c>
      <c r="I21" s="2516">
        <f>ROUND(I10*H21,0)</f>
        <v>0</v>
      </c>
    </row>
    <row r="22" spans="1:9" ht="14.25">
      <c r="A22" s="3505" t="s">
        <v>2510</v>
      </c>
      <c r="B22" s="3506"/>
      <c r="C22" s="3507"/>
      <c r="D22" s="2524" t="s">
        <v>2511</v>
      </c>
      <c r="E22" s="2524" t="s">
        <v>2512</v>
      </c>
      <c r="F22" s="2525" t="s">
        <v>2513</v>
      </c>
      <c r="G22" s="2525" t="s">
        <v>2514</v>
      </c>
      <c r="H22" s="2517" t="s">
        <v>2515</v>
      </c>
      <c r="I22" s="2508" t="s">
        <v>2516</v>
      </c>
    </row>
    <row r="23" spans="1:9" ht="14.25" thickBot="1">
      <c r="A23" s="3508"/>
      <c r="B23" s="3509"/>
      <c r="C23" s="3510"/>
      <c r="D23" s="2526"/>
      <c r="E23" s="2526"/>
      <c r="F23" s="2526"/>
      <c r="G23" s="2527"/>
      <c r="H23" s="2528"/>
      <c r="I23" s="2529">
        <f>ROUND(E23*D23*F23*(1-G23)/10000,0)</f>
        <v>0</v>
      </c>
    </row>
    <row r="26" spans="1:9">
      <c r="A26" s="2530" t="s">
        <v>2517</v>
      </c>
      <c r="B26" s="2530"/>
      <c r="C26" s="2530"/>
      <c r="D26" s="2530"/>
      <c r="E26" s="3498">
        <f>C27-C30-C31-C32</f>
        <v>0</v>
      </c>
      <c r="F26" s="3498"/>
      <c r="G26" s="3498"/>
      <c r="H26" s="3044" t="s">
        <v>2845</v>
      </c>
    </row>
    <row r="27" spans="1:9">
      <c r="A27" s="2531">
        <v>1</v>
      </c>
      <c r="B27" s="2532" t="s">
        <v>2518</v>
      </c>
      <c r="C27" s="2532"/>
      <c r="D27" s="2532"/>
      <c r="E27" s="3499"/>
      <c r="F27" s="3499"/>
      <c r="G27" s="3499"/>
    </row>
    <row r="28" spans="1:9">
      <c r="A28" s="2533" t="s">
        <v>2519</v>
      </c>
      <c r="B28" s="2532" t="s">
        <v>2520</v>
      </c>
      <c r="C28" s="2532"/>
      <c r="D28" s="2532"/>
      <c r="E28" s="3499"/>
      <c r="F28" s="3499"/>
      <c r="G28" s="3499"/>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500"/>
      <c r="F32" s="3500"/>
      <c r="G32" s="3500"/>
    </row>
    <row r="33" spans="1:7" hidden="1">
      <c r="A33" s="3495" t="s">
        <v>2528</v>
      </c>
      <c r="B33" s="3496"/>
      <c r="C33" s="3496"/>
      <c r="D33" s="3497"/>
      <c r="E33" s="3498"/>
      <c r="F33" s="3498"/>
      <c r="G33" s="3498"/>
    </row>
    <row r="34" spans="1:7" hidden="1">
      <c r="A34" s="2535">
        <v>1</v>
      </c>
      <c r="B34" s="2532" t="s">
        <v>2529</v>
      </c>
      <c r="C34" s="2532"/>
      <c r="D34" s="2532"/>
      <c r="E34" s="3499"/>
      <c r="F34" s="3499"/>
      <c r="G34" s="3499"/>
    </row>
    <row r="35" spans="1:7" hidden="1">
      <c r="A35" s="2535">
        <v>2</v>
      </c>
      <c r="B35" s="2532" t="s">
        <v>2530</v>
      </c>
      <c r="C35" s="2532"/>
      <c r="D35" s="2532"/>
      <c r="E35" s="3499"/>
      <c r="F35" s="3499"/>
      <c r="G35" s="3499"/>
    </row>
    <row r="36" spans="1:7" hidden="1">
      <c r="A36" s="2535">
        <v>3</v>
      </c>
      <c r="B36" s="2532" t="s">
        <v>2531</v>
      </c>
      <c r="C36" s="2532"/>
      <c r="D36" s="2532"/>
      <c r="E36" s="3499"/>
      <c r="F36" s="3499"/>
      <c r="G36" s="3499"/>
    </row>
    <row r="37" spans="1:7" hidden="1">
      <c r="A37" s="2535">
        <v>4</v>
      </c>
      <c r="B37" s="2532" t="s">
        <v>2532</v>
      </c>
      <c r="C37" s="2532"/>
      <c r="D37" s="2532"/>
      <c r="E37" s="3499"/>
      <c r="F37" s="3499"/>
      <c r="G37" s="3499"/>
    </row>
    <row r="38" spans="1:7" hidden="1">
      <c r="A38" s="3495" t="s">
        <v>2533</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20190.8</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0</v>
      </c>
      <c r="D12" s="758">
        <f>'数据-汇总表'!E5</f>
        <v>0</v>
      </c>
      <c r="E12" s="757">
        <f>'数据-取费表'!B27</f>
        <v>75</v>
      </c>
      <c r="F12" s="755"/>
      <c r="G12" s="759"/>
    </row>
    <row r="13" spans="1:25" s="2183" customFormat="1" ht="13.5" customHeight="1">
      <c r="A13" s="2476" t="s">
        <v>2449</v>
      </c>
      <c r="B13" s="756" t="s">
        <v>611</v>
      </c>
      <c r="C13" s="757">
        <f>ROUND(D13*E13/10000,0)</f>
        <v>151</v>
      </c>
      <c r="D13" s="758">
        <f>'数据-汇总表'!E6</f>
        <v>20190.8</v>
      </c>
      <c r="E13" s="757">
        <f>'数据-取费表'!B28</f>
        <v>75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0.84299999999999997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3202</v>
      </c>
      <c r="D1" s="3126" t="s">
        <v>3054</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477" t="s">
        <v>2465</v>
      </c>
      <c r="C6" s="783" t="e">
        <f ca="1">ROUND(F6*F8*F7*(1-F9)/10000,0)</f>
        <v>#N/A</v>
      </c>
      <c r="D6" s="2497" t="s">
        <v>2464</v>
      </c>
      <c r="E6" s="784" t="s">
        <v>1738</v>
      </c>
      <c r="F6" s="785" t="e">
        <f ca="1">INDIRECT("'数据-取费表'!u"&amp;$G$1)</f>
        <v>#N/A</v>
      </c>
      <c r="G6" s="1591"/>
      <c r="H6" s="2504" t="s">
        <v>1824</v>
      </c>
      <c r="I6" s="3477" t="s">
        <v>2465</v>
      </c>
      <c r="J6" s="783" t="e">
        <f ca="1">ROUND(M6*M8*M7*(1-M9)/10000,0)</f>
        <v>#N/A</v>
      </c>
      <c r="K6" s="341" t="s">
        <v>1737</v>
      </c>
      <c r="L6" s="784" t="s">
        <v>1738</v>
      </c>
      <c r="M6" s="785" t="e">
        <f ca="1">INDIRECT("'数据-取费表'!z"&amp;$G$1)</f>
        <v>#N/A</v>
      </c>
    </row>
    <row r="7" spans="1:33" ht="18" customHeight="1">
      <c r="A7" s="2500"/>
      <c r="B7" s="3478"/>
      <c r="C7" s="788"/>
      <c r="D7" s="789"/>
      <c r="E7" s="784" t="s">
        <v>1739</v>
      </c>
      <c r="F7" s="785" t="e">
        <f ca="1">IF(INDIRECT("'数据-取费表'!ah"&amp;$G$1)="",INDIRECT("'数据-取费表'!k"&amp;$G$1),INDIRECT("'数据-取费表'!ah"&amp;$G$1))</f>
        <v>#N/A</v>
      </c>
      <c r="G7" s="1591"/>
      <c r="H7" s="2489"/>
      <c r="I7" s="3478"/>
      <c r="J7" s="788"/>
      <c r="K7" s="789"/>
      <c r="L7" s="784" t="s">
        <v>1739</v>
      </c>
      <c r="M7" s="785" t="e">
        <f ca="1">F7</f>
        <v>#N/A</v>
      </c>
    </row>
    <row r="8" spans="1:33" ht="18" customHeight="1">
      <c r="A8" s="2493"/>
      <c r="B8" s="3479"/>
      <c r="C8" s="788"/>
      <c r="D8" s="789"/>
      <c r="E8" s="784" t="s">
        <v>1740</v>
      </c>
      <c r="F8" s="785" t="e">
        <f ca="1">INDIRECT("'数据-取费表'!ai"&amp;$G$1)</f>
        <v>#N/A</v>
      </c>
      <c r="G8" s="1591"/>
      <c r="H8" s="2489"/>
      <c r="I8" s="3479"/>
      <c r="J8" s="788"/>
      <c r="K8" s="789"/>
      <c r="L8" s="784" t="s">
        <v>1740</v>
      </c>
      <c r="M8" s="785" t="e">
        <f ca="1">INDIRECT("'数据-取费表'!ai"&amp;$G$1)</f>
        <v>#N/A</v>
      </c>
    </row>
    <row r="9" spans="1:33" ht="18" customHeight="1">
      <c r="A9" s="786"/>
      <c r="B9" s="3480"/>
      <c r="C9" s="788"/>
      <c r="D9" s="789"/>
      <c r="E9" s="784" t="s">
        <v>1741</v>
      </c>
      <c r="F9" s="794" t="e">
        <f ca="1">INDIRECT("'数据-取费表'!w"&amp;$G$1)</f>
        <v>#N/A</v>
      </c>
      <c r="G9" s="1591"/>
      <c r="H9" s="2505"/>
      <c r="I9" s="3479"/>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2980</v>
      </c>
      <c r="E10" s="2498" t="s">
        <v>2466</v>
      </c>
      <c r="F10" s="2621"/>
      <c r="G10" s="1591"/>
      <c r="H10" s="2561" t="s">
        <v>1825</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3065</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3015</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t="e">
        <f ca="1">IF(M47="住宅",IF(D1="——",MAX(J51,L48),MAX(J51,L48-'数据-取费表'!B20)),IF(D1="——",MIN(J51,L48),MIN(J51,L48-'数据-取费表'!B20)))</f>
        <v>#N/A</v>
      </c>
      <c r="K53" s="3493" t="s">
        <v>2972</v>
      </c>
      <c r="L53" s="3494"/>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3055</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2948</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3203</v>
      </c>
      <c r="D1" s="3126" t="s">
        <v>3054</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477" t="s">
        <v>2465</v>
      </c>
      <c r="C6" s="783" t="e">
        <f ca="1">ROUND(F6*F8*F7*(1-F9)/10000,0)</f>
        <v>#N/A</v>
      </c>
      <c r="D6" s="2497" t="s">
        <v>2464</v>
      </c>
      <c r="E6" s="784" t="s">
        <v>1738</v>
      </c>
      <c r="F6" s="785" t="e">
        <f ca="1">INDIRECT("'数据-取费表'!u"&amp;$G$1)</f>
        <v>#N/A</v>
      </c>
      <c r="G6" s="1591"/>
      <c r="H6" s="2504" t="s">
        <v>1824</v>
      </c>
      <c r="I6" s="3477" t="s">
        <v>2465</v>
      </c>
      <c r="J6" s="783" t="e">
        <f ca="1">ROUND(M6*M8*M7*(1-M9)/10000,0)</f>
        <v>#N/A</v>
      </c>
      <c r="K6" s="341" t="s">
        <v>1737</v>
      </c>
      <c r="L6" s="784" t="s">
        <v>1738</v>
      </c>
      <c r="M6" s="785" t="e">
        <f ca="1">INDIRECT("'数据-取费表'!z"&amp;$G$1)</f>
        <v>#N/A</v>
      </c>
    </row>
    <row r="7" spans="1:33" ht="18" customHeight="1">
      <c r="A7" s="2500"/>
      <c r="B7" s="3478"/>
      <c r="C7" s="788"/>
      <c r="D7" s="789"/>
      <c r="E7" s="784" t="s">
        <v>1739</v>
      </c>
      <c r="F7" s="785" t="e">
        <f ca="1">IF(INDIRECT("'数据-取费表'!ah"&amp;$G$1)="",INDIRECT("'数据-取费表'!k"&amp;$G$1),INDIRECT("'数据-取费表'!ah"&amp;$G$1))</f>
        <v>#N/A</v>
      </c>
      <c r="G7" s="1591"/>
      <c r="H7" s="2489"/>
      <c r="I7" s="3478"/>
      <c r="J7" s="788"/>
      <c r="K7" s="789"/>
      <c r="L7" s="784" t="s">
        <v>1739</v>
      </c>
      <c r="M7" s="785" t="e">
        <f ca="1">F7</f>
        <v>#N/A</v>
      </c>
    </row>
    <row r="8" spans="1:33" ht="18" customHeight="1">
      <c r="A8" s="2493"/>
      <c r="B8" s="3479"/>
      <c r="C8" s="788"/>
      <c r="D8" s="789"/>
      <c r="E8" s="784" t="s">
        <v>1740</v>
      </c>
      <c r="F8" s="785" t="e">
        <f ca="1">INDIRECT("'数据-取费表'!ai"&amp;$G$1)</f>
        <v>#N/A</v>
      </c>
      <c r="G8" s="1591"/>
      <c r="H8" s="2489"/>
      <c r="I8" s="3479"/>
      <c r="J8" s="788"/>
      <c r="K8" s="789"/>
      <c r="L8" s="784" t="s">
        <v>1740</v>
      </c>
      <c r="M8" s="785" t="e">
        <f ca="1">INDIRECT("'数据-取费表'!ai"&amp;$G$1)</f>
        <v>#N/A</v>
      </c>
    </row>
    <row r="9" spans="1:33" ht="18" customHeight="1">
      <c r="A9" s="786"/>
      <c r="B9" s="3480"/>
      <c r="C9" s="788"/>
      <c r="D9" s="789"/>
      <c r="E9" s="784" t="s">
        <v>1741</v>
      </c>
      <c r="F9" s="794" t="e">
        <f ca="1">INDIRECT("'数据-取费表'!w"&amp;$G$1)</f>
        <v>#N/A</v>
      </c>
      <c r="G9" s="1591"/>
      <c r="H9" s="2505"/>
      <c r="I9" s="3479"/>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2980</v>
      </c>
      <c r="E10" s="2498" t="s">
        <v>2466</v>
      </c>
      <c r="F10" s="2621"/>
      <c r="G10" s="1591"/>
      <c r="H10" s="2561" t="s">
        <v>1825</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3065</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3015</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t="e">
        <f ca="1">IF(M47="住宅",IF(D1="——",MAX(J51,L48),MAX(J51,L48-'数据-取费表'!B20)),IF(D1="——",MIN(J51,L48),MIN(J51,L48-'数据-取费表'!B20)))</f>
        <v>#N/A</v>
      </c>
      <c r="K53" s="3493" t="s">
        <v>2972</v>
      </c>
      <c r="L53" s="3494"/>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3055</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2948</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1" sqref="N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3063</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12561</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22" t="s">
        <v>521</v>
      </c>
      <c r="D4" s="3423"/>
      <c r="E4" s="3446" t="s">
        <v>522</v>
      </c>
      <c r="F4" s="3447"/>
      <c r="G4" s="3422" t="s">
        <v>523</v>
      </c>
      <c r="H4" s="3423"/>
      <c r="I4" s="3422" t="s">
        <v>524</v>
      </c>
      <c r="J4" s="3423"/>
      <c r="K4" s="853" t="s">
        <v>525</v>
      </c>
      <c r="L4" s="2133"/>
      <c r="M4" s="2134"/>
      <c r="N4" s="2134"/>
      <c r="O4" s="2134"/>
      <c r="P4" s="3424" t="s">
        <v>526</v>
      </c>
      <c r="Q4" s="3425"/>
      <c r="R4" s="3410" t="s">
        <v>522</v>
      </c>
      <c r="S4" s="3411"/>
      <c r="T4" s="3410" t="s">
        <v>523</v>
      </c>
      <c r="U4" s="3411"/>
      <c r="V4" s="3430" t="s">
        <v>524</v>
      </c>
      <c r="W4" s="3430"/>
      <c r="X4" s="1566"/>
      <c r="Y4" s="3410" t="s">
        <v>526</v>
      </c>
      <c r="Z4" s="3411"/>
      <c r="AA4" s="3405" t="s">
        <v>522</v>
      </c>
      <c r="AB4" s="3405" t="s">
        <v>523</v>
      </c>
      <c r="AC4" s="3405" t="s">
        <v>524</v>
      </c>
    </row>
    <row r="5" spans="1:29" ht="15">
      <c r="A5" s="515"/>
      <c r="B5" s="516"/>
      <c r="C5" s="3433" t="s">
        <v>3001</v>
      </c>
      <c r="D5" s="3434"/>
      <c r="E5" s="3516" t="s">
        <v>3004</v>
      </c>
      <c r="F5" s="3449"/>
      <c r="G5" s="3433" t="s">
        <v>3042</v>
      </c>
      <c r="H5" s="3434"/>
      <c r="I5" s="3433" t="s">
        <v>2998</v>
      </c>
      <c r="J5" s="3434"/>
      <c r="K5" s="854"/>
      <c r="L5" s="2133"/>
      <c r="M5" s="2134"/>
      <c r="N5" s="2134"/>
      <c r="O5" s="2134"/>
      <c r="P5" s="3426"/>
      <c r="Q5" s="3427"/>
      <c r="R5" s="3412"/>
      <c r="S5" s="3413"/>
      <c r="T5" s="3412"/>
      <c r="U5" s="3413"/>
      <c r="V5" s="3430"/>
      <c r="W5" s="3430"/>
      <c r="X5" s="1566"/>
      <c r="Y5" s="3412"/>
      <c r="Z5" s="3413"/>
      <c r="AA5" s="3406"/>
      <c r="AB5" s="3406"/>
      <c r="AC5" s="3406"/>
    </row>
    <row r="6" spans="1:29" ht="15.75" thickBot="1">
      <c r="A6" s="517"/>
      <c r="B6" s="518"/>
      <c r="C6" s="3431" t="s">
        <v>2937</v>
      </c>
      <c r="D6" s="3432"/>
      <c r="E6" s="3451" t="s">
        <v>2937</v>
      </c>
      <c r="F6" s="3452"/>
      <c r="G6" s="3431" t="s">
        <v>2937</v>
      </c>
      <c r="H6" s="3432"/>
      <c r="I6" s="3431" t="s">
        <v>2937</v>
      </c>
      <c r="J6" s="3432"/>
      <c r="K6" s="854" t="s">
        <v>527</v>
      </c>
      <c r="L6" s="2133"/>
      <c r="M6" s="2134"/>
      <c r="N6" s="2134"/>
      <c r="O6" s="2134"/>
      <c r="P6" s="3428"/>
      <c r="Q6" s="3429"/>
      <c r="R6" s="3412"/>
      <c r="S6" s="3413"/>
      <c r="T6" s="3414"/>
      <c r="U6" s="3415"/>
      <c r="V6" s="3430"/>
      <c r="W6" s="3430"/>
      <c r="X6" s="1566"/>
      <c r="Y6" s="3414"/>
      <c r="Z6" s="3415"/>
      <c r="AA6" s="3407"/>
      <c r="AB6" s="3407"/>
      <c r="AC6" s="3407"/>
    </row>
    <row r="7" spans="1:29" s="1219" customFormat="1" ht="15.75" thickBot="1">
      <c r="A7" s="2912"/>
      <c r="B7" s="2919" t="s">
        <v>528</v>
      </c>
      <c r="C7" s="519">
        <f>'数据-取费表'!B2</f>
        <v>43402</v>
      </c>
      <c r="D7" s="520">
        <v>100</v>
      </c>
      <c r="E7" s="521">
        <f>C7</f>
        <v>43402</v>
      </c>
      <c r="F7" s="522">
        <f>SUMIF(58:58,YEAR(E7)&amp;"-"&amp;MONTH(E7),59:59)</f>
        <v>100</v>
      </c>
      <c r="G7" s="523">
        <f>C7</f>
        <v>43402</v>
      </c>
      <c r="H7" s="520">
        <f>SUMIF(58:58,YEAR(G7)&amp;"-"&amp;MONTH(G7),59:59)</f>
        <v>100</v>
      </c>
      <c r="I7" s="523">
        <f>C7</f>
        <v>43402</v>
      </c>
      <c r="J7" s="520">
        <f>SUMIF(58:58,YEAR(I7)&amp;"-"&amp;MONTH(I7),59:59)</f>
        <v>100</v>
      </c>
      <c r="K7" s="855"/>
      <c r="L7" s="2135"/>
      <c r="M7" s="2136"/>
      <c r="N7" s="2136"/>
      <c r="O7" s="2136"/>
      <c r="P7" s="3408" t="s">
        <v>529</v>
      </c>
      <c r="Q7" s="3417"/>
      <c r="R7" s="1567" t="s">
        <v>13</v>
      </c>
      <c r="S7" s="1568">
        <f t="shared" ref="S7:S15" si="0">F7</f>
        <v>100</v>
      </c>
      <c r="T7" s="1567" t="s">
        <v>13</v>
      </c>
      <c r="U7" s="1568">
        <f t="shared" ref="U7:U15" si="1">H7</f>
        <v>100</v>
      </c>
      <c r="V7" s="1567" t="s">
        <v>13</v>
      </c>
      <c r="W7" s="1568">
        <f t="shared" ref="W7:W15" si="2">J7</f>
        <v>100</v>
      </c>
      <c r="X7" s="1569"/>
      <c r="Y7" s="3408" t="s">
        <v>529</v>
      </c>
      <c r="Z7" s="3409"/>
      <c r="AA7" s="1570">
        <f>D7/F7</f>
        <v>1</v>
      </c>
      <c r="AB7" s="1570">
        <f>D7/H7</f>
        <v>1</v>
      </c>
      <c r="AC7" s="1570">
        <f>D7/J7</f>
        <v>1</v>
      </c>
    </row>
    <row r="8" spans="1:29" s="1219" customFormat="1" ht="15.7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408" t="s">
        <v>532</v>
      </c>
      <c r="Q8" s="3409"/>
      <c r="R8" s="1567" t="s">
        <v>13</v>
      </c>
      <c r="S8" s="1568">
        <f t="shared" si="0"/>
        <v>100</v>
      </c>
      <c r="T8" s="1567" t="s">
        <v>13</v>
      </c>
      <c r="U8" s="1568">
        <f t="shared" si="1"/>
        <v>100</v>
      </c>
      <c r="V8" s="1567" t="s">
        <v>13</v>
      </c>
      <c r="W8" s="1568">
        <f t="shared" si="2"/>
        <v>100</v>
      </c>
      <c r="X8" s="1569"/>
      <c r="Y8" s="3408" t="s">
        <v>532</v>
      </c>
      <c r="Z8" s="3409"/>
      <c r="AA8" s="1570">
        <f t="shared" ref="AA8:AA46" si="3">D8/F8</f>
        <v>1</v>
      </c>
      <c r="AB8" s="1570">
        <f t="shared" ref="AB8:AB46" si="4">D8/H8</f>
        <v>1</v>
      </c>
      <c r="AC8" s="1570">
        <f t="shared" ref="AC8:AC46" si="5">D8/J8</f>
        <v>1</v>
      </c>
    </row>
    <row r="9" spans="1:29" s="1219" customFormat="1" ht="15">
      <c r="A9" s="2914"/>
      <c r="B9" s="2921" t="s">
        <v>2758</v>
      </c>
      <c r="C9" s="3185" t="s">
        <v>3043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416" t="s">
        <v>534</v>
      </c>
      <c r="Q9" s="1150" t="str">
        <f t="shared" ref="Q9:Q15" si="6">B9</f>
        <v>用途</v>
      </c>
      <c r="R9" s="1567" t="s">
        <v>8</v>
      </c>
      <c r="S9" s="1568">
        <f t="shared" si="0"/>
        <v>100</v>
      </c>
      <c r="T9" s="1567" t="s">
        <v>8</v>
      </c>
      <c r="U9" s="1568">
        <f t="shared" si="1"/>
        <v>100</v>
      </c>
      <c r="V9" s="1567" t="s">
        <v>8</v>
      </c>
      <c r="W9" s="1568">
        <f t="shared" si="2"/>
        <v>100</v>
      </c>
      <c r="X9" s="1569"/>
      <c r="Y9" s="3373"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16"/>
      <c r="Q10" s="1150" t="str">
        <f t="shared" si="6"/>
        <v>土地使用年限（年）</v>
      </c>
      <c r="R10" s="1567" t="s">
        <v>8</v>
      </c>
      <c r="S10" s="1568">
        <f t="shared" si="0"/>
        <v>100</v>
      </c>
      <c r="T10" s="1567" t="s">
        <v>8</v>
      </c>
      <c r="U10" s="1568">
        <f t="shared" si="1"/>
        <v>100</v>
      </c>
      <c r="V10" s="1567" t="s">
        <v>8</v>
      </c>
      <c r="W10" s="1568">
        <f t="shared" si="2"/>
        <v>100</v>
      </c>
      <c r="X10" s="1569"/>
      <c r="Y10" s="3373"/>
      <c r="Z10" s="1149" t="str">
        <f t="shared" si="7"/>
        <v>土地使用年限（年）</v>
      </c>
      <c r="AA10" s="1570">
        <f t="shared" si="3"/>
        <v>1</v>
      </c>
      <c r="AB10" s="1570">
        <f t="shared" si="4"/>
        <v>1</v>
      </c>
      <c r="AC10" s="1570">
        <f t="shared" si="5"/>
        <v>1</v>
      </c>
    </row>
    <row r="11" spans="1:29" ht="15">
      <c r="A11" s="2916"/>
      <c r="B11" s="2920" t="s">
        <v>2760</v>
      </c>
      <c r="C11" s="533">
        <v>3.5</v>
      </c>
      <c r="D11" s="255">
        <v>100</v>
      </c>
      <c r="E11" s="534">
        <v>1</v>
      </c>
      <c r="F11" s="863">
        <f>LOOKUP(E11,68:68,69:69)-LOOKUP(C11,68:68,69:69)+100</f>
        <v>100</v>
      </c>
      <c r="G11" s="533">
        <v>4</v>
      </c>
      <c r="H11" s="255">
        <f>LOOKUP(G11,68:68,69:69)-LOOKUP(C11,68:68,69:69)+100</f>
        <v>100</v>
      </c>
      <c r="I11" s="533">
        <v>4</v>
      </c>
      <c r="J11" s="255">
        <f>LOOKUP(I11,68:68,69:69)-LOOKUP(C11,68:68,69:69)+100</f>
        <v>100</v>
      </c>
      <c r="K11" s="864">
        <v>5</v>
      </c>
      <c r="L11" s="2140"/>
      <c r="M11" s="2134"/>
      <c r="N11" s="2134"/>
      <c r="O11" s="2141"/>
      <c r="P11" s="3416"/>
      <c r="Q11" s="1150" t="str">
        <f t="shared" si="6"/>
        <v>容积率</v>
      </c>
      <c r="R11" s="1567" t="s">
        <v>11</v>
      </c>
      <c r="S11" s="1568">
        <f t="shared" si="0"/>
        <v>100</v>
      </c>
      <c r="T11" s="1567" t="s">
        <v>11</v>
      </c>
      <c r="U11" s="1568">
        <f t="shared" si="1"/>
        <v>100</v>
      </c>
      <c r="V11" s="1567" t="s">
        <v>11</v>
      </c>
      <c r="W11" s="1568">
        <f t="shared" si="2"/>
        <v>100</v>
      </c>
      <c r="X11" s="1569"/>
      <c r="Y11" s="3373"/>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6"/>
      <c r="Q12" s="1150">
        <f t="shared" si="6"/>
        <v>111</v>
      </c>
      <c r="R12" s="1567" t="s">
        <v>11</v>
      </c>
      <c r="S12" s="1568">
        <f t="shared" si="0"/>
        <v>100</v>
      </c>
      <c r="T12" s="1567" t="s">
        <v>11</v>
      </c>
      <c r="U12" s="1568">
        <f t="shared" si="1"/>
        <v>100</v>
      </c>
      <c r="V12" s="1567" t="s">
        <v>11</v>
      </c>
      <c r="W12" s="1568">
        <f t="shared" si="2"/>
        <v>100</v>
      </c>
      <c r="X12" s="1569"/>
      <c r="Y12" s="3373"/>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6"/>
      <c r="Q13" s="1150">
        <f t="shared" si="6"/>
        <v>111</v>
      </c>
      <c r="R13" s="1567" t="s">
        <v>11</v>
      </c>
      <c r="S13" s="1568">
        <f t="shared" si="0"/>
        <v>100</v>
      </c>
      <c r="T13" s="1567" t="s">
        <v>11</v>
      </c>
      <c r="U13" s="1568">
        <f t="shared" si="1"/>
        <v>100</v>
      </c>
      <c r="V13" s="1567" t="s">
        <v>11</v>
      </c>
      <c r="W13" s="1568">
        <f t="shared" si="2"/>
        <v>100</v>
      </c>
      <c r="X13" s="1569"/>
      <c r="Y13" s="3373"/>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6"/>
      <c r="Q14" s="1150">
        <f t="shared" si="6"/>
        <v>111</v>
      </c>
      <c r="R14" s="1567" t="s">
        <v>11</v>
      </c>
      <c r="S14" s="1568">
        <f t="shared" si="0"/>
        <v>100</v>
      </c>
      <c r="T14" s="1567" t="s">
        <v>11</v>
      </c>
      <c r="U14" s="1568">
        <f t="shared" si="1"/>
        <v>100</v>
      </c>
      <c r="V14" s="1567" t="s">
        <v>11</v>
      </c>
      <c r="W14" s="1568">
        <f t="shared" si="2"/>
        <v>100</v>
      </c>
      <c r="X14" s="1569"/>
      <c r="Y14" s="3373"/>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418" t="s">
        <v>539</v>
      </c>
      <c r="Q15" s="1571" t="str">
        <f t="shared" si="6"/>
        <v>居住社区成熟度</v>
      </c>
      <c r="R15" s="1572" t="s">
        <v>11</v>
      </c>
      <c r="S15" s="1573">
        <f t="shared" si="0"/>
        <v>100</v>
      </c>
      <c r="T15" s="1572" t="s">
        <v>11</v>
      </c>
      <c r="U15" s="1573">
        <f t="shared" si="1"/>
        <v>105</v>
      </c>
      <c r="V15" s="1572" t="s">
        <v>11</v>
      </c>
      <c r="W15" s="1573">
        <f t="shared" si="2"/>
        <v>100</v>
      </c>
      <c r="X15" s="1566"/>
      <c r="Y15" s="3418"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3005</v>
      </c>
      <c r="H16" s="559"/>
      <c r="I16" s="556" t="s">
        <v>3002</v>
      </c>
      <c r="J16" s="555"/>
      <c r="K16" s="870"/>
      <c r="L16" s="2142"/>
      <c r="M16" s="2134"/>
      <c r="N16" s="2134"/>
      <c r="O16" s="2141"/>
      <c r="P16" s="3419"/>
      <c r="Q16" s="1571"/>
      <c r="R16" s="1572"/>
      <c r="S16" s="1573"/>
      <c r="T16" s="1572"/>
      <c r="U16" s="1573"/>
      <c r="V16" s="1572"/>
      <c r="W16" s="1573"/>
      <c r="X16" s="1566"/>
      <c r="Y16" s="341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19"/>
      <c r="Q17" s="1571" t="str">
        <f>B17</f>
        <v>交通便捷度</v>
      </c>
      <c r="R17" s="1572" t="s">
        <v>11</v>
      </c>
      <c r="S17" s="1573">
        <f>F17</f>
        <v>103</v>
      </c>
      <c r="T17" s="1572" t="s">
        <v>11</v>
      </c>
      <c r="U17" s="1573">
        <f>H17</f>
        <v>103</v>
      </c>
      <c r="V17" s="1572" t="s">
        <v>11</v>
      </c>
      <c r="W17" s="1573">
        <f>J17</f>
        <v>100</v>
      </c>
      <c r="X17" s="1566"/>
      <c r="Y17" s="3419"/>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3005</v>
      </c>
      <c r="F18" s="563"/>
      <c r="G18" s="569" t="s">
        <v>3005</v>
      </c>
      <c r="H18" s="555"/>
      <c r="I18" s="568" t="s">
        <v>3002</v>
      </c>
      <c r="J18" s="555"/>
      <c r="K18" s="870"/>
      <c r="L18" s="2142"/>
      <c r="M18" s="2134"/>
      <c r="N18" s="2134"/>
      <c r="O18" s="2141"/>
      <c r="P18" s="3419"/>
      <c r="Q18" s="1571"/>
      <c r="R18" s="1572"/>
      <c r="S18" s="1573"/>
      <c r="T18" s="1572"/>
      <c r="U18" s="1573"/>
      <c r="V18" s="1572"/>
      <c r="W18" s="1573"/>
      <c r="X18" s="1566"/>
      <c r="Y18" s="3419"/>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419"/>
      <c r="Q19" s="1571" t="str">
        <f>B19</f>
        <v>公共配套设施</v>
      </c>
      <c r="R19" s="1572" t="s">
        <v>11</v>
      </c>
      <c r="S19" s="1573">
        <f>F19</f>
        <v>100</v>
      </c>
      <c r="T19" s="1572" t="s">
        <v>11</v>
      </c>
      <c r="U19" s="1573">
        <f>H19</f>
        <v>105</v>
      </c>
      <c r="V19" s="1572" t="s">
        <v>11</v>
      </c>
      <c r="W19" s="1573">
        <f>J19</f>
        <v>100</v>
      </c>
      <c r="X19" s="1566"/>
      <c r="Y19" s="3419"/>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3005</v>
      </c>
      <c r="H20" s="555"/>
      <c r="I20" s="556" t="s">
        <v>3002</v>
      </c>
      <c r="J20" s="555"/>
      <c r="K20" s="870"/>
      <c r="L20" s="2142"/>
      <c r="M20" s="2134"/>
      <c r="N20" s="2134"/>
      <c r="O20" s="2141"/>
      <c r="P20" s="3419"/>
      <c r="Q20" s="1571"/>
      <c r="R20" s="1572"/>
      <c r="S20" s="1573"/>
      <c r="T20" s="1572"/>
      <c r="U20" s="1573"/>
      <c r="V20" s="1572"/>
      <c r="W20" s="1573"/>
      <c r="X20" s="1566"/>
      <c r="Y20" s="3419"/>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19"/>
      <c r="Q21" s="2579" t="str">
        <f>B21</f>
        <v>基础设施水平</v>
      </c>
      <c r="R21" s="1572" t="s">
        <v>11</v>
      </c>
      <c r="S21" s="1573">
        <f>F21</f>
        <v>100</v>
      </c>
      <c r="T21" s="1572" t="s">
        <v>11</v>
      </c>
      <c r="U21" s="1573">
        <f>H21</f>
        <v>100</v>
      </c>
      <c r="V21" s="1572" t="s">
        <v>11</v>
      </c>
      <c r="W21" s="1573">
        <f>J21</f>
        <v>100</v>
      </c>
      <c r="X21" s="2581"/>
      <c r="Y21" s="3419"/>
      <c r="Z21" s="2580" t="str">
        <f>Q21</f>
        <v>基础设施水平</v>
      </c>
      <c r="AA21" s="1575">
        <f t="shared" ref="AA21" si="8">D21/F21</f>
        <v>1</v>
      </c>
      <c r="AB21" s="1575">
        <f t="shared" ref="AB21" si="9">D21/H21</f>
        <v>1</v>
      </c>
      <c r="AC21" s="1575">
        <f t="shared" ref="AC21" si="10">D21/J21</f>
        <v>1</v>
      </c>
    </row>
    <row r="22" spans="1:29" ht="15">
      <c r="A22" s="532"/>
      <c r="B22" s="922"/>
      <c r="C22" s="873" t="s">
        <v>3023</v>
      </c>
      <c r="D22" s="555"/>
      <c r="E22" s="576" t="s">
        <v>3023</v>
      </c>
      <c r="F22" s="557"/>
      <c r="G22" s="576" t="s">
        <v>3023</v>
      </c>
      <c r="H22" s="555"/>
      <c r="I22" s="576" t="s">
        <v>3023</v>
      </c>
      <c r="J22" s="555"/>
      <c r="K22" s="2599"/>
      <c r="L22" s="2142"/>
      <c r="M22" s="2134"/>
      <c r="N22" s="2134"/>
      <c r="O22" s="2141"/>
      <c r="P22" s="3419"/>
      <c r="Q22" s="2579"/>
      <c r="R22" s="1572"/>
      <c r="S22" s="1573"/>
      <c r="T22" s="1572"/>
      <c r="U22" s="1573"/>
      <c r="V22" s="1572"/>
      <c r="W22" s="1573"/>
      <c r="X22" s="2581"/>
      <c r="Y22" s="3419"/>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19"/>
      <c r="Q23" s="1571" t="str">
        <f>B23</f>
        <v>自然及人文环境</v>
      </c>
      <c r="R23" s="1572" t="s">
        <v>11</v>
      </c>
      <c r="S23" s="1573">
        <f>F23</f>
        <v>100</v>
      </c>
      <c r="T23" s="1572" t="s">
        <v>11</v>
      </c>
      <c r="U23" s="1573">
        <f>H23</f>
        <v>90</v>
      </c>
      <c r="V23" s="1572" t="s">
        <v>11</v>
      </c>
      <c r="W23" s="1573">
        <f>J23</f>
        <v>90</v>
      </c>
      <c r="X23" s="1566"/>
      <c r="Y23" s="3419"/>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3005</v>
      </c>
      <c r="H24" s="555"/>
      <c r="I24" s="556" t="s">
        <v>3005</v>
      </c>
      <c r="J24" s="555"/>
      <c r="K24" s="870"/>
      <c r="L24" s="2142"/>
      <c r="M24" s="2134"/>
      <c r="N24" s="2134"/>
      <c r="O24" s="2141"/>
      <c r="P24" s="3419"/>
      <c r="Q24" s="1571"/>
      <c r="R24" s="1572"/>
      <c r="S24" s="1573"/>
      <c r="T24" s="1572"/>
      <c r="U24" s="1573"/>
      <c r="V24" s="1572"/>
      <c r="W24" s="1573"/>
      <c r="X24" s="1566"/>
      <c r="Y24" s="3419"/>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9"/>
      <c r="Q25" s="1571" t="str">
        <f t="shared" ref="Q25:Q46" si="11">B25</f>
        <v>楼层-1</v>
      </c>
      <c r="R25" s="1572" t="s">
        <v>11</v>
      </c>
      <c r="S25" s="1573">
        <f>F25</f>
        <v>100</v>
      </c>
      <c r="T25" s="1572" t="s">
        <v>11</v>
      </c>
      <c r="U25" s="1573">
        <f>H25</f>
        <v>100</v>
      </c>
      <c r="V25" s="1572" t="s">
        <v>11</v>
      </c>
      <c r="W25" s="1573">
        <f>J25</f>
        <v>100</v>
      </c>
      <c r="X25" s="1566"/>
      <c r="Y25" s="3419"/>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9"/>
      <c r="Q26" s="1571" t="str">
        <f t="shared" si="11"/>
        <v>朝向</v>
      </c>
      <c r="R26" s="1572" t="s">
        <v>11</v>
      </c>
      <c r="S26" s="1573">
        <f>F26</f>
        <v>100</v>
      </c>
      <c r="T26" s="1572" t="s">
        <v>11</v>
      </c>
      <c r="U26" s="1573">
        <f>H26</f>
        <v>100</v>
      </c>
      <c r="V26" s="1572" t="s">
        <v>11</v>
      </c>
      <c r="W26" s="1573">
        <f>J26</f>
        <v>100</v>
      </c>
      <c r="X26" s="1566"/>
      <c r="Y26" s="3419"/>
      <c r="Z26" s="1574" t="str">
        <f>Q26</f>
        <v>朝向</v>
      </c>
      <c r="AA26" s="1575">
        <f t="shared" si="3"/>
        <v>1</v>
      </c>
      <c r="AB26" s="1575">
        <f t="shared" si="4"/>
        <v>1</v>
      </c>
      <c r="AC26" s="1575">
        <f t="shared" si="5"/>
        <v>1</v>
      </c>
    </row>
    <row r="27" spans="1:29" s="1219" customFormat="1" ht="15">
      <c r="A27" s="536"/>
      <c r="B27" s="537" t="s">
        <v>723</v>
      </c>
      <c r="C27" s="3187" t="s">
        <v>3067</v>
      </c>
      <c r="D27" s="875">
        <v>100</v>
      </c>
      <c r="E27" s="3186" t="s">
        <v>3068</v>
      </c>
      <c r="F27" s="876">
        <f>SUMIF(90:90,E27,91:91)-SUMIF(90:90,C27,91:91)+100</f>
        <v>101</v>
      </c>
      <c r="G27" s="3188" t="s">
        <v>3068</v>
      </c>
      <c r="H27" s="875">
        <f>SUMIF(90:90,G27,91:91)-SUMIF(90:90,C27,91:91)+100</f>
        <v>101</v>
      </c>
      <c r="I27" s="3186" t="s">
        <v>3024</v>
      </c>
      <c r="J27" s="875">
        <f>SUMIF(90:90,I27,91:91)-SUMIF(90:90,C27,91:91)+100</f>
        <v>104</v>
      </c>
      <c r="K27" s="865"/>
      <c r="L27" s="2135"/>
      <c r="M27" s="2136"/>
      <c r="N27" s="2136"/>
      <c r="O27" s="2137"/>
      <c r="P27" s="3419"/>
      <c r="Q27" s="1150" t="str">
        <f t="shared" si="11"/>
        <v>道路级别</v>
      </c>
      <c r="R27" s="1567" t="s">
        <v>11</v>
      </c>
      <c r="S27" s="1568">
        <f>F27</f>
        <v>101</v>
      </c>
      <c r="T27" s="1567" t="s">
        <v>11</v>
      </c>
      <c r="U27" s="1568">
        <f>H27</f>
        <v>101</v>
      </c>
      <c r="V27" s="1567" t="s">
        <v>11</v>
      </c>
      <c r="W27" s="1568">
        <f>J27</f>
        <v>104</v>
      </c>
      <c r="X27" s="1569"/>
      <c r="Y27" s="3419"/>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9"/>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9"/>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9"/>
      <c r="Q29" s="1571">
        <f t="shared" si="11"/>
        <v>111</v>
      </c>
      <c r="R29" s="1572" t="s">
        <v>11</v>
      </c>
      <c r="S29" s="1573">
        <f t="shared" si="12"/>
        <v>100</v>
      </c>
      <c r="T29" s="1572" t="s">
        <v>11</v>
      </c>
      <c r="U29" s="1573">
        <f t="shared" si="13"/>
        <v>100</v>
      </c>
      <c r="V29" s="1572" t="s">
        <v>11</v>
      </c>
      <c r="W29" s="1573">
        <f t="shared" si="14"/>
        <v>100</v>
      </c>
      <c r="X29" s="1566"/>
      <c r="Y29" s="341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9"/>
      <c r="Q30" s="1571">
        <f t="shared" si="11"/>
        <v>111</v>
      </c>
      <c r="R30" s="1572" t="s">
        <v>11</v>
      </c>
      <c r="S30" s="1573">
        <f t="shared" si="12"/>
        <v>100</v>
      </c>
      <c r="T30" s="1572" t="s">
        <v>11</v>
      </c>
      <c r="U30" s="1573">
        <f t="shared" si="13"/>
        <v>100</v>
      </c>
      <c r="V30" s="1572" t="s">
        <v>11</v>
      </c>
      <c r="W30" s="1573">
        <f t="shared" si="14"/>
        <v>100</v>
      </c>
      <c r="X30" s="1566"/>
      <c r="Y30" s="3419"/>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9"/>
      <c r="Q31" s="1571">
        <f t="shared" si="11"/>
        <v>111</v>
      </c>
      <c r="R31" s="1572" t="s">
        <v>11</v>
      </c>
      <c r="S31" s="1573">
        <f t="shared" si="12"/>
        <v>100</v>
      </c>
      <c r="T31" s="1572" t="s">
        <v>11</v>
      </c>
      <c r="U31" s="1573">
        <f t="shared" si="13"/>
        <v>100</v>
      </c>
      <c r="V31" s="1572" t="s">
        <v>11</v>
      </c>
      <c r="W31" s="1573">
        <f t="shared" si="14"/>
        <v>100</v>
      </c>
      <c r="X31" s="1566"/>
      <c r="Y31" s="3419"/>
      <c r="Z31" s="1574">
        <f t="shared" si="15"/>
        <v>111</v>
      </c>
      <c r="AA31" s="1575">
        <f t="shared" si="3"/>
        <v>1</v>
      </c>
      <c r="AB31" s="1575">
        <f t="shared" si="4"/>
        <v>1</v>
      </c>
      <c r="AC31" s="1575">
        <f t="shared" si="5"/>
        <v>1</v>
      </c>
    </row>
    <row r="32" spans="1:29" ht="15">
      <c r="A32" s="2907" t="s">
        <v>2757</v>
      </c>
      <c r="B32" s="172" t="s">
        <v>724</v>
      </c>
      <c r="C32" s="878" t="s">
        <v>2997</v>
      </c>
      <c r="D32" s="597">
        <v>100</v>
      </c>
      <c r="E32" s="879" t="s">
        <v>3061</v>
      </c>
      <c r="F32" s="575">
        <f>SUMIF(100:100,E32,101:101)-SUMIF(100:100,C32,101:101)+100</f>
        <v>115</v>
      </c>
      <c r="G32" s="878" t="s">
        <v>3000</v>
      </c>
      <c r="H32" s="597">
        <f>SUMIF(100:100,G32,101:101)-SUMIF(100:100,C32,101:101)+100</f>
        <v>110</v>
      </c>
      <c r="I32" s="879" t="s">
        <v>3000</v>
      </c>
      <c r="J32" s="540">
        <f>SUMIF(100:100,I32,101:101)-SUMIF(100:100,C32,101:101)+100</f>
        <v>110</v>
      </c>
      <c r="K32" s="864">
        <v>5</v>
      </c>
      <c r="L32" s="2142"/>
      <c r="M32" s="2134"/>
      <c r="N32" s="2134"/>
      <c r="O32" s="2141"/>
      <c r="P32" s="3420" t="s">
        <v>549</v>
      </c>
      <c r="Q32" s="1571" t="str">
        <f t="shared" si="11"/>
        <v>建筑类型</v>
      </c>
      <c r="R32" s="1572" t="s">
        <v>11</v>
      </c>
      <c r="S32" s="1573">
        <f t="shared" si="12"/>
        <v>115</v>
      </c>
      <c r="T32" s="1572" t="s">
        <v>11</v>
      </c>
      <c r="U32" s="1573">
        <f t="shared" si="13"/>
        <v>110</v>
      </c>
      <c r="V32" s="1572" t="s">
        <v>11</v>
      </c>
      <c r="W32" s="1573">
        <f t="shared" si="14"/>
        <v>110</v>
      </c>
      <c r="X32" s="1566"/>
      <c r="Y32" s="3421" t="s">
        <v>549</v>
      </c>
      <c r="Z32" s="1574" t="str">
        <f t="shared" si="15"/>
        <v>建筑类型</v>
      </c>
      <c r="AA32" s="1575">
        <f t="shared" si="3"/>
        <v>0.86956521739130432</v>
      </c>
      <c r="AB32" s="1575">
        <f t="shared" si="4"/>
        <v>0.90909090909090906</v>
      </c>
      <c r="AC32" s="1575">
        <f t="shared" si="5"/>
        <v>0.90909090909090906</v>
      </c>
    </row>
    <row r="33" spans="1:29" s="1338" customFormat="1" ht="15">
      <c r="A33" s="603"/>
      <c r="B33" s="527" t="s">
        <v>725</v>
      </c>
      <c r="C33" s="880">
        <f>'数据-基础表'!I13+'数据-基础表'!K14</f>
        <v>20190.8</v>
      </c>
      <c r="D33" s="255">
        <v>100</v>
      </c>
      <c r="E33" s="534">
        <v>22498</v>
      </c>
      <c r="F33" s="863">
        <f>LOOKUP(E33,103:103,104:104)-LOOKUP(C33,103:103,104:104)+100</f>
        <v>100</v>
      </c>
      <c r="G33" s="533">
        <v>24000</v>
      </c>
      <c r="H33" s="255">
        <f>LOOKUP(G33,103:103,104:104)-LOOKUP(C33,103:103,104:104)+100</f>
        <v>100</v>
      </c>
      <c r="I33" s="534">
        <v>12954</v>
      </c>
      <c r="J33" s="255">
        <f>LOOKUP(I33,103:103,104:104)-LOOKUP(C33,103:103,104:104)+100</f>
        <v>102</v>
      </c>
      <c r="K33" s="865"/>
      <c r="L33" s="2140"/>
      <c r="M33" s="2171"/>
      <c r="N33" s="2171"/>
      <c r="O33" s="2143"/>
      <c r="P33" s="3421"/>
      <c r="Q33" s="1604" t="str">
        <f t="shared" si="11"/>
        <v>项目建筑规模</v>
      </c>
      <c r="R33" s="1576" t="s">
        <v>11</v>
      </c>
      <c r="S33" s="1577">
        <f t="shared" si="12"/>
        <v>100</v>
      </c>
      <c r="T33" s="1576" t="s">
        <v>11</v>
      </c>
      <c r="U33" s="1577">
        <f t="shared" si="13"/>
        <v>100</v>
      </c>
      <c r="V33" s="1576" t="s">
        <v>11</v>
      </c>
      <c r="W33" s="1577">
        <f t="shared" si="14"/>
        <v>102</v>
      </c>
      <c r="X33" s="1578"/>
      <c r="Y33" s="3421"/>
      <c r="Z33" s="1579" t="str">
        <f t="shared" si="15"/>
        <v>项目建筑规模</v>
      </c>
      <c r="AA33" s="1575">
        <f t="shared" si="3"/>
        <v>1</v>
      </c>
      <c r="AB33" s="1575">
        <f t="shared" si="4"/>
        <v>1</v>
      </c>
      <c r="AC33" s="1575">
        <f t="shared" si="5"/>
        <v>0.98039215686274506</v>
      </c>
    </row>
    <row r="34" spans="1:29" ht="15">
      <c r="A34" s="594"/>
      <c r="B34" s="527" t="s">
        <v>726</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1</v>
      </c>
      <c r="L34" s="2142"/>
      <c r="M34" s="2134"/>
      <c r="N34" s="2134"/>
      <c r="O34" s="2141"/>
      <c r="P34" s="3421"/>
      <c r="Q34" s="1571" t="str">
        <f t="shared" si="11"/>
        <v>建筑结构</v>
      </c>
      <c r="R34" s="1572" t="s">
        <v>11</v>
      </c>
      <c r="S34" s="1573">
        <f t="shared" si="12"/>
        <v>100</v>
      </c>
      <c r="T34" s="1572" t="s">
        <v>11</v>
      </c>
      <c r="U34" s="1573">
        <f t="shared" si="13"/>
        <v>100</v>
      </c>
      <c r="V34" s="1572" t="s">
        <v>11</v>
      </c>
      <c r="W34" s="1573">
        <f t="shared" si="14"/>
        <v>100</v>
      </c>
      <c r="X34" s="1566"/>
      <c r="Y34" s="3421"/>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3005</v>
      </c>
      <c r="H35" s="540">
        <f>SUMIF(107:107,G35,108:108)-SUMIF(107:107,C35,108:108)+100</f>
        <v>98</v>
      </c>
      <c r="I35" s="874" t="s">
        <v>3005</v>
      </c>
      <c r="J35" s="540">
        <f>SUMIF(107:107,I35,108:108)-SUMIF(107:107,C35,108:108)+100</f>
        <v>98</v>
      </c>
      <c r="K35" s="864">
        <v>2</v>
      </c>
      <c r="L35" s="2142"/>
      <c r="M35" s="2134"/>
      <c r="N35" s="2134"/>
      <c r="O35" s="2141"/>
      <c r="P35" s="3421"/>
      <c r="Q35" s="1571" t="str">
        <f t="shared" si="11"/>
        <v>建筑品质</v>
      </c>
      <c r="R35" s="1572" t="s">
        <v>11</v>
      </c>
      <c r="S35" s="1573">
        <f t="shared" si="12"/>
        <v>100</v>
      </c>
      <c r="T35" s="1572" t="s">
        <v>11</v>
      </c>
      <c r="U35" s="1573">
        <f t="shared" si="13"/>
        <v>98</v>
      </c>
      <c r="V35" s="1572" t="s">
        <v>11</v>
      </c>
      <c r="W35" s="1573">
        <f t="shared" si="14"/>
        <v>98</v>
      </c>
      <c r="X35" s="1566"/>
      <c r="Y35" s="3421"/>
      <c r="Z35" s="1574" t="str">
        <f t="shared" si="15"/>
        <v>建筑品质</v>
      </c>
      <c r="AA35" s="1575">
        <f t="shared" si="3"/>
        <v>1</v>
      </c>
      <c r="AB35" s="1575">
        <f t="shared" si="4"/>
        <v>1.0204081632653061</v>
      </c>
      <c r="AC35" s="1575">
        <f t="shared" si="5"/>
        <v>1.0204081632653061</v>
      </c>
    </row>
    <row r="36" spans="1:29" ht="15">
      <c r="A36" s="594"/>
      <c r="B36" s="527" t="s">
        <v>728</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v>2</v>
      </c>
      <c r="L36" s="2142"/>
      <c r="M36" s="2134"/>
      <c r="N36" s="2134"/>
      <c r="O36" s="2141"/>
      <c r="P36" s="3421"/>
      <c r="Q36" s="1571" t="str">
        <f t="shared" si="11"/>
        <v>公共部分装修</v>
      </c>
      <c r="R36" s="1572" t="s">
        <v>11</v>
      </c>
      <c r="S36" s="1573">
        <f t="shared" si="12"/>
        <v>100</v>
      </c>
      <c r="T36" s="1572" t="s">
        <v>11</v>
      </c>
      <c r="U36" s="1573">
        <f t="shared" si="13"/>
        <v>100</v>
      </c>
      <c r="V36" s="1572" t="s">
        <v>11</v>
      </c>
      <c r="W36" s="1573">
        <f t="shared" si="14"/>
        <v>100</v>
      </c>
      <c r="X36" s="1566"/>
      <c r="Y36" s="3421"/>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21"/>
      <c r="Q37" s="1150" t="str">
        <f t="shared" si="11"/>
        <v>成新度</v>
      </c>
      <c r="R37" s="1567" t="s">
        <v>11</v>
      </c>
      <c r="S37" s="1568">
        <f t="shared" si="12"/>
        <v>100</v>
      </c>
      <c r="T37" s="1567" t="s">
        <v>11</v>
      </c>
      <c r="U37" s="1568">
        <f t="shared" si="13"/>
        <v>100</v>
      </c>
      <c r="V37" s="1567" t="s">
        <v>11</v>
      </c>
      <c r="W37" s="1568">
        <f t="shared" si="14"/>
        <v>100</v>
      </c>
      <c r="X37" s="1569"/>
      <c r="Y37" s="3421"/>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21" t="s">
        <v>549</v>
      </c>
      <c r="Q38" s="1571" t="str">
        <f t="shared" si="11"/>
        <v>物业管理</v>
      </c>
      <c r="R38" s="1572" t="s">
        <v>11</v>
      </c>
      <c r="S38" s="1573">
        <f t="shared" si="12"/>
        <v>100</v>
      </c>
      <c r="T38" s="1572" t="s">
        <v>11</v>
      </c>
      <c r="U38" s="1573">
        <f t="shared" si="13"/>
        <v>100</v>
      </c>
      <c r="V38" s="1572" t="s">
        <v>11</v>
      </c>
      <c r="W38" s="1573">
        <f t="shared" si="14"/>
        <v>100</v>
      </c>
      <c r="X38" s="1566"/>
      <c r="Y38" s="3421"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21"/>
      <c r="Q39" s="1571" t="str">
        <f t="shared" si="11"/>
        <v>市政基础设施</v>
      </c>
      <c r="R39" s="1572" t="s">
        <v>11</v>
      </c>
      <c r="S39" s="1573">
        <f t="shared" si="12"/>
        <v>100</v>
      </c>
      <c r="T39" s="1572" t="s">
        <v>11</v>
      </c>
      <c r="U39" s="1573">
        <f t="shared" si="13"/>
        <v>100</v>
      </c>
      <c r="V39" s="1572" t="s">
        <v>11</v>
      </c>
      <c r="W39" s="1573">
        <f t="shared" si="14"/>
        <v>100</v>
      </c>
      <c r="X39" s="1566"/>
      <c r="Y39" s="3421"/>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21"/>
      <c r="Q40" s="1571" t="str">
        <f t="shared" si="11"/>
        <v>房型</v>
      </c>
      <c r="R40" s="1572" t="s">
        <v>11</v>
      </c>
      <c r="S40" s="1573">
        <f t="shared" si="12"/>
        <v>100</v>
      </c>
      <c r="T40" s="1572" t="s">
        <v>11</v>
      </c>
      <c r="U40" s="1573">
        <f t="shared" si="13"/>
        <v>100</v>
      </c>
      <c r="V40" s="1572" t="s">
        <v>11</v>
      </c>
      <c r="W40" s="1573">
        <f t="shared" si="14"/>
        <v>100</v>
      </c>
      <c r="X40" s="1566"/>
      <c r="Y40" s="3421"/>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21"/>
      <c r="Q41" s="1604" t="str">
        <f t="shared" si="11"/>
        <v>单套/主力户型建筑面积</v>
      </c>
      <c r="R41" s="1576" t="s">
        <v>11</v>
      </c>
      <c r="S41" s="1577">
        <f t="shared" si="12"/>
        <v>100</v>
      </c>
      <c r="T41" s="1576" t="s">
        <v>11</v>
      </c>
      <c r="U41" s="1577">
        <f t="shared" si="13"/>
        <v>100</v>
      </c>
      <c r="V41" s="1576" t="s">
        <v>11</v>
      </c>
      <c r="W41" s="1577">
        <f t="shared" si="14"/>
        <v>100</v>
      </c>
      <c r="X41" s="1578"/>
      <c r="Y41" s="3421"/>
      <c r="Z41" s="1579" t="str">
        <f t="shared" si="15"/>
        <v>单套/主力户型建筑面积</v>
      </c>
      <c r="AA41" s="1575">
        <f t="shared" si="3"/>
        <v>1</v>
      </c>
      <c r="AB41" s="1575">
        <f t="shared" si="4"/>
        <v>1</v>
      </c>
      <c r="AC41" s="1575">
        <f t="shared" si="5"/>
        <v>1</v>
      </c>
    </row>
    <row r="42" spans="1:29" ht="15">
      <c r="A42" s="594"/>
      <c r="B42" s="527" t="s">
        <v>733</v>
      </c>
      <c r="C42" s="599" t="s">
        <v>3010</v>
      </c>
      <c r="D42" s="540">
        <v>100</v>
      </c>
      <c r="E42" s="874" t="s">
        <v>3010</v>
      </c>
      <c r="F42" s="575">
        <f>SUMIF(122:122,E42,123:123)-SUMIF(122:122,C42,123:123)+100</f>
        <v>100</v>
      </c>
      <c r="G42" s="599" t="s">
        <v>3010</v>
      </c>
      <c r="H42" s="540">
        <f>SUMIF(122:122,G42,123:123)-SUMIF(122:122,C42,123:123)+100</f>
        <v>100</v>
      </c>
      <c r="I42" s="874" t="s">
        <v>3010</v>
      </c>
      <c r="J42" s="540">
        <f>SUMIF(122:122,I42,123:123)-SUMIF(122:122,C42,123:123)+100</f>
        <v>100</v>
      </c>
      <c r="K42" s="864">
        <v>1</v>
      </c>
      <c r="L42" s="2142"/>
      <c r="M42" s="2134"/>
      <c r="N42" s="2134"/>
      <c r="O42" s="2141"/>
      <c r="P42" s="3421"/>
      <c r="Q42" s="1571" t="str">
        <f t="shared" si="11"/>
        <v>内部装修</v>
      </c>
      <c r="R42" s="1572" t="s">
        <v>11</v>
      </c>
      <c r="S42" s="1573">
        <f t="shared" si="12"/>
        <v>100</v>
      </c>
      <c r="T42" s="1572" t="s">
        <v>11</v>
      </c>
      <c r="U42" s="1573">
        <f t="shared" si="13"/>
        <v>100</v>
      </c>
      <c r="V42" s="1572" t="s">
        <v>11</v>
      </c>
      <c r="W42" s="1573">
        <f t="shared" si="14"/>
        <v>100</v>
      </c>
      <c r="X42" s="1566"/>
      <c r="Y42" s="3421"/>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21"/>
      <c r="Q43" s="1571" t="str">
        <f t="shared" si="11"/>
        <v>内部装修维护情况</v>
      </c>
      <c r="R43" s="1572" t="s">
        <v>11</v>
      </c>
      <c r="S43" s="1573">
        <f t="shared" si="12"/>
        <v>100</v>
      </c>
      <c r="T43" s="1572" t="s">
        <v>11</v>
      </c>
      <c r="U43" s="1573">
        <f t="shared" si="13"/>
        <v>100</v>
      </c>
      <c r="V43" s="1572" t="s">
        <v>11</v>
      </c>
      <c r="W43" s="1573">
        <f t="shared" si="14"/>
        <v>100</v>
      </c>
      <c r="X43" s="1566"/>
      <c r="Y43" s="3421"/>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1"/>
      <c r="Q44" s="1150">
        <f t="shared" si="11"/>
        <v>111</v>
      </c>
      <c r="R44" s="1567" t="s">
        <v>11</v>
      </c>
      <c r="S44" s="1568">
        <f t="shared" si="12"/>
        <v>100</v>
      </c>
      <c r="T44" s="1567" t="s">
        <v>11</v>
      </c>
      <c r="U44" s="1568">
        <f t="shared" si="13"/>
        <v>100</v>
      </c>
      <c r="V44" s="1567" t="s">
        <v>11</v>
      </c>
      <c r="W44" s="1568">
        <f t="shared" si="14"/>
        <v>100</v>
      </c>
      <c r="X44" s="1569"/>
      <c r="Y44" s="342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1"/>
      <c r="Q45" s="1571">
        <f t="shared" si="11"/>
        <v>111</v>
      </c>
      <c r="R45" s="1572" t="s">
        <v>11</v>
      </c>
      <c r="S45" s="1573">
        <f t="shared" si="12"/>
        <v>100</v>
      </c>
      <c r="T45" s="1572" t="s">
        <v>11</v>
      </c>
      <c r="U45" s="1573">
        <f t="shared" si="13"/>
        <v>100</v>
      </c>
      <c r="V45" s="1572" t="s">
        <v>11</v>
      </c>
      <c r="W45" s="1573">
        <f t="shared" si="14"/>
        <v>100</v>
      </c>
      <c r="X45" s="1566"/>
      <c r="Y45" s="3421"/>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9"/>
      <c r="Q46" s="1571">
        <f t="shared" si="11"/>
        <v>111</v>
      </c>
      <c r="R46" s="1572" t="s">
        <v>10</v>
      </c>
      <c r="S46" s="1573">
        <f t="shared" si="12"/>
        <v>100</v>
      </c>
      <c r="T46" s="1572" t="s">
        <v>10</v>
      </c>
      <c r="U46" s="1573">
        <f t="shared" si="13"/>
        <v>100</v>
      </c>
      <c r="V46" s="1572" t="s">
        <v>10</v>
      </c>
      <c r="W46" s="1573">
        <f t="shared" si="14"/>
        <v>100</v>
      </c>
      <c r="X46" s="1566"/>
      <c r="Y46" s="3519"/>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416" t="str">
        <f>A47</f>
        <v>成交单价（元/平方米）</v>
      </c>
      <c r="Q47" s="3416"/>
      <c r="R47" s="3518">
        <f>E47</f>
        <v>15500</v>
      </c>
      <c r="S47" s="3518"/>
      <c r="T47" s="3518">
        <f>G47</f>
        <v>14000</v>
      </c>
      <c r="U47" s="3518"/>
      <c r="V47" s="3518">
        <f>I47</f>
        <v>12500</v>
      </c>
      <c r="W47" s="3518"/>
      <c r="X47" s="1558"/>
      <c r="Y47" s="1580"/>
      <c r="Z47" s="1558"/>
      <c r="AA47" s="1558"/>
      <c r="AB47" s="1558"/>
      <c r="AC47" s="1558"/>
    </row>
    <row r="48" spans="1:29" ht="15.75" thickBot="1">
      <c r="A48" s="615" t="s">
        <v>2762</v>
      </c>
      <c r="B48" s="888"/>
      <c r="C48" s="2633">
        <f>R49</f>
        <v>12561</v>
      </c>
      <c r="D48" s="2634"/>
      <c r="E48" s="2635">
        <f>R48</f>
        <v>12956.1</v>
      </c>
      <c r="F48" s="2635"/>
      <c r="G48" s="2633">
        <f>T48</f>
        <v>12581.4</v>
      </c>
      <c r="H48" s="2634"/>
      <c r="I48" s="2635">
        <f>V48</f>
        <v>12145.5</v>
      </c>
      <c r="J48" s="2634"/>
      <c r="K48" s="1606"/>
      <c r="L48" s="2144"/>
      <c r="M48" s="2145"/>
      <c r="N48" s="2145"/>
      <c r="O48" s="2145"/>
      <c r="P48" s="3416" t="str">
        <f>A48</f>
        <v>比较价格（元/平方米）</v>
      </c>
      <c r="Q48" s="3416"/>
      <c r="R48" s="3518">
        <f>IF(F1="售价",ROUND(PRODUCT(R47,AA7:AA46),0),ROUND(PRODUCT(R47,AA7:AA46),1))</f>
        <v>12956.1</v>
      </c>
      <c r="S48" s="3518"/>
      <c r="T48" s="3518">
        <f>IF(F1="售价",ROUND(PRODUCT(T47,AB7:AB46),0),ROUND(PRODUCT(T47,AB7:AB46),1))</f>
        <v>12581.4</v>
      </c>
      <c r="U48" s="3518"/>
      <c r="V48" s="3518">
        <f>IF(F1="售价",ROUND(PRODUCT(V47,AC7:AC46),0),ROUND(PRODUCT(V47,AC7:AC46),1))</f>
        <v>12145.5</v>
      </c>
      <c r="W48" s="3518"/>
      <c r="X48" s="1558"/>
      <c r="Y48" s="1558"/>
      <c r="Z48" s="1558"/>
      <c r="AA48" s="1558"/>
      <c r="AB48" s="1558"/>
      <c r="AC48" s="1558"/>
    </row>
    <row r="49" spans="1:29" ht="15.75" thickBot="1">
      <c r="A49" s="621" t="s">
        <v>2939</v>
      </c>
      <c r="B49" s="622"/>
      <c r="C49" s="2636">
        <f>R49</f>
        <v>12561</v>
      </c>
      <c r="D49" s="2636"/>
      <c r="E49" s="2636"/>
      <c r="F49" s="2636"/>
      <c r="G49" s="2636"/>
      <c r="H49" s="2636"/>
      <c r="I49" s="2636"/>
      <c r="J49" s="2636"/>
      <c r="K49" s="1607"/>
      <c r="L49" s="2144"/>
      <c r="M49" s="2145"/>
      <c r="N49" s="2145"/>
      <c r="O49" s="2145"/>
      <c r="P49" s="3437" t="str">
        <f>A49</f>
        <v>估价对象XX用房的比较价格（楼面单价，元/平方米）</v>
      </c>
      <c r="Q49" s="3438"/>
      <c r="R49" s="3517">
        <f>IF(F1="售价",ROUND(AVERAGE(R48:V48),0),ROUND(AVERAGE(R48:V48),1))</f>
        <v>12561</v>
      </c>
      <c r="S49" s="3517"/>
      <c r="T49" s="3517"/>
      <c r="U49" s="3517"/>
      <c r="V49" s="3517"/>
      <c r="W49" s="351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0.19634766635021328</v>
      </c>
      <c r="F52" s="627" t="str">
        <f>IF(OR(E52&gt;=0.3,E52&lt;=-0.3),"超过30%","")</f>
        <v/>
      </c>
      <c r="G52" s="626">
        <f>IF(G47&lt;G48,G48/G47-1,G47/G48-1)</f>
        <v>0.11275374759565704</v>
      </c>
      <c r="H52" s="627" t="str">
        <f>IF(OR(G52&gt;=0.3,G52&lt;=-0.3),"超过30%","")</f>
        <v/>
      </c>
      <c r="I52" s="626">
        <f>IF(I47&lt;I48,I48/I47-1,I47/I48-1)</f>
        <v>2.918776501584941E-2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2.9782059230292424E-2</v>
      </c>
      <c r="F53" s="627" t="str">
        <f>IF(OR(E53&gt;=0.2,E53&lt;=-0.2),"超过20%","")</f>
        <v/>
      </c>
      <c r="G53" s="626">
        <f>IF(G48&lt;I48,I48/G48-1,G48/I48-1)</f>
        <v>3.5889835741632625E-2</v>
      </c>
      <c r="H53" s="627" t="str">
        <f>IF(OR(G53&gt;=0.2,G53&lt;=-0.2),"超过20%","")</f>
        <v/>
      </c>
      <c r="I53" s="626">
        <f>IF(I48&lt;E48,E48/I48-1,I48/E48-1)</f>
        <v>6.6740768185747923E-2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3024</v>
      </c>
      <c r="D90" s="3180" t="s">
        <v>3025</v>
      </c>
      <c r="E90" s="3180" t="s">
        <v>3026</v>
      </c>
      <c r="F90" s="3180" t="s">
        <v>3027</v>
      </c>
      <c r="G90" s="3180" t="s">
        <v>3028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3052</v>
      </c>
      <c r="D100" s="3179" t="s">
        <v>3062</v>
      </c>
      <c r="E100" s="3179" t="s">
        <v>3058</v>
      </c>
      <c r="F100" s="3179" t="s">
        <v>3059</v>
      </c>
      <c r="G100" s="3179" t="s">
        <v>3060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3016</v>
      </c>
      <c r="D105" s="3180" t="s">
        <v>3017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3018</v>
      </c>
      <c r="D107" s="3181" t="s">
        <v>3019</v>
      </c>
      <c r="E107" s="3181" t="s">
        <v>3020</v>
      </c>
      <c r="F107" s="3181" t="s">
        <v>3021</v>
      </c>
      <c r="G107" s="3181" t="s">
        <v>3022</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3014</v>
      </c>
      <c r="D109" s="3180" t="s">
        <v>3008</v>
      </c>
      <c r="E109" s="3180" t="s">
        <v>3009</v>
      </c>
      <c r="F109" s="3181" t="s">
        <v>3011</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3012</v>
      </c>
      <c r="D114" s="3180" t="s">
        <v>3013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3007</v>
      </c>
      <c r="D122" s="3180" t="s">
        <v>3008</v>
      </c>
      <c r="E122" s="3180" t="s">
        <v>3009</v>
      </c>
      <c r="F122" s="3181"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22" t="s">
        <v>521</v>
      </c>
      <c r="D4" s="3423"/>
      <c r="E4" s="3446" t="s">
        <v>522</v>
      </c>
      <c r="F4" s="3447"/>
      <c r="G4" s="3422" t="s">
        <v>523</v>
      </c>
      <c r="H4" s="3423"/>
      <c r="I4" s="3422" t="s">
        <v>524</v>
      </c>
      <c r="J4" s="3423"/>
      <c r="K4" s="514" t="s">
        <v>525</v>
      </c>
      <c r="L4" s="2133"/>
      <c r="M4" s="2134"/>
      <c r="N4" s="2134"/>
      <c r="O4" s="2134"/>
      <c r="P4" s="3424" t="s">
        <v>526</v>
      </c>
      <c r="Q4" s="3425"/>
      <c r="R4" s="3410" t="s">
        <v>522</v>
      </c>
      <c r="S4" s="3411"/>
      <c r="T4" s="3410" t="s">
        <v>523</v>
      </c>
      <c r="U4" s="3411"/>
      <c r="V4" s="3430" t="s">
        <v>524</v>
      </c>
      <c r="W4" s="3430"/>
      <c r="X4" s="1566"/>
      <c r="Y4" s="3410" t="s">
        <v>526</v>
      </c>
      <c r="Z4" s="3411"/>
      <c r="AA4" s="3405" t="s">
        <v>522</v>
      </c>
      <c r="AB4" s="3430" t="s">
        <v>523</v>
      </c>
      <c r="AC4" s="3405" t="s">
        <v>524</v>
      </c>
    </row>
    <row r="5" spans="1:29" ht="15">
      <c r="A5" s="515"/>
      <c r="B5" s="516"/>
      <c r="C5" s="3450" t="s">
        <v>2933</v>
      </c>
      <c r="D5" s="3434"/>
      <c r="E5" s="3448" t="s">
        <v>2934</v>
      </c>
      <c r="F5" s="3449"/>
      <c r="G5" s="3450" t="s">
        <v>2935</v>
      </c>
      <c r="H5" s="3434"/>
      <c r="I5" s="3450" t="s">
        <v>2936</v>
      </c>
      <c r="J5" s="3434"/>
      <c r="K5" s="514"/>
      <c r="L5" s="2133"/>
      <c r="M5" s="2134"/>
      <c r="N5" s="2134"/>
      <c r="O5" s="2134"/>
      <c r="P5" s="3426"/>
      <c r="Q5" s="3427"/>
      <c r="R5" s="3412"/>
      <c r="S5" s="3413"/>
      <c r="T5" s="3412"/>
      <c r="U5" s="3413"/>
      <c r="V5" s="3430"/>
      <c r="W5" s="3430"/>
      <c r="X5" s="1566"/>
      <c r="Y5" s="3412"/>
      <c r="Z5" s="3413"/>
      <c r="AA5" s="3406"/>
      <c r="AB5" s="3430"/>
      <c r="AC5" s="3406"/>
    </row>
    <row r="6" spans="1:29" ht="15.75" thickBot="1">
      <c r="A6" s="517"/>
      <c r="B6" s="518"/>
      <c r="C6" s="3431" t="s">
        <v>2937</v>
      </c>
      <c r="D6" s="3432"/>
      <c r="E6" s="3451" t="s">
        <v>2937</v>
      </c>
      <c r="F6" s="3452"/>
      <c r="G6" s="3431" t="s">
        <v>2937</v>
      </c>
      <c r="H6" s="3432"/>
      <c r="I6" s="3431" t="s">
        <v>2937</v>
      </c>
      <c r="J6" s="3432"/>
      <c r="K6" s="514" t="s">
        <v>527</v>
      </c>
      <c r="L6" s="2133"/>
      <c r="M6" s="2134"/>
      <c r="N6" s="2134"/>
      <c r="O6" s="2134"/>
      <c r="P6" s="3428"/>
      <c r="Q6" s="3429"/>
      <c r="R6" s="3412"/>
      <c r="S6" s="3413"/>
      <c r="T6" s="3414"/>
      <c r="U6" s="3415"/>
      <c r="V6" s="3430"/>
      <c r="W6" s="3430"/>
      <c r="X6" s="1566"/>
      <c r="Y6" s="3414"/>
      <c r="Z6" s="3415"/>
      <c r="AA6" s="3407"/>
      <c r="AB6" s="3430"/>
      <c r="AC6" s="3407"/>
    </row>
    <row r="7" spans="1:29" s="1219" customFormat="1" ht="15.75" thickBot="1">
      <c r="A7" s="2912"/>
      <c r="B7" s="2919" t="s">
        <v>528</v>
      </c>
      <c r="C7" s="519">
        <f>'数据-取费表'!B2</f>
        <v>43402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8" t="s">
        <v>529</v>
      </c>
      <c r="Q7" s="3417"/>
      <c r="R7" s="1567" t="s">
        <v>8</v>
      </c>
      <c r="S7" s="1568">
        <f t="shared" ref="S7:S15" si="0">F7</f>
        <v>0</v>
      </c>
      <c r="T7" s="1567" t="s">
        <v>8</v>
      </c>
      <c r="U7" s="1568">
        <f t="shared" ref="U7:U15" si="1">H7</f>
        <v>0</v>
      </c>
      <c r="V7" s="1567" t="s">
        <v>8</v>
      </c>
      <c r="W7" s="1568">
        <f t="shared" ref="W7:W15" si="2">J7</f>
        <v>0</v>
      </c>
      <c r="X7" s="1569"/>
      <c r="Y7" s="3408" t="s">
        <v>529</v>
      </c>
      <c r="Z7" s="3409"/>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8" t="s">
        <v>532</v>
      </c>
      <c r="Q8" s="3409"/>
      <c r="R8" s="1567" t="s">
        <v>8</v>
      </c>
      <c r="S8" s="1568">
        <f t="shared" si="0"/>
        <v>0</v>
      </c>
      <c r="T8" s="1567" t="s">
        <v>8</v>
      </c>
      <c r="U8" s="1568">
        <f t="shared" si="1"/>
        <v>0</v>
      </c>
      <c r="V8" s="1567" t="s">
        <v>8</v>
      </c>
      <c r="W8" s="1568">
        <f t="shared" si="2"/>
        <v>0</v>
      </c>
      <c r="X8" s="1569"/>
      <c r="Y8" s="3408" t="s">
        <v>532</v>
      </c>
      <c r="Z8" s="3409"/>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6" t="s">
        <v>534</v>
      </c>
      <c r="Q9" s="1150" t="str">
        <f t="shared" ref="Q9:Q15" si="6">B9</f>
        <v>用途</v>
      </c>
      <c r="R9" s="1567" t="s">
        <v>8</v>
      </c>
      <c r="S9" s="1568">
        <f t="shared" si="0"/>
        <v>100</v>
      </c>
      <c r="T9" s="1567" t="s">
        <v>8</v>
      </c>
      <c r="U9" s="1568">
        <f t="shared" si="1"/>
        <v>100</v>
      </c>
      <c r="V9" s="1567" t="s">
        <v>8</v>
      </c>
      <c r="W9" s="1568">
        <f t="shared" si="2"/>
        <v>100</v>
      </c>
      <c r="X9" s="1569"/>
      <c r="Y9" s="3373"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6"/>
      <c r="Q10" s="1150" t="str">
        <f t="shared" si="6"/>
        <v>土地使用年限（年）</v>
      </c>
      <c r="R10" s="1567" t="s">
        <v>8</v>
      </c>
      <c r="S10" s="1568">
        <f t="shared" si="0"/>
        <v>100</v>
      </c>
      <c r="T10" s="1567" t="s">
        <v>8</v>
      </c>
      <c r="U10" s="1568">
        <f t="shared" si="1"/>
        <v>100</v>
      </c>
      <c r="V10" s="1567" t="s">
        <v>8</v>
      </c>
      <c r="W10" s="1568">
        <f t="shared" si="2"/>
        <v>100</v>
      </c>
      <c r="X10" s="1569"/>
      <c r="Y10" s="3373"/>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6"/>
      <c r="Q11" s="1150" t="str">
        <f t="shared" si="6"/>
        <v>容积率</v>
      </c>
      <c r="R11" s="1567" t="s">
        <v>8</v>
      </c>
      <c r="S11" s="1568" t="e">
        <f t="shared" si="0"/>
        <v>#N/A</v>
      </c>
      <c r="T11" s="1567" t="s">
        <v>8</v>
      </c>
      <c r="U11" s="1568" t="e">
        <f t="shared" si="1"/>
        <v>#N/A</v>
      </c>
      <c r="V11" s="1567" t="s">
        <v>8</v>
      </c>
      <c r="W11" s="1568" t="e">
        <f t="shared" si="2"/>
        <v>#N/A</v>
      </c>
      <c r="X11" s="1569"/>
      <c r="Y11" s="3373"/>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6"/>
      <c r="Q12" s="1150">
        <f t="shared" si="6"/>
        <v>111</v>
      </c>
      <c r="R12" s="1567" t="s">
        <v>8</v>
      </c>
      <c r="S12" s="1568">
        <f t="shared" si="0"/>
        <v>100</v>
      </c>
      <c r="T12" s="1567" t="s">
        <v>8</v>
      </c>
      <c r="U12" s="1568">
        <f t="shared" si="1"/>
        <v>100</v>
      </c>
      <c r="V12" s="1567" t="s">
        <v>8</v>
      </c>
      <c r="W12" s="1568">
        <f t="shared" si="2"/>
        <v>100</v>
      </c>
      <c r="X12" s="1569"/>
      <c r="Y12" s="3373"/>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6"/>
      <c r="Q13" s="1150">
        <f t="shared" si="6"/>
        <v>111</v>
      </c>
      <c r="R13" s="1567" t="s">
        <v>8</v>
      </c>
      <c r="S13" s="1568">
        <f t="shared" si="0"/>
        <v>100</v>
      </c>
      <c r="T13" s="1567" t="s">
        <v>8</v>
      </c>
      <c r="U13" s="1568">
        <f t="shared" si="1"/>
        <v>100</v>
      </c>
      <c r="V13" s="1567" t="s">
        <v>8</v>
      </c>
      <c r="W13" s="1568">
        <f t="shared" si="2"/>
        <v>100</v>
      </c>
      <c r="X13" s="1569"/>
      <c r="Y13" s="3373"/>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6"/>
      <c r="Q14" s="1150">
        <f t="shared" si="6"/>
        <v>111</v>
      </c>
      <c r="R14" s="1567" t="s">
        <v>8</v>
      </c>
      <c r="S14" s="1568">
        <f t="shared" si="0"/>
        <v>100</v>
      </c>
      <c r="T14" s="1567" t="s">
        <v>8</v>
      </c>
      <c r="U14" s="1568">
        <f t="shared" si="1"/>
        <v>100</v>
      </c>
      <c r="V14" s="1567" t="s">
        <v>8</v>
      </c>
      <c r="W14" s="1568">
        <f t="shared" si="2"/>
        <v>100</v>
      </c>
      <c r="X14" s="1569"/>
      <c r="Y14" s="3373"/>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8" t="s">
        <v>539</v>
      </c>
      <c r="Q15" s="1571" t="str">
        <f t="shared" si="6"/>
        <v>商业繁华度</v>
      </c>
      <c r="R15" s="1572" t="s">
        <v>8</v>
      </c>
      <c r="S15" s="1573">
        <f t="shared" si="0"/>
        <v>100</v>
      </c>
      <c r="T15" s="1572" t="s">
        <v>8</v>
      </c>
      <c r="U15" s="1573">
        <f t="shared" si="1"/>
        <v>100</v>
      </c>
      <c r="V15" s="1572" t="s">
        <v>8</v>
      </c>
      <c r="W15" s="1573">
        <f t="shared" si="2"/>
        <v>100</v>
      </c>
      <c r="X15" s="1566"/>
      <c r="Y15" s="3418"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9"/>
      <c r="Q16" s="1571"/>
      <c r="R16" s="1572"/>
      <c r="S16" s="1573"/>
      <c r="T16" s="1572"/>
      <c r="U16" s="1573"/>
      <c r="V16" s="1572"/>
      <c r="W16" s="1573"/>
      <c r="X16" s="1566"/>
      <c r="Y16" s="3419"/>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9"/>
      <c r="Q17" s="1571" t="str">
        <f>B17</f>
        <v>交通便捷度</v>
      </c>
      <c r="R17" s="1572" t="s">
        <v>8</v>
      </c>
      <c r="S17" s="1573">
        <f>F17</f>
        <v>100</v>
      </c>
      <c r="T17" s="1572" t="s">
        <v>8</v>
      </c>
      <c r="U17" s="1573">
        <f>H17</f>
        <v>100</v>
      </c>
      <c r="V17" s="1572" t="s">
        <v>8</v>
      </c>
      <c r="W17" s="1573">
        <f>J17</f>
        <v>100</v>
      </c>
      <c r="X17" s="1566"/>
      <c r="Y17" s="341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9"/>
      <c r="Q18" s="1571"/>
      <c r="R18" s="1572"/>
      <c r="S18" s="1573"/>
      <c r="T18" s="1572"/>
      <c r="U18" s="1573"/>
      <c r="V18" s="1572"/>
      <c r="W18" s="1573"/>
      <c r="X18" s="1566"/>
      <c r="Y18" s="3419"/>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9"/>
      <c r="Q19" s="1571" t="str">
        <f>B19</f>
        <v>公共配套设施</v>
      </c>
      <c r="R19" s="1572" t="s">
        <v>8</v>
      </c>
      <c r="S19" s="1573">
        <f>F19</f>
        <v>100</v>
      </c>
      <c r="T19" s="1572" t="s">
        <v>8</v>
      </c>
      <c r="U19" s="1573">
        <f>H19</f>
        <v>100</v>
      </c>
      <c r="V19" s="1572" t="s">
        <v>8</v>
      </c>
      <c r="W19" s="1573">
        <f>J19</f>
        <v>100</v>
      </c>
      <c r="X19" s="1566"/>
      <c r="Y19" s="3419"/>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19"/>
      <c r="Q20" s="1571"/>
      <c r="R20" s="1572"/>
      <c r="S20" s="1573"/>
      <c r="T20" s="1572"/>
      <c r="U20" s="1573"/>
      <c r="V20" s="1572"/>
      <c r="W20" s="1573"/>
      <c r="X20" s="1566"/>
      <c r="Y20" s="3419"/>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9"/>
      <c r="Q21" s="2579" t="str">
        <f>B21</f>
        <v>基础设施水平</v>
      </c>
      <c r="R21" s="1572" t="s">
        <v>8</v>
      </c>
      <c r="S21" s="1573">
        <f>F21</f>
        <v>100</v>
      </c>
      <c r="T21" s="1572" t="s">
        <v>8</v>
      </c>
      <c r="U21" s="1573">
        <f>H21</f>
        <v>100</v>
      </c>
      <c r="V21" s="1572" t="s">
        <v>8</v>
      </c>
      <c r="W21" s="1573">
        <f>J21</f>
        <v>100</v>
      </c>
      <c r="X21" s="2581"/>
      <c r="Y21" s="3419"/>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19"/>
      <c r="Q22" s="2579"/>
      <c r="R22" s="1572"/>
      <c r="S22" s="1573"/>
      <c r="T22" s="1572"/>
      <c r="U22" s="1573"/>
      <c r="V22" s="1572"/>
      <c r="W22" s="1573"/>
      <c r="X22" s="2581"/>
      <c r="Y22" s="3419"/>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9"/>
      <c r="Q23" s="1571" t="str">
        <f>B23</f>
        <v>自然及人文环境</v>
      </c>
      <c r="R23" s="1572" t="s">
        <v>8</v>
      </c>
      <c r="S23" s="1573">
        <f>F23</f>
        <v>100</v>
      </c>
      <c r="T23" s="1572" t="s">
        <v>8</v>
      </c>
      <c r="U23" s="1573">
        <f>H23</f>
        <v>100</v>
      </c>
      <c r="V23" s="1572" t="s">
        <v>8</v>
      </c>
      <c r="W23" s="1573">
        <f>J23</f>
        <v>100</v>
      </c>
      <c r="X23" s="1566"/>
      <c r="Y23" s="3419"/>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19"/>
      <c r="Q24" s="1571"/>
      <c r="R24" s="1572"/>
      <c r="S24" s="1573"/>
      <c r="T24" s="1572"/>
      <c r="U24" s="1573"/>
      <c r="V24" s="1572"/>
      <c r="W24" s="1573"/>
      <c r="X24" s="1566"/>
      <c r="Y24" s="3419"/>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9"/>
      <c r="Q25" s="1571" t="str">
        <f t="shared" ref="Q25:Q46" si="11">B25</f>
        <v>临街状况</v>
      </c>
      <c r="R25" s="1572" t="s">
        <v>8</v>
      </c>
      <c r="S25" s="1573">
        <f>F25</f>
        <v>100</v>
      </c>
      <c r="T25" s="1572" t="s">
        <v>8</v>
      </c>
      <c r="U25" s="1573">
        <f>H25</f>
        <v>100</v>
      </c>
      <c r="V25" s="1572" t="s">
        <v>8</v>
      </c>
      <c r="W25" s="1573">
        <f>J25</f>
        <v>100</v>
      </c>
      <c r="X25" s="1566"/>
      <c r="Y25" s="3419"/>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9"/>
      <c r="Q26" s="1571" t="str">
        <f t="shared" si="11"/>
        <v>平面位置/可视性</v>
      </c>
      <c r="R26" s="1572" t="s">
        <v>8</v>
      </c>
      <c r="S26" s="1573">
        <f>F26</f>
        <v>100</v>
      </c>
      <c r="T26" s="1572" t="s">
        <v>8</v>
      </c>
      <c r="U26" s="1573">
        <f>H26</f>
        <v>100</v>
      </c>
      <c r="V26" s="1572" t="s">
        <v>8</v>
      </c>
      <c r="W26" s="1573">
        <f>J26</f>
        <v>100</v>
      </c>
      <c r="X26" s="1566"/>
      <c r="Y26" s="3419"/>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9"/>
      <c r="Q27" s="1150" t="str">
        <f t="shared" si="11"/>
        <v>人流量</v>
      </c>
      <c r="R27" s="1567" t="s">
        <v>8</v>
      </c>
      <c r="S27" s="1568">
        <f>F27</f>
        <v>100</v>
      </c>
      <c r="T27" s="1567" t="s">
        <v>8</v>
      </c>
      <c r="U27" s="1568">
        <f>H27</f>
        <v>100</v>
      </c>
      <c r="V27" s="1567" t="s">
        <v>8</v>
      </c>
      <c r="W27" s="1568">
        <f>J27</f>
        <v>100</v>
      </c>
      <c r="X27" s="1569"/>
      <c r="Y27" s="3419"/>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9"/>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9"/>
      <c r="Q29" s="1571">
        <f t="shared" si="11"/>
        <v>111</v>
      </c>
      <c r="R29" s="1572" t="s">
        <v>8</v>
      </c>
      <c r="S29" s="1573">
        <f t="shared" si="12"/>
        <v>100</v>
      </c>
      <c r="T29" s="1572" t="s">
        <v>8</v>
      </c>
      <c r="U29" s="1573">
        <f t="shared" si="13"/>
        <v>100</v>
      </c>
      <c r="V29" s="1572" t="s">
        <v>8</v>
      </c>
      <c r="W29" s="1573">
        <f t="shared" si="14"/>
        <v>100</v>
      </c>
      <c r="X29" s="1566"/>
      <c r="Y29" s="3419"/>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9"/>
      <c r="Q30" s="1571">
        <f t="shared" si="11"/>
        <v>111</v>
      </c>
      <c r="R30" s="1572" t="s">
        <v>8</v>
      </c>
      <c r="S30" s="1573">
        <f t="shared" si="12"/>
        <v>100</v>
      </c>
      <c r="T30" s="1572" t="s">
        <v>8</v>
      </c>
      <c r="U30" s="1573">
        <f t="shared" si="13"/>
        <v>100</v>
      </c>
      <c r="V30" s="1572" t="s">
        <v>8</v>
      </c>
      <c r="W30" s="1573">
        <f t="shared" si="14"/>
        <v>100</v>
      </c>
      <c r="X30" s="1566"/>
      <c r="Y30" s="3419"/>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9"/>
      <c r="Q31" s="1571">
        <f t="shared" si="11"/>
        <v>111</v>
      </c>
      <c r="R31" s="1572" t="s">
        <v>8</v>
      </c>
      <c r="S31" s="1573">
        <f t="shared" si="12"/>
        <v>100</v>
      </c>
      <c r="T31" s="1572" t="s">
        <v>8</v>
      </c>
      <c r="U31" s="1573">
        <f t="shared" si="13"/>
        <v>100</v>
      </c>
      <c r="V31" s="1572" t="s">
        <v>8</v>
      </c>
      <c r="W31" s="1573">
        <f t="shared" si="14"/>
        <v>100</v>
      </c>
      <c r="X31" s="1566"/>
      <c r="Y31" s="3419"/>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20" t="s">
        <v>549</v>
      </c>
      <c r="Q32" s="1571" t="str">
        <f t="shared" si="11"/>
        <v>商业类型</v>
      </c>
      <c r="R32" s="1572" t="s">
        <v>8</v>
      </c>
      <c r="S32" s="1573">
        <f t="shared" si="12"/>
        <v>100</v>
      </c>
      <c r="T32" s="1572" t="s">
        <v>8</v>
      </c>
      <c r="U32" s="1573">
        <f t="shared" si="13"/>
        <v>100</v>
      </c>
      <c r="V32" s="1572" t="s">
        <v>8</v>
      </c>
      <c r="W32" s="1573">
        <f t="shared" si="14"/>
        <v>100</v>
      </c>
      <c r="X32" s="1566"/>
      <c r="Y32" s="3421"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21"/>
      <c r="Q33" s="1604" t="str">
        <f t="shared" si="11"/>
        <v>项目建筑规模</v>
      </c>
      <c r="R33" s="1576" t="s">
        <v>8</v>
      </c>
      <c r="S33" s="1577" t="e">
        <f t="shared" si="12"/>
        <v>#N/A</v>
      </c>
      <c r="T33" s="1576" t="s">
        <v>8</v>
      </c>
      <c r="U33" s="1577" t="e">
        <f t="shared" si="13"/>
        <v>#N/A</v>
      </c>
      <c r="V33" s="1576" t="s">
        <v>8</v>
      </c>
      <c r="W33" s="1577" t="e">
        <f t="shared" si="14"/>
        <v>#N/A</v>
      </c>
      <c r="X33" s="1578"/>
      <c r="Y33" s="3421"/>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21"/>
      <c r="Q34" s="1571" t="str">
        <f t="shared" si="11"/>
        <v>建筑结构</v>
      </c>
      <c r="R34" s="1572" t="s">
        <v>8</v>
      </c>
      <c r="S34" s="1573">
        <f t="shared" si="12"/>
        <v>100</v>
      </c>
      <c r="T34" s="1572" t="s">
        <v>8</v>
      </c>
      <c r="U34" s="1573">
        <f t="shared" si="13"/>
        <v>100</v>
      </c>
      <c r="V34" s="1572" t="s">
        <v>8</v>
      </c>
      <c r="W34" s="1573">
        <f t="shared" si="14"/>
        <v>100</v>
      </c>
      <c r="X34" s="1566"/>
      <c r="Y34" s="3421"/>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21"/>
      <c r="Q35" s="1571" t="str">
        <f t="shared" si="11"/>
        <v>公共部分装修</v>
      </c>
      <c r="R35" s="1572" t="s">
        <v>8</v>
      </c>
      <c r="S35" s="1573">
        <f t="shared" si="12"/>
        <v>100</v>
      </c>
      <c r="T35" s="1572" t="s">
        <v>8</v>
      </c>
      <c r="U35" s="1573">
        <f t="shared" si="13"/>
        <v>100</v>
      </c>
      <c r="V35" s="1572" t="s">
        <v>8</v>
      </c>
      <c r="W35" s="1573">
        <f t="shared" si="14"/>
        <v>100</v>
      </c>
      <c r="X35" s="1566"/>
      <c r="Y35" s="3421"/>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21"/>
      <c r="Q36" s="1571" t="str">
        <f t="shared" si="11"/>
        <v>成新度</v>
      </c>
      <c r="R36" s="1572" t="s">
        <v>8</v>
      </c>
      <c r="S36" s="1573" t="e">
        <f t="shared" si="12"/>
        <v>#N/A</v>
      </c>
      <c r="T36" s="1572" t="s">
        <v>8</v>
      </c>
      <c r="U36" s="1573" t="e">
        <f t="shared" si="13"/>
        <v>#N/A</v>
      </c>
      <c r="V36" s="1572" t="s">
        <v>8</v>
      </c>
      <c r="W36" s="1573" t="e">
        <f t="shared" si="14"/>
        <v>#N/A</v>
      </c>
      <c r="X36" s="1566"/>
      <c r="Y36" s="3421"/>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21"/>
      <c r="Q37" s="1150" t="str">
        <f t="shared" si="11"/>
        <v>市政基础设施</v>
      </c>
      <c r="R37" s="1567" t="s">
        <v>8</v>
      </c>
      <c r="S37" s="1568">
        <f t="shared" si="12"/>
        <v>100</v>
      </c>
      <c r="T37" s="1567" t="s">
        <v>8</v>
      </c>
      <c r="U37" s="1568">
        <f t="shared" si="13"/>
        <v>100</v>
      </c>
      <c r="V37" s="1567" t="s">
        <v>8</v>
      </c>
      <c r="W37" s="1568">
        <f t="shared" si="14"/>
        <v>100</v>
      </c>
      <c r="X37" s="1569"/>
      <c r="Y37" s="3421"/>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21" t="s">
        <v>765</v>
      </c>
      <c r="Q38" s="1571" t="str">
        <f t="shared" si="11"/>
        <v>业态</v>
      </c>
      <c r="R38" s="1572" t="s">
        <v>8</v>
      </c>
      <c r="S38" s="1573">
        <f t="shared" si="12"/>
        <v>100</v>
      </c>
      <c r="T38" s="1572" t="s">
        <v>8</v>
      </c>
      <c r="U38" s="1573">
        <f t="shared" si="13"/>
        <v>100</v>
      </c>
      <c r="V38" s="1572" t="s">
        <v>8</v>
      </c>
      <c r="W38" s="1573">
        <f t="shared" si="14"/>
        <v>100</v>
      </c>
      <c r="X38" s="1566"/>
      <c r="Y38" s="3421"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1"/>
      <c r="Q39" s="1571" t="str">
        <f t="shared" si="11"/>
        <v>层高</v>
      </c>
      <c r="R39" s="1572" t="s">
        <v>8</v>
      </c>
      <c r="S39" s="1573">
        <f t="shared" si="12"/>
        <v>100</v>
      </c>
      <c r="T39" s="1572" t="s">
        <v>8</v>
      </c>
      <c r="U39" s="1573">
        <f t="shared" si="13"/>
        <v>100</v>
      </c>
      <c r="V39" s="1572" t="s">
        <v>8</v>
      </c>
      <c r="W39" s="1573">
        <f t="shared" si="14"/>
        <v>100</v>
      </c>
      <c r="X39" s="1566"/>
      <c r="Y39" s="3421"/>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21"/>
      <c r="Q40" s="1571" t="str">
        <f t="shared" si="11"/>
        <v>单套建筑面积</v>
      </c>
      <c r="R40" s="1572" t="s">
        <v>8</v>
      </c>
      <c r="S40" s="1573">
        <f t="shared" si="12"/>
        <v>100</v>
      </c>
      <c r="T40" s="1572" t="s">
        <v>8</v>
      </c>
      <c r="U40" s="1573">
        <f t="shared" si="13"/>
        <v>100</v>
      </c>
      <c r="V40" s="1572" t="s">
        <v>8</v>
      </c>
      <c r="W40" s="1573">
        <f t="shared" si="14"/>
        <v>100</v>
      </c>
      <c r="X40" s="1566"/>
      <c r="Y40" s="3421"/>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1"/>
      <c r="Q41" s="1604" t="str">
        <f t="shared" si="11"/>
        <v>进深比</v>
      </c>
      <c r="R41" s="1576" t="s">
        <v>8</v>
      </c>
      <c r="S41" s="1577">
        <f t="shared" si="12"/>
        <v>100</v>
      </c>
      <c r="T41" s="1576" t="s">
        <v>8</v>
      </c>
      <c r="U41" s="1577">
        <f t="shared" si="13"/>
        <v>100</v>
      </c>
      <c r="V41" s="1576" t="s">
        <v>8</v>
      </c>
      <c r="W41" s="1577">
        <f t="shared" si="14"/>
        <v>100</v>
      </c>
      <c r="X41" s="1578"/>
      <c r="Y41" s="3421"/>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21"/>
      <c r="Q42" s="1571" t="str">
        <f t="shared" si="11"/>
        <v>内部装修</v>
      </c>
      <c r="R42" s="1572" t="s">
        <v>8</v>
      </c>
      <c r="S42" s="1573">
        <f t="shared" si="12"/>
        <v>100</v>
      </c>
      <c r="T42" s="1572" t="s">
        <v>8</v>
      </c>
      <c r="U42" s="1573">
        <f t="shared" si="13"/>
        <v>100</v>
      </c>
      <c r="V42" s="1572" t="s">
        <v>8</v>
      </c>
      <c r="W42" s="1573">
        <f t="shared" si="14"/>
        <v>100</v>
      </c>
      <c r="X42" s="1566"/>
      <c r="Y42" s="3421"/>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1"/>
      <c r="Q43" s="1571" t="str">
        <f t="shared" si="11"/>
        <v>内部装修维护情况</v>
      </c>
      <c r="R43" s="1572" t="s">
        <v>8</v>
      </c>
      <c r="S43" s="1573">
        <f t="shared" si="12"/>
        <v>100</v>
      </c>
      <c r="T43" s="1572" t="s">
        <v>8</v>
      </c>
      <c r="U43" s="1573">
        <f t="shared" si="13"/>
        <v>100</v>
      </c>
      <c r="V43" s="1572" t="s">
        <v>8</v>
      </c>
      <c r="W43" s="1573">
        <f t="shared" si="14"/>
        <v>100</v>
      </c>
      <c r="X43" s="1566"/>
      <c r="Y43" s="3421"/>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1"/>
      <c r="Q44" s="1150">
        <f t="shared" si="11"/>
        <v>111</v>
      </c>
      <c r="R44" s="1567" t="s">
        <v>8</v>
      </c>
      <c r="S44" s="1568">
        <f t="shared" si="12"/>
        <v>100</v>
      </c>
      <c r="T44" s="1567" t="s">
        <v>8</v>
      </c>
      <c r="U44" s="1568">
        <f t="shared" si="13"/>
        <v>100</v>
      </c>
      <c r="V44" s="1567" t="s">
        <v>8</v>
      </c>
      <c r="W44" s="1568">
        <f t="shared" si="14"/>
        <v>100</v>
      </c>
      <c r="X44" s="1569"/>
      <c r="Y44" s="3421"/>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1"/>
      <c r="Q45" s="1571">
        <f t="shared" si="11"/>
        <v>111</v>
      </c>
      <c r="R45" s="1572" t="s">
        <v>8</v>
      </c>
      <c r="S45" s="1573">
        <f t="shared" si="12"/>
        <v>100</v>
      </c>
      <c r="T45" s="1572" t="s">
        <v>8</v>
      </c>
      <c r="U45" s="1573">
        <f t="shared" si="13"/>
        <v>100</v>
      </c>
      <c r="V45" s="1572" t="s">
        <v>8</v>
      </c>
      <c r="W45" s="1573">
        <f t="shared" si="14"/>
        <v>100</v>
      </c>
      <c r="X45" s="1566"/>
      <c r="Y45" s="3421"/>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9"/>
      <c r="Q46" s="1571">
        <f t="shared" si="11"/>
        <v>111</v>
      </c>
      <c r="R46" s="1572" t="s">
        <v>8</v>
      </c>
      <c r="S46" s="1573">
        <f t="shared" si="12"/>
        <v>100</v>
      </c>
      <c r="T46" s="1572" t="s">
        <v>8</v>
      </c>
      <c r="U46" s="1573">
        <f t="shared" si="13"/>
        <v>100</v>
      </c>
      <c r="V46" s="1572" t="s">
        <v>8</v>
      </c>
      <c r="W46" s="1573">
        <f t="shared" si="14"/>
        <v>100</v>
      </c>
      <c r="X46" s="1566"/>
      <c r="Y46" s="3519"/>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416" t="str">
        <f>A47</f>
        <v>成交单价（元/平方米）</v>
      </c>
      <c r="Q47" s="3416"/>
      <c r="R47" s="3518">
        <f>E47</f>
        <v>0</v>
      </c>
      <c r="S47" s="3518"/>
      <c r="T47" s="3518">
        <f>G47</f>
        <v>0</v>
      </c>
      <c r="U47" s="3518"/>
      <c r="V47" s="3518">
        <f>I47</f>
        <v>0</v>
      </c>
      <c r="W47" s="3518"/>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416" t="str">
        <f>A48</f>
        <v>比较价格（元/平方米）</v>
      </c>
      <c r="Q48" s="3416"/>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437" t="str">
        <f>A49</f>
        <v>估价对象XX用房的比较价格（楼面单价，元/平方米）</v>
      </c>
      <c r="Q49" s="3438"/>
      <c r="R49" s="3517" t="e">
        <f>IF(F1="售价",ROUND(AVERAGE(R48:V48),0),ROUND(AVERAGE(R48:V48),1))</f>
        <v>#DIV/0!</v>
      </c>
      <c r="S49" s="3517"/>
      <c r="T49" s="3517"/>
      <c r="U49" s="3517"/>
      <c r="V49" s="3517"/>
      <c r="W49" s="351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22" t="s">
        <v>521</v>
      </c>
      <c r="D4" s="3423"/>
      <c r="E4" s="3446" t="s">
        <v>522</v>
      </c>
      <c r="F4" s="3447"/>
      <c r="G4" s="3422" t="s">
        <v>523</v>
      </c>
      <c r="H4" s="3423"/>
      <c r="I4" s="3422" t="s">
        <v>524</v>
      </c>
      <c r="J4" s="3423"/>
      <c r="K4" s="514" t="s">
        <v>525</v>
      </c>
      <c r="L4" s="2133"/>
      <c r="M4" s="2134"/>
      <c r="N4" s="2134"/>
      <c r="O4" s="2134"/>
      <c r="P4" s="3520" t="s">
        <v>526</v>
      </c>
      <c r="Q4" s="3425"/>
      <c r="R4" s="3410" t="s">
        <v>522</v>
      </c>
      <c r="S4" s="3411"/>
      <c r="T4" s="3410" t="s">
        <v>523</v>
      </c>
      <c r="U4" s="3411"/>
      <c r="V4" s="3430" t="s">
        <v>524</v>
      </c>
      <c r="W4" s="3430"/>
      <c r="X4" s="1566"/>
      <c r="Y4" s="3410" t="s">
        <v>526</v>
      </c>
      <c r="Z4" s="3411"/>
      <c r="AA4" s="3405" t="s">
        <v>522</v>
      </c>
      <c r="AB4" s="3405" t="s">
        <v>523</v>
      </c>
      <c r="AC4" s="3405" t="s">
        <v>524</v>
      </c>
    </row>
    <row r="5" spans="1:29" ht="15">
      <c r="A5" s="515"/>
      <c r="B5" s="516"/>
      <c r="C5" s="3450" t="s">
        <v>2933</v>
      </c>
      <c r="D5" s="3434"/>
      <c r="E5" s="3448" t="s">
        <v>2934</v>
      </c>
      <c r="F5" s="3449"/>
      <c r="G5" s="3450" t="s">
        <v>2935</v>
      </c>
      <c r="H5" s="3434"/>
      <c r="I5" s="3450" t="s">
        <v>2936</v>
      </c>
      <c r="J5" s="3434"/>
      <c r="K5" s="514"/>
      <c r="L5" s="2133"/>
      <c r="M5" s="2134"/>
      <c r="N5" s="2134"/>
      <c r="O5" s="2134"/>
      <c r="P5" s="3521"/>
      <c r="Q5" s="3427"/>
      <c r="R5" s="3412"/>
      <c r="S5" s="3413"/>
      <c r="T5" s="3412"/>
      <c r="U5" s="3413"/>
      <c r="V5" s="3430"/>
      <c r="W5" s="3430"/>
      <c r="X5" s="1566"/>
      <c r="Y5" s="3412"/>
      <c r="Z5" s="3413"/>
      <c r="AA5" s="3406"/>
      <c r="AB5" s="3406"/>
      <c r="AC5" s="3406"/>
    </row>
    <row r="6" spans="1:29" ht="15.75" thickBot="1">
      <c r="A6" s="517"/>
      <c r="B6" s="518"/>
      <c r="C6" s="3431" t="s">
        <v>2937</v>
      </c>
      <c r="D6" s="3432"/>
      <c r="E6" s="3451" t="s">
        <v>2937</v>
      </c>
      <c r="F6" s="3452"/>
      <c r="G6" s="3431" t="s">
        <v>2937</v>
      </c>
      <c r="H6" s="3432"/>
      <c r="I6" s="3431" t="s">
        <v>2937</v>
      </c>
      <c r="J6" s="3432"/>
      <c r="K6" s="514" t="s">
        <v>527</v>
      </c>
      <c r="L6" s="2133"/>
      <c r="M6" s="2134"/>
      <c r="N6" s="2134"/>
      <c r="O6" s="2134"/>
      <c r="P6" s="3522"/>
      <c r="Q6" s="3429"/>
      <c r="R6" s="3412"/>
      <c r="S6" s="3413"/>
      <c r="T6" s="3414"/>
      <c r="U6" s="3415"/>
      <c r="V6" s="3430"/>
      <c r="W6" s="3430"/>
      <c r="X6" s="1566"/>
      <c r="Y6" s="3414"/>
      <c r="Z6" s="3415"/>
      <c r="AA6" s="3407"/>
      <c r="AB6" s="3407"/>
      <c r="AC6" s="3407"/>
    </row>
    <row r="7" spans="1:29" s="1219" customFormat="1" ht="15.75" thickBot="1">
      <c r="A7" s="2912"/>
      <c r="B7" s="2919" t="s">
        <v>528</v>
      </c>
      <c r="C7" s="519">
        <f>'数据-取费表'!B2</f>
        <v>43402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17" t="s">
        <v>529</v>
      </c>
      <c r="Q7" s="3417"/>
      <c r="R7" s="1567" t="s">
        <v>8</v>
      </c>
      <c r="S7" s="1568">
        <f t="shared" ref="S7:S15" si="0">F7</f>
        <v>0</v>
      </c>
      <c r="T7" s="1567" t="s">
        <v>8</v>
      </c>
      <c r="U7" s="1568">
        <f t="shared" ref="U7:U15" si="1">H7</f>
        <v>0</v>
      </c>
      <c r="V7" s="1567" t="s">
        <v>8</v>
      </c>
      <c r="W7" s="1568">
        <f t="shared" ref="W7:W15" si="2">J7</f>
        <v>0</v>
      </c>
      <c r="X7" s="1569"/>
      <c r="Y7" s="3408" t="s">
        <v>529</v>
      </c>
      <c r="Z7" s="3409"/>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17" t="s">
        <v>532</v>
      </c>
      <c r="Q8" s="3409"/>
      <c r="R8" s="1567" t="s">
        <v>8</v>
      </c>
      <c r="S8" s="1568">
        <f t="shared" si="0"/>
        <v>0</v>
      </c>
      <c r="T8" s="1567" t="s">
        <v>8</v>
      </c>
      <c r="U8" s="1568">
        <f t="shared" si="1"/>
        <v>0</v>
      </c>
      <c r="V8" s="1567" t="s">
        <v>8</v>
      </c>
      <c r="W8" s="1568">
        <f t="shared" si="2"/>
        <v>0</v>
      </c>
      <c r="X8" s="1569"/>
      <c r="Y8" s="3408" t="s">
        <v>532</v>
      </c>
      <c r="Z8" s="3409"/>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6" t="s">
        <v>534</v>
      </c>
      <c r="Q9" s="1150" t="str">
        <f t="shared" ref="Q9:Q15" si="6">B9</f>
        <v>用途</v>
      </c>
      <c r="R9" s="1567" t="s">
        <v>8</v>
      </c>
      <c r="S9" s="1568">
        <f t="shared" si="0"/>
        <v>100</v>
      </c>
      <c r="T9" s="1567" t="s">
        <v>8</v>
      </c>
      <c r="U9" s="1568">
        <f t="shared" si="1"/>
        <v>100</v>
      </c>
      <c r="V9" s="1567" t="s">
        <v>8</v>
      </c>
      <c r="W9" s="1568">
        <f t="shared" si="2"/>
        <v>100</v>
      </c>
      <c r="X9" s="1569"/>
      <c r="Y9" s="3373"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6"/>
      <c r="Q10" s="1150" t="str">
        <f t="shared" si="6"/>
        <v>土地使用年限（年）</v>
      </c>
      <c r="R10" s="1567" t="s">
        <v>8</v>
      </c>
      <c r="S10" s="1568">
        <f t="shared" si="0"/>
        <v>100</v>
      </c>
      <c r="T10" s="1567" t="s">
        <v>8</v>
      </c>
      <c r="U10" s="1568">
        <f t="shared" si="1"/>
        <v>100</v>
      </c>
      <c r="V10" s="1567" t="s">
        <v>8</v>
      </c>
      <c r="W10" s="1568">
        <f t="shared" si="2"/>
        <v>100</v>
      </c>
      <c r="X10" s="1569"/>
      <c r="Y10" s="3373"/>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6"/>
      <c r="Q11" s="1150" t="str">
        <f t="shared" si="6"/>
        <v>容积率</v>
      </c>
      <c r="R11" s="1567" t="s">
        <v>8</v>
      </c>
      <c r="S11" s="1568" t="e">
        <f t="shared" si="0"/>
        <v>#N/A</v>
      </c>
      <c r="T11" s="1567" t="s">
        <v>8</v>
      </c>
      <c r="U11" s="1568" t="e">
        <f t="shared" si="1"/>
        <v>#N/A</v>
      </c>
      <c r="V11" s="1567" t="s">
        <v>8</v>
      </c>
      <c r="W11" s="1568" t="e">
        <f t="shared" si="2"/>
        <v>#N/A</v>
      </c>
      <c r="X11" s="1569"/>
      <c r="Y11" s="3373"/>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6"/>
      <c r="Q12" s="1150">
        <f t="shared" si="6"/>
        <v>111</v>
      </c>
      <c r="R12" s="1567" t="s">
        <v>8</v>
      </c>
      <c r="S12" s="1568">
        <f t="shared" si="0"/>
        <v>100</v>
      </c>
      <c r="T12" s="1567" t="s">
        <v>8</v>
      </c>
      <c r="U12" s="1568">
        <f t="shared" si="1"/>
        <v>100</v>
      </c>
      <c r="V12" s="1567" t="s">
        <v>8</v>
      </c>
      <c r="W12" s="1568">
        <f t="shared" si="2"/>
        <v>100</v>
      </c>
      <c r="X12" s="1569"/>
      <c r="Y12" s="3373"/>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6"/>
      <c r="Q13" s="1150">
        <f t="shared" si="6"/>
        <v>111</v>
      </c>
      <c r="R13" s="1567" t="s">
        <v>8</v>
      </c>
      <c r="S13" s="1568">
        <f t="shared" si="0"/>
        <v>100</v>
      </c>
      <c r="T13" s="1567" t="s">
        <v>8</v>
      </c>
      <c r="U13" s="1568">
        <f t="shared" si="1"/>
        <v>100</v>
      </c>
      <c r="V13" s="1567" t="s">
        <v>8</v>
      </c>
      <c r="W13" s="1568">
        <f t="shared" si="2"/>
        <v>100</v>
      </c>
      <c r="X13" s="1569"/>
      <c r="Y13" s="3373"/>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6"/>
      <c r="Q14" s="1150">
        <f t="shared" si="6"/>
        <v>111</v>
      </c>
      <c r="R14" s="1567" t="s">
        <v>8</v>
      </c>
      <c r="S14" s="1568">
        <f t="shared" si="0"/>
        <v>100</v>
      </c>
      <c r="T14" s="1567" t="s">
        <v>8</v>
      </c>
      <c r="U14" s="1568">
        <f t="shared" si="1"/>
        <v>100</v>
      </c>
      <c r="V14" s="1567" t="s">
        <v>8</v>
      </c>
      <c r="W14" s="1568">
        <f t="shared" si="2"/>
        <v>100</v>
      </c>
      <c r="X14" s="1569"/>
      <c r="Y14" s="3373"/>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8" t="s">
        <v>539</v>
      </c>
      <c r="Q15" s="1571" t="str">
        <f t="shared" si="6"/>
        <v>办公集聚程度</v>
      </c>
      <c r="R15" s="1572" t="s">
        <v>8</v>
      </c>
      <c r="S15" s="1573">
        <f t="shared" si="0"/>
        <v>100</v>
      </c>
      <c r="T15" s="1572" t="s">
        <v>8</v>
      </c>
      <c r="U15" s="1573">
        <f t="shared" si="1"/>
        <v>100</v>
      </c>
      <c r="V15" s="1572" t="s">
        <v>8</v>
      </c>
      <c r="W15" s="1573">
        <f t="shared" si="2"/>
        <v>100</v>
      </c>
      <c r="X15" s="1566"/>
      <c r="Y15" s="341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19"/>
      <c r="Q16" s="1571"/>
      <c r="R16" s="1572"/>
      <c r="S16" s="1573"/>
      <c r="T16" s="1572"/>
      <c r="U16" s="1573"/>
      <c r="V16" s="1572"/>
      <c r="W16" s="1573"/>
      <c r="X16" s="1566"/>
      <c r="Y16" s="3419"/>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9"/>
      <c r="Q17" s="1571" t="str">
        <f>B17</f>
        <v>交通便捷度</v>
      </c>
      <c r="R17" s="1572" t="s">
        <v>8</v>
      </c>
      <c r="S17" s="1573">
        <f>F17</f>
        <v>100</v>
      </c>
      <c r="T17" s="1572" t="s">
        <v>8</v>
      </c>
      <c r="U17" s="1573">
        <f>H17</f>
        <v>100</v>
      </c>
      <c r="V17" s="1572" t="s">
        <v>8</v>
      </c>
      <c r="W17" s="1573">
        <f>J17</f>
        <v>100</v>
      </c>
      <c r="X17" s="1566"/>
      <c r="Y17" s="341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19"/>
      <c r="Q18" s="1571"/>
      <c r="R18" s="1572"/>
      <c r="S18" s="1573"/>
      <c r="T18" s="1572"/>
      <c r="U18" s="1573"/>
      <c r="V18" s="1572"/>
      <c r="W18" s="1573"/>
      <c r="X18" s="1566"/>
      <c r="Y18" s="3419"/>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9"/>
      <c r="Q19" s="1571" t="str">
        <f>B19</f>
        <v>公共配套设施</v>
      </c>
      <c r="R19" s="1572" t="s">
        <v>8</v>
      </c>
      <c r="S19" s="1573">
        <f>F19</f>
        <v>100</v>
      </c>
      <c r="T19" s="1572" t="s">
        <v>8</v>
      </c>
      <c r="U19" s="1573">
        <f>H19</f>
        <v>100</v>
      </c>
      <c r="V19" s="1572" t="s">
        <v>8</v>
      </c>
      <c r="W19" s="1573">
        <f>J19</f>
        <v>100</v>
      </c>
      <c r="X19" s="1566"/>
      <c r="Y19" s="341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19"/>
      <c r="Q20" s="1571"/>
      <c r="R20" s="1572"/>
      <c r="S20" s="1573"/>
      <c r="T20" s="1572"/>
      <c r="U20" s="1573"/>
      <c r="V20" s="1572"/>
      <c r="W20" s="1573"/>
      <c r="X20" s="1566"/>
      <c r="Y20" s="3419"/>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9"/>
      <c r="Q21" s="2579" t="str">
        <f>B21</f>
        <v>基础设施水平</v>
      </c>
      <c r="R21" s="1572" t="s">
        <v>8</v>
      </c>
      <c r="S21" s="1573">
        <f>F21</f>
        <v>100</v>
      </c>
      <c r="T21" s="1572" t="s">
        <v>8</v>
      </c>
      <c r="U21" s="1573">
        <f>H21</f>
        <v>100</v>
      </c>
      <c r="V21" s="1572" t="s">
        <v>8</v>
      </c>
      <c r="W21" s="1573">
        <f>J21</f>
        <v>100</v>
      </c>
      <c r="X21" s="2581"/>
      <c r="Y21" s="3419"/>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19"/>
      <c r="Q22" s="2579"/>
      <c r="R22" s="1572"/>
      <c r="S22" s="1573"/>
      <c r="T22" s="1572"/>
      <c r="U22" s="1573"/>
      <c r="V22" s="1572"/>
      <c r="W22" s="1573"/>
      <c r="X22" s="2581"/>
      <c r="Y22" s="3419"/>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9"/>
      <c r="Q23" s="1571" t="str">
        <f>B23</f>
        <v>环境质量</v>
      </c>
      <c r="R23" s="1572" t="s">
        <v>8</v>
      </c>
      <c r="S23" s="1573">
        <f>F23</f>
        <v>100</v>
      </c>
      <c r="T23" s="1572" t="s">
        <v>8</v>
      </c>
      <c r="U23" s="1573">
        <f>H23</f>
        <v>100</v>
      </c>
      <c r="V23" s="1572" t="s">
        <v>8</v>
      </c>
      <c r="W23" s="1573">
        <f>J23</f>
        <v>100</v>
      </c>
      <c r="X23" s="1566"/>
      <c r="Y23" s="341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19"/>
      <c r="Q24" s="1571"/>
      <c r="R24" s="1572"/>
      <c r="S24" s="1573"/>
      <c r="T24" s="1572"/>
      <c r="U24" s="1573"/>
      <c r="V24" s="1572"/>
      <c r="W24" s="1573"/>
      <c r="X24" s="1566"/>
      <c r="Y24" s="3419"/>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9"/>
      <c r="Q25" s="1571" t="str">
        <f>B25</f>
        <v>毗邻道路的类型与等级</v>
      </c>
      <c r="R25" s="1572" t="s">
        <v>8</v>
      </c>
      <c r="S25" s="1573">
        <f>F25</f>
        <v>100</v>
      </c>
      <c r="T25" s="1572" t="s">
        <v>8</v>
      </c>
      <c r="U25" s="1573">
        <f>H25</f>
        <v>100</v>
      </c>
      <c r="V25" s="1572" t="s">
        <v>8</v>
      </c>
      <c r="W25" s="1573">
        <f>J25</f>
        <v>100</v>
      </c>
      <c r="X25" s="1566"/>
      <c r="Y25" s="341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19"/>
      <c r="Q26" s="1571"/>
      <c r="R26" s="1572"/>
      <c r="S26" s="1573"/>
      <c r="T26" s="1572"/>
      <c r="U26" s="1573"/>
      <c r="V26" s="1572"/>
      <c r="W26" s="1573"/>
      <c r="X26" s="1566"/>
      <c r="Y26" s="341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9"/>
      <c r="Q27" s="1571" t="str">
        <f t="shared" ref="Q27:Q47" si="11">B27</f>
        <v>楼层</v>
      </c>
      <c r="R27" s="1572" t="s">
        <v>8</v>
      </c>
      <c r="S27" s="1573">
        <f>F27</f>
        <v>100</v>
      </c>
      <c r="T27" s="1572" t="s">
        <v>8</v>
      </c>
      <c r="U27" s="1573">
        <f>H27</f>
        <v>100</v>
      </c>
      <c r="V27" s="1572" t="s">
        <v>8</v>
      </c>
      <c r="W27" s="1573">
        <f>J27</f>
        <v>100</v>
      </c>
      <c r="X27" s="1566"/>
      <c r="Y27" s="3419"/>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9"/>
      <c r="Q28" s="1150" t="str">
        <f t="shared" si="11"/>
        <v>朝向</v>
      </c>
      <c r="R28" s="1567" t="s">
        <v>8</v>
      </c>
      <c r="S28" s="1568">
        <f>F28</f>
        <v>100</v>
      </c>
      <c r="T28" s="1567" t="s">
        <v>8</v>
      </c>
      <c r="U28" s="1568">
        <f>H28</f>
        <v>100</v>
      </c>
      <c r="V28" s="1567" t="s">
        <v>8</v>
      </c>
      <c r="W28" s="1568">
        <f>J28</f>
        <v>100</v>
      </c>
      <c r="X28" s="1569"/>
      <c r="Y28" s="3419"/>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9"/>
      <c r="Q29" s="1571">
        <f t="shared" si="11"/>
        <v>111</v>
      </c>
      <c r="R29" s="1572" t="s">
        <v>8</v>
      </c>
      <c r="S29" s="1573">
        <f t="shared" ref="S29:S47" si="12">F29</f>
        <v>100</v>
      </c>
      <c r="T29" s="1572" t="s">
        <v>8</v>
      </c>
      <c r="U29" s="1573">
        <f t="shared" ref="U29:U47" si="13">H29</f>
        <v>100</v>
      </c>
      <c r="V29" s="1572" t="s">
        <v>8</v>
      </c>
      <c r="W29" s="1573">
        <f t="shared" ref="W29:W47" si="14">J29</f>
        <v>100</v>
      </c>
      <c r="X29" s="1566"/>
      <c r="Y29" s="3419"/>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9"/>
      <c r="Q30" s="1571">
        <f t="shared" si="11"/>
        <v>111</v>
      </c>
      <c r="R30" s="1572" t="s">
        <v>8</v>
      </c>
      <c r="S30" s="1573">
        <f t="shared" si="12"/>
        <v>100</v>
      </c>
      <c r="T30" s="1572" t="s">
        <v>8</v>
      </c>
      <c r="U30" s="1573">
        <f t="shared" si="13"/>
        <v>100</v>
      </c>
      <c r="V30" s="1572" t="s">
        <v>8</v>
      </c>
      <c r="W30" s="1573">
        <f t="shared" si="14"/>
        <v>100</v>
      </c>
      <c r="X30" s="1566"/>
      <c r="Y30" s="3419"/>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9"/>
      <c r="Q31" s="1571">
        <f t="shared" si="11"/>
        <v>111</v>
      </c>
      <c r="R31" s="1572" t="s">
        <v>8</v>
      </c>
      <c r="S31" s="1573">
        <f t="shared" si="12"/>
        <v>100</v>
      </c>
      <c r="T31" s="1572" t="s">
        <v>8</v>
      </c>
      <c r="U31" s="1573">
        <f t="shared" si="13"/>
        <v>100</v>
      </c>
      <c r="V31" s="1572" t="s">
        <v>8</v>
      </c>
      <c r="W31" s="1573">
        <f t="shared" si="14"/>
        <v>100</v>
      </c>
      <c r="X31" s="1566"/>
      <c r="Y31" s="3419"/>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9"/>
      <c r="Q32" s="1571">
        <f t="shared" si="11"/>
        <v>111</v>
      </c>
      <c r="R32" s="1572" t="s">
        <v>8</v>
      </c>
      <c r="S32" s="1573">
        <f t="shared" si="12"/>
        <v>100</v>
      </c>
      <c r="T32" s="1572" t="s">
        <v>8</v>
      </c>
      <c r="U32" s="1573">
        <f t="shared" si="13"/>
        <v>100</v>
      </c>
      <c r="V32" s="1572" t="s">
        <v>8</v>
      </c>
      <c r="W32" s="1573">
        <f t="shared" si="14"/>
        <v>100</v>
      </c>
      <c r="X32" s="1566"/>
      <c r="Y32" s="3419"/>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20" t="s">
        <v>549</v>
      </c>
      <c r="Q33" s="1571" t="str">
        <f t="shared" si="11"/>
        <v>建筑类型</v>
      </c>
      <c r="R33" s="1572" t="s">
        <v>8</v>
      </c>
      <c r="S33" s="1573">
        <f t="shared" si="12"/>
        <v>100</v>
      </c>
      <c r="T33" s="1572" t="s">
        <v>8</v>
      </c>
      <c r="U33" s="1573">
        <f t="shared" si="13"/>
        <v>100</v>
      </c>
      <c r="V33" s="1572" t="s">
        <v>8</v>
      </c>
      <c r="W33" s="1573">
        <f t="shared" si="14"/>
        <v>100</v>
      </c>
      <c r="X33" s="1566"/>
      <c r="Y33" s="3421"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1"/>
      <c r="Q34" s="1604" t="str">
        <f t="shared" si="11"/>
        <v>项目建筑规模</v>
      </c>
      <c r="R34" s="1576" t="s">
        <v>8</v>
      </c>
      <c r="S34" s="1577" t="e">
        <f t="shared" si="12"/>
        <v>#N/A</v>
      </c>
      <c r="T34" s="1576" t="s">
        <v>8</v>
      </c>
      <c r="U34" s="1577" t="e">
        <f t="shared" si="13"/>
        <v>#N/A</v>
      </c>
      <c r="V34" s="1576" t="s">
        <v>8</v>
      </c>
      <c r="W34" s="1577" t="e">
        <f t="shared" si="14"/>
        <v>#N/A</v>
      </c>
      <c r="X34" s="1578"/>
      <c r="Y34" s="342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1"/>
      <c r="Q35" s="1571" t="str">
        <f t="shared" si="11"/>
        <v>建筑结构</v>
      </c>
      <c r="R35" s="1572" t="s">
        <v>8</v>
      </c>
      <c r="S35" s="1573">
        <f t="shared" si="12"/>
        <v>100</v>
      </c>
      <c r="T35" s="1572" t="s">
        <v>8</v>
      </c>
      <c r="U35" s="1573">
        <f t="shared" si="13"/>
        <v>100</v>
      </c>
      <c r="V35" s="1572" t="s">
        <v>8</v>
      </c>
      <c r="W35" s="1573">
        <f t="shared" si="14"/>
        <v>100</v>
      </c>
      <c r="X35" s="1566"/>
      <c r="Y35" s="342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1"/>
      <c r="Q36" s="1571" t="str">
        <f t="shared" si="11"/>
        <v>公共部分装修</v>
      </c>
      <c r="R36" s="1572" t="s">
        <v>8</v>
      </c>
      <c r="S36" s="1573">
        <f t="shared" si="12"/>
        <v>100</v>
      </c>
      <c r="T36" s="1572" t="s">
        <v>8</v>
      </c>
      <c r="U36" s="1573">
        <f t="shared" si="13"/>
        <v>100</v>
      </c>
      <c r="V36" s="1572" t="s">
        <v>8</v>
      </c>
      <c r="W36" s="1573">
        <f t="shared" si="14"/>
        <v>100</v>
      </c>
      <c r="X36" s="1566"/>
      <c r="Y36" s="3421"/>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21"/>
      <c r="Q37" s="1571" t="str">
        <f t="shared" si="11"/>
        <v>成新度</v>
      </c>
      <c r="R37" s="1572" t="s">
        <v>8</v>
      </c>
      <c r="S37" s="1573" t="e">
        <f t="shared" si="12"/>
        <v>#N/A</v>
      </c>
      <c r="T37" s="1572" t="s">
        <v>8</v>
      </c>
      <c r="U37" s="1573" t="e">
        <f t="shared" si="13"/>
        <v>#N/A</v>
      </c>
      <c r="V37" s="1572" t="s">
        <v>8</v>
      </c>
      <c r="W37" s="1573" t="e">
        <f t="shared" si="14"/>
        <v>#N/A</v>
      </c>
      <c r="X37" s="1566"/>
      <c r="Y37" s="3421"/>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1"/>
      <c r="Q38" s="1150" t="str">
        <f t="shared" si="11"/>
        <v>写字楼等级</v>
      </c>
      <c r="R38" s="1567" t="s">
        <v>8</v>
      </c>
      <c r="S38" s="1568">
        <f t="shared" si="12"/>
        <v>100</v>
      </c>
      <c r="T38" s="1567" t="s">
        <v>8</v>
      </c>
      <c r="U38" s="1568">
        <f t="shared" si="13"/>
        <v>100</v>
      </c>
      <c r="V38" s="1567" t="s">
        <v>8</v>
      </c>
      <c r="W38" s="1568">
        <f t="shared" si="14"/>
        <v>100</v>
      </c>
      <c r="X38" s="1569"/>
      <c r="Y38" s="3421"/>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1" t="s">
        <v>549</v>
      </c>
      <c r="Q39" s="1571" t="str">
        <f t="shared" si="11"/>
        <v>物业管理</v>
      </c>
      <c r="R39" s="1572" t="s">
        <v>8</v>
      </c>
      <c r="S39" s="1573">
        <f t="shared" si="12"/>
        <v>100</v>
      </c>
      <c r="T39" s="1572" t="s">
        <v>8</v>
      </c>
      <c r="U39" s="1573">
        <f t="shared" si="13"/>
        <v>100</v>
      </c>
      <c r="V39" s="1572" t="s">
        <v>8</v>
      </c>
      <c r="W39" s="1573">
        <f t="shared" si="14"/>
        <v>100</v>
      </c>
      <c r="X39" s="1566"/>
      <c r="Y39" s="3421"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1"/>
      <c r="Q40" s="1571" t="str">
        <f t="shared" si="11"/>
        <v>市政基础设施</v>
      </c>
      <c r="R40" s="1572" t="s">
        <v>8</v>
      </c>
      <c r="S40" s="1573">
        <f t="shared" si="12"/>
        <v>100</v>
      </c>
      <c r="T40" s="1572" t="s">
        <v>8</v>
      </c>
      <c r="U40" s="1573">
        <f t="shared" si="13"/>
        <v>100</v>
      </c>
      <c r="V40" s="1572" t="s">
        <v>8</v>
      </c>
      <c r="W40" s="1573">
        <f t="shared" si="14"/>
        <v>100</v>
      </c>
      <c r="X40" s="1566"/>
      <c r="Y40" s="342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1"/>
      <c r="Q41" s="1571" t="str">
        <f t="shared" si="11"/>
        <v>层高</v>
      </c>
      <c r="R41" s="1572" t="s">
        <v>8</v>
      </c>
      <c r="S41" s="1573">
        <f t="shared" si="12"/>
        <v>100</v>
      </c>
      <c r="T41" s="1572" t="s">
        <v>8</v>
      </c>
      <c r="U41" s="1573">
        <f t="shared" si="13"/>
        <v>100</v>
      </c>
      <c r="V41" s="1572" t="s">
        <v>8</v>
      </c>
      <c r="W41" s="1573">
        <f t="shared" si="14"/>
        <v>100</v>
      </c>
      <c r="X41" s="1566"/>
      <c r="Y41" s="3421"/>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1"/>
      <c r="Q42" s="1604" t="str">
        <f t="shared" si="11"/>
        <v>单套建筑面积</v>
      </c>
      <c r="R42" s="1576" t="s">
        <v>8</v>
      </c>
      <c r="S42" s="1577">
        <f t="shared" si="12"/>
        <v>100</v>
      </c>
      <c r="T42" s="1576" t="s">
        <v>8</v>
      </c>
      <c r="U42" s="1577">
        <f t="shared" si="13"/>
        <v>100</v>
      </c>
      <c r="V42" s="1576" t="s">
        <v>8</v>
      </c>
      <c r="W42" s="1577">
        <f t="shared" si="14"/>
        <v>100</v>
      </c>
      <c r="X42" s="1578"/>
      <c r="Y42" s="342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1"/>
      <c r="Q43" s="1571" t="str">
        <f t="shared" si="11"/>
        <v>内部装修</v>
      </c>
      <c r="R43" s="1572" t="s">
        <v>8</v>
      </c>
      <c r="S43" s="1573">
        <f t="shared" si="12"/>
        <v>100</v>
      </c>
      <c r="T43" s="1572" t="s">
        <v>8</v>
      </c>
      <c r="U43" s="1573">
        <f t="shared" si="13"/>
        <v>100</v>
      </c>
      <c r="V43" s="1572" t="s">
        <v>8</v>
      </c>
      <c r="W43" s="1573">
        <f t="shared" si="14"/>
        <v>100</v>
      </c>
      <c r="X43" s="1566"/>
      <c r="Y43" s="3421"/>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1"/>
      <c r="Q44" s="1571" t="str">
        <f t="shared" si="11"/>
        <v>内部装修维护情况</v>
      </c>
      <c r="R44" s="1572" t="s">
        <v>8</v>
      </c>
      <c r="S44" s="1573">
        <f t="shared" si="12"/>
        <v>100</v>
      </c>
      <c r="T44" s="1572" t="s">
        <v>8</v>
      </c>
      <c r="U44" s="1573">
        <f t="shared" si="13"/>
        <v>100</v>
      </c>
      <c r="V44" s="1572" t="s">
        <v>8</v>
      </c>
      <c r="W44" s="1573">
        <f t="shared" si="14"/>
        <v>100</v>
      </c>
      <c r="X44" s="1566"/>
      <c r="Y44" s="3421"/>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1"/>
      <c r="Q45" s="1150">
        <f t="shared" si="11"/>
        <v>111</v>
      </c>
      <c r="R45" s="1567" t="s">
        <v>8</v>
      </c>
      <c r="S45" s="1568">
        <f t="shared" si="12"/>
        <v>100</v>
      </c>
      <c r="T45" s="1567" t="s">
        <v>8</v>
      </c>
      <c r="U45" s="1568">
        <f t="shared" si="13"/>
        <v>100</v>
      </c>
      <c r="V45" s="1567" t="s">
        <v>8</v>
      </c>
      <c r="W45" s="1568">
        <f t="shared" si="14"/>
        <v>100</v>
      </c>
      <c r="X45" s="1569"/>
      <c r="Y45" s="342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1"/>
      <c r="Q46" s="1571">
        <f t="shared" si="11"/>
        <v>111</v>
      </c>
      <c r="R46" s="1572" t="s">
        <v>8</v>
      </c>
      <c r="S46" s="1573">
        <f t="shared" si="12"/>
        <v>100</v>
      </c>
      <c r="T46" s="1572" t="s">
        <v>8</v>
      </c>
      <c r="U46" s="1573">
        <f t="shared" si="13"/>
        <v>100</v>
      </c>
      <c r="V46" s="1572" t="s">
        <v>8</v>
      </c>
      <c r="W46" s="1573">
        <f t="shared" si="14"/>
        <v>100</v>
      </c>
      <c r="X46" s="1566"/>
      <c r="Y46" s="3421"/>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9"/>
      <c r="Q47" s="1571">
        <f t="shared" si="11"/>
        <v>111</v>
      </c>
      <c r="R47" s="1572" t="s">
        <v>8</v>
      </c>
      <c r="S47" s="1573">
        <f t="shared" si="12"/>
        <v>100</v>
      </c>
      <c r="T47" s="1572" t="s">
        <v>8</v>
      </c>
      <c r="U47" s="1573">
        <f t="shared" si="13"/>
        <v>100</v>
      </c>
      <c r="V47" s="1572" t="s">
        <v>8</v>
      </c>
      <c r="W47" s="1573">
        <f t="shared" si="14"/>
        <v>100</v>
      </c>
      <c r="X47" s="1566"/>
      <c r="Y47" s="3519"/>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38" t="str">
        <f>A48</f>
        <v>成交单价（元/平方米）</v>
      </c>
      <c r="Q48" s="3416"/>
      <c r="R48" s="3518">
        <f>E48</f>
        <v>0</v>
      </c>
      <c r="S48" s="3518"/>
      <c r="T48" s="3518">
        <f>G48</f>
        <v>0</v>
      </c>
      <c r="U48" s="3518"/>
      <c r="V48" s="3518">
        <f>I48</f>
        <v>0</v>
      </c>
      <c r="W48" s="3518"/>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38" t="str">
        <f>A49</f>
        <v>比较价格（元/平方米）</v>
      </c>
      <c r="Q49" s="3416"/>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523" t="str">
        <f>A50</f>
        <v>估价对象XX用房的比较价格（楼面单价，元/平方米）</v>
      </c>
      <c r="Q50" s="3438"/>
      <c r="R50" s="3517" t="e">
        <f>IF(F1="售价",ROUND(AVERAGE(R49:V49),0),ROUND(AVERAGE(R49:V49),1))</f>
        <v>#DIV/0!</v>
      </c>
      <c r="S50" s="3517"/>
      <c r="T50" s="3517"/>
      <c r="U50" s="3517"/>
      <c r="V50" s="3517"/>
      <c r="W50" s="351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22" t="s">
        <v>521</v>
      </c>
      <c r="D4" s="3423"/>
      <c r="E4" s="3446" t="s">
        <v>522</v>
      </c>
      <c r="F4" s="3447"/>
      <c r="G4" s="3422" t="s">
        <v>523</v>
      </c>
      <c r="H4" s="3423"/>
      <c r="I4" s="3422" t="s">
        <v>524</v>
      </c>
      <c r="J4" s="3423"/>
      <c r="K4" s="514" t="s">
        <v>525</v>
      </c>
      <c r="L4" s="2133"/>
      <c r="M4" s="2134"/>
      <c r="N4" s="2134"/>
      <c r="O4" s="2134"/>
      <c r="P4" s="3424" t="s">
        <v>526</v>
      </c>
      <c r="Q4" s="3425"/>
      <c r="R4" s="3410" t="s">
        <v>522</v>
      </c>
      <c r="S4" s="3411"/>
      <c r="T4" s="3410" t="s">
        <v>523</v>
      </c>
      <c r="U4" s="3411"/>
      <c r="V4" s="3430" t="s">
        <v>524</v>
      </c>
      <c r="W4" s="3430"/>
      <c r="X4" s="1566"/>
      <c r="Y4" s="3410" t="s">
        <v>526</v>
      </c>
      <c r="Z4" s="3411"/>
      <c r="AA4" s="3405" t="s">
        <v>522</v>
      </c>
      <c r="AB4" s="3406" t="s">
        <v>523</v>
      </c>
      <c r="AC4" s="3405" t="s">
        <v>524</v>
      </c>
    </row>
    <row r="5" spans="1:29" ht="15">
      <c r="A5" s="515"/>
      <c r="B5" s="516"/>
      <c r="C5" s="3450" t="s">
        <v>2933</v>
      </c>
      <c r="D5" s="3434"/>
      <c r="E5" s="3448" t="s">
        <v>2934</v>
      </c>
      <c r="F5" s="3449"/>
      <c r="G5" s="3450" t="s">
        <v>2935</v>
      </c>
      <c r="H5" s="3434"/>
      <c r="I5" s="3450" t="s">
        <v>2936</v>
      </c>
      <c r="J5" s="3434"/>
      <c r="K5" s="514"/>
      <c r="L5" s="2133"/>
      <c r="M5" s="2134"/>
      <c r="N5" s="2134"/>
      <c r="O5" s="2134"/>
      <c r="P5" s="3426"/>
      <c r="Q5" s="3427"/>
      <c r="R5" s="3412"/>
      <c r="S5" s="3413"/>
      <c r="T5" s="3412"/>
      <c r="U5" s="3413"/>
      <c r="V5" s="3430"/>
      <c r="W5" s="3430"/>
      <c r="X5" s="1566"/>
      <c r="Y5" s="3412"/>
      <c r="Z5" s="3413"/>
      <c r="AA5" s="3406"/>
      <c r="AB5" s="3406"/>
      <c r="AC5" s="3406"/>
    </row>
    <row r="6" spans="1:29" ht="15.75" thickBot="1">
      <c r="A6" s="517"/>
      <c r="B6" s="518"/>
      <c r="C6" s="3431" t="s">
        <v>2937</v>
      </c>
      <c r="D6" s="3432"/>
      <c r="E6" s="3451" t="s">
        <v>2937</v>
      </c>
      <c r="F6" s="3452"/>
      <c r="G6" s="3431" t="s">
        <v>2937</v>
      </c>
      <c r="H6" s="3432"/>
      <c r="I6" s="3431" t="s">
        <v>2937</v>
      </c>
      <c r="J6" s="3432"/>
      <c r="K6" s="514" t="s">
        <v>527</v>
      </c>
      <c r="L6" s="2133"/>
      <c r="M6" s="2134"/>
      <c r="N6" s="2134"/>
      <c r="O6" s="2134"/>
      <c r="P6" s="3428"/>
      <c r="Q6" s="3429"/>
      <c r="R6" s="3412"/>
      <c r="S6" s="3413"/>
      <c r="T6" s="3414"/>
      <c r="U6" s="3415"/>
      <c r="V6" s="3430"/>
      <c r="W6" s="3430"/>
      <c r="X6" s="1566"/>
      <c r="Y6" s="3414"/>
      <c r="Z6" s="3415"/>
      <c r="AA6" s="3407"/>
      <c r="AB6" s="3407"/>
      <c r="AC6" s="3407"/>
    </row>
    <row r="7" spans="1:29" s="1219" customFormat="1" ht="15.75" thickBot="1">
      <c r="A7" s="2912"/>
      <c r="B7" s="2919" t="s">
        <v>528</v>
      </c>
      <c r="C7" s="519">
        <f>'数据-取费表'!B2</f>
        <v>43402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8" t="s">
        <v>529</v>
      </c>
      <c r="Q7" s="3417"/>
      <c r="R7" s="1567" t="s">
        <v>8</v>
      </c>
      <c r="S7" s="1568">
        <f t="shared" ref="S7:S15" si="0">F7</f>
        <v>0</v>
      </c>
      <c r="T7" s="1567" t="s">
        <v>8</v>
      </c>
      <c r="U7" s="1568">
        <f t="shared" ref="U7:U15" si="1">H7</f>
        <v>0</v>
      </c>
      <c r="V7" s="1567" t="s">
        <v>8</v>
      </c>
      <c r="W7" s="1568">
        <f t="shared" ref="W7:W15" si="2">J7</f>
        <v>0</v>
      </c>
      <c r="X7" s="1569"/>
      <c r="Y7" s="3408" t="s">
        <v>529</v>
      </c>
      <c r="Z7" s="3409"/>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8" t="s">
        <v>532</v>
      </c>
      <c r="Q8" s="3409"/>
      <c r="R8" s="1567" t="s">
        <v>8</v>
      </c>
      <c r="S8" s="1568">
        <f t="shared" si="0"/>
        <v>0</v>
      </c>
      <c r="T8" s="1567" t="s">
        <v>8</v>
      </c>
      <c r="U8" s="1568">
        <f t="shared" si="1"/>
        <v>0</v>
      </c>
      <c r="V8" s="1567" t="s">
        <v>8</v>
      </c>
      <c r="W8" s="1568">
        <f t="shared" si="2"/>
        <v>0</v>
      </c>
      <c r="X8" s="1569"/>
      <c r="Y8" s="3408" t="s">
        <v>532</v>
      </c>
      <c r="Z8" s="3409"/>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6" t="s">
        <v>534</v>
      </c>
      <c r="Q9" s="1150" t="str">
        <f t="shared" ref="Q9:Q15" si="6">B9</f>
        <v>用途</v>
      </c>
      <c r="R9" s="1567" t="s">
        <v>8</v>
      </c>
      <c r="S9" s="1568">
        <f t="shared" si="0"/>
        <v>100</v>
      </c>
      <c r="T9" s="1567" t="s">
        <v>8</v>
      </c>
      <c r="U9" s="1568">
        <f t="shared" si="1"/>
        <v>100</v>
      </c>
      <c r="V9" s="1567" t="s">
        <v>8</v>
      </c>
      <c r="W9" s="1568">
        <f t="shared" si="2"/>
        <v>100</v>
      </c>
      <c r="X9" s="1569"/>
      <c r="Y9" s="3373"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6"/>
      <c r="Q10" s="1150" t="str">
        <f t="shared" si="6"/>
        <v>土地使用年限（年）</v>
      </c>
      <c r="R10" s="1567" t="s">
        <v>8</v>
      </c>
      <c r="S10" s="1568">
        <f t="shared" si="0"/>
        <v>100</v>
      </c>
      <c r="T10" s="1567" t="s">
        <v>8</v>
      </c>
      <c r="U10" s="1568">
        <f t="shared" si="1"/>
        <v>100</v>
      </c>
      <c r="V10" s="1567" t="s">
        <v>8</v>
      </c>
      <c r="W10" s="1568">
        <f t="shared" si="2"/>
        <v>100</v>
      </c>
      <c r="X10" s="1569"/>
      <c r="Y10" s="3373"/>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6"/>
      <c r="Q11" s="1150" t="str">
        <f t="shared" si="6"/>
        <v>容积率</v>
      </c>
      <c r="R11" s="1567" t="s">
        <v>8</v>
      </c>
      <c r="S11" s="1568" t="e">
        <f t="shared" si="0"/>
        <v>#N/A</v>
      </c>
      <c r="T11" s="1567" t="s">
        <v>8</v>
      </c>
      <c r="U11" s="1568" t="e">
        <f t="shared" si="1"/>
        <v>#N/A</v>
      </c>
      <c r="V11" s="1567" t="s">
        <v>8</v>
      </c>
      <c r="W11" s="1568" t="e">
        <f t="shared" si="2"/>
        <v>#N/A</v>
      </c>
      <c r="X11" s="1569"/>
      <c r="Y11" s="3373"/>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6"/>
      <c r="Q12" s="1150">
        <f t="shared" si="6"/>
        <v>111</v>
      </c>
      <c r="R12" s="1567" t="s">
        <v>8</v>
      </c>
      <c r="S12" s="1568">
        <f t="shared" si="0"/>
        <v>100</v>
      </c>
      <c r="T12" s="1567" t="s">
        <v>8</v>
      </c>
      <c r="U12" s="1568">
        <f t="shared" si="1"/>
        <v>100</v>
      </c>
      <c r="V12" s="1567" t="s">
        <v>8</v>
      </c>
      <c r="W12" s="1568">
        <f t="shared" si="2"/>
        <v>100</v>
      </c>
      <c r="X12" s="1569"/>
      <c r="Y12" s="3373"/>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6"/>
      <c r="Q13" s="1150">
        <f t="shared" si="6"/>
        <v>111</v>
      </c>
      <c r="R13" s="1567" t="s">
        <v>8</v>
      </c>
      <c r="S13" s="1568">
        <f t="shared" si="0"/>
        <v>100</v>
      </c>
      <c r="T13" s="1567" t="s">
        <v>8</v>
      </c>
      <c r="U13" s="1568">
        <f t="shared" si="1"/>
        <v>100</v>
      </c>
      <c r="V13" s="1567" t="s">
        <v>8</v>
      </c>
      <c r="W13" s="1568">
        <f t="shared" si="2"/>
        <v>100</v>
      </c>
      <c r="X13" s="1569"/>
      <c r="Y13" s="3373"/>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6"/>
      <c r="Q14" s="1150">
        <f t="shared" si="6"/>
        <v>111</v>
      </c>
      <c r="R14" s="1567" t="s">
        <v>8</v>
      </c>
      <c r="S14" s="1568">
        <f t="shared" si="0"/>
        <v>100</v>
      </c>
      <c r="T14" s="1567" t="s">
        <v>8</v>
      </c>
      <c r="U14" s="1568">
        <f t="shared" si="1"/>
        <v>100</v>
      </c>
      <c r="V14" s="1567" t="s">
        <v>8</v>
      </c>
      <c r="W14" s="1568">
        <f t="shared" si="2"/>
        <v>100</v>
      </c>
      <c r="X14" s="1569"/>
      <c r="Y14" s="3373"/>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8" t="s">
        <v>539</v>
      </c>
      <c r="Q15" s="1571" t="str">
        <f t="shared" si="6"/>
        <v>产业集聚程度</v>
      </c>
      <c r="R15" s="1572" t="s">
        <v>8</v>
      </c>
      <c r="S15" s="1573">
        <f t="shared" si="0"/>
        <v>100</v>
      </c>
      <c r="T15" s="1572" t="s">
        <v>8</v>
      </c>
      <c r="U15" s="1573">
        <f t="shared" si="1"/>
        <v>100</v>
      </c>
      <c r="V15" s="1572" t="s">
        <v>8</v>
      </c>
      <c r="W15" s="1573">
        <f t="shared" si="2"/>
        <v>100</v>
      </c>
      <c r="X15" s="1566"/>
      <c r="Y15" s="341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19"/>
      <c r="Q16" s="1571"/>
      <c r="R16" s="1572"/>
      <c r="S16" s="1573"/>
      <c r="T16" s="1572"/>
      <c r="U16" s="1573"/>
      <c r="V16" s="1572"/>
      <c r="W16" s="1573"/>
      <c r="X16" s="1566"/>
      <c r="Y16" s="3419"/>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9"/>
      <c r="Q17" s="1571" t="str">
        <f>B17</f>
        <v>交通便捷度</v>
      </c>
      <c r="R17" s="1572" t="s">
        <v>8</v>
      </c>
      <c r="S17" s="1573">
        <f>F17</f>
        <v>100</v>
      </c>
      <c r="T17" s="1572" t="s">
        <v>8</v>
      </c>
      <c r="U17" s="1573">
        <f>H17</f>
        <v>100</v>
      </c>
      <c r="V17" s="1572" t="s">
        <v>8</v>
      </c>
      <c r="W17" s="1573">
        <f>J17</f>
        <v>100</v>
      </c>
      <c r="X17" s="1566"/>
      <c r="Y17" s="341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19"/>
      <c r="Q18" s="1571"/>
      <c r="R18" s="1572"/>
      <c r="S18" s="1573"/>
      <c r="T18" s="1572"/>
      <c r="U18" s="1573"/>
      <c r="V18" s="1572"/>
      <c r="W18" s="1573"/>
      <c r="X18" s="1566"/>
      <c r="Y18" s="3419"/>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9"/>
      <c r="Q19" s="1571" t="str">
        <f>B19</f>
        <v>公共配套设施</v>
      </c>
      <c r="R19" s="1572" t="s">
        <v>8</v>
      </c>
      <c r="S19" s="1573">
        <f>F19</f>
        <v>100</v>
      </c>
      <c r="T19" s="1572" t="s">
        <v>8</v>
      </c>
      <c r="U19" s="1573">
        <f>H19</f>
        <v>100</v>
      </c>
      <c r="V19" s="1572" t="s">
        <v>8</v>
      </c>
      <c r="W19" s="1573">
        <f>J19</f>
        <v>100</v>
      </c>
      <c r="X19" s="1566"/>
      <c r="Y19" s="341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19"/>
      <c r="Q20" s="1571"/>
      <c r="R20" s="1572"/>
      <c r="S20" s="1573"/>
      <c r="T20" s="1572"/>
      <c r="U20" s="1573"/>
      <c r="V20" s="1572"/>
      <c r="W20" s="1573"/>
      <c r="X20" s="1566"/>
      <c r="Y20" s="3419"/>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9"/>
      <c r="Q21" s="2579" t="str">
        <f>B21</f>
        <v>基础设施水平</v>
      </c>
      <c r="R21" s="1572" t="s">
        <v>8</v>
      </c>
      <c r="S21" s="1573">
        <f>F21</f>
        <v>100</v>
      </c>
      <c r="T21" s="1572" t="s">
        <v>8</v>
      </c>
      <c r="U21" s="1573">
        <f>H21</f>
        <v>100</v>
      </c>
      <c r="V21" s="1572" t="s">
        <v>8</v>
      </c>
      <c r="W21" s="1573">
        <f>J21</f>
        <v>100</v>
      </c>
      <c r="X21" s="2581"/>
      <c r="Y21" s="3419"/>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19"/>
      <c r="Q22" s="2579"/>
      <c r="R22" s="1572"/>
      <c r="S22" s="1573"/>
      <c r="T22" s="1572"/>
      <c r="U22" s="1573"/>
      <c r="V22" s="1572"/>
      <c r="W22" s="1573"/>
      <c r="X22" s="2581"/>
      <c r="Y22" s="3419"/>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9"/>
      <c r="Q23" s="1571" t="str">
        <f>B23</f>
        <v>环境质量</v>
      </c>
      <c r="R23" s="1572" t="s">
        <v>8</v>
      </c>
      <c r="S23" s="1573">
        <f>F23</f>
        <v>100</v>
      </c>
      <c r="T23" s="1572" t="s">
        <v>8</v>
      </c>
      <c r="U23" s="1573">
        <f>H23</f>
        <v>100</v>
      </c>
      <c r="V23" s="1572" t="s">
        <v>8</v>
      </c>
      <c r="W23" s="1573">
        <f>J23</f>
        <v>100</v>
      </c>
      <c r="X23" s="1566"/>
      <c r="Y23" s="3419"/>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19"/>
      <c r="Q24" s="1571"/>
      <c r="R24" s="1572"/>
      <c r="S24" s="1573"/>
      <c r="T24" s="1572"/>
      <c r="U24" s="1573"/>
      <c r="V24" s="1572"/>
      <c r="W24" s="1573"/>
      <c r="X24" s="1566"/>
      <c r="Y24" s="341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9"/>
      <c r="Q25" s="1571">
        <f>B25</f>
        <v>111</v>
      </c>
      <c r="R25" s="1572" t="s">
        <v>8</v>
      </c>
      <c r="S25" s="1573">
        <f>F25</f>
        <v>100</v>
      </c>
      <c r="T25" s="1572" t="s">
        <v>8</v>
      </c>
      <c r="U25" s="1573">
        <f>H25</f>
        <v>100</v>
      </c>
      <c r="V25" s="1572" t="s">
        <v>8</v>
      </c>
      <c r="W25" s="1573">
        <f>J25</f>
        <v>100</v>
      </c>
      <c r="X25" s="1566"/>
      <c r="Y25" s="341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9"/>
      <c r="Q26" s="1571">
        <f t="shared" ref="Q26:Q40" si="11">B26</f>
        <v>111</v>
      </c>
      <c r="R26" s="1572" t="s">
        <v>8</v>
      </c>
      <c r="S26" s="1573">
        <f>F26</f>
        <v>100</v>
      </c>
      <c r="T26" s="1572" t="s">
        <v>8</v>
      </c>
      <c r="U26" s="1573">
        <f>H26</f>
        <v>100</v>
      </c>
      <c r="V26" s="1572" t="s">
        <v>8</v>
      </c>
      <c r="W26" s="1573">
        <f>J26</f>
        <v>100</v>
      </c>
      <c r="X26" s="1566"/>
      <c r="Y26" s="341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9"/>
      <c r="Q27" s="1150">
        <f t="shared" si="11"/>
        <v>111</v>
      </c>
      <c r="R27" s="1567" t="s">
        <v>8</v>
      </c>
      <c r="S27" s="1568">
        <f>F27</f>
        <v>100</v>
      </c>
      <c r="T27" s="1567" t="s">
        <v>8</v>
      </c>
      <c r="U27" s="1568">
        <f>H27</f>
        <v>100</v>
      </c>
      <c r="V27" s="1567" t="s">
        <v>8</v>
      </c>
      <c r="W27" s="1568">
        <f>J27</f>
        <v>100</v>
      </c>
      <c r="X27" s="1569"/>
      <c r="Y27" s="341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9"/>
      <c r="Q28" s="1571">
        <f t="shared" si="11"/>
        <v>111</v>
      </c>
      <c r="R28" s="1572" t="s">
        <v>8</v>
      </c>
      <c r="S28" s="1573">
        <f t="shared" ref="S28:S40" si="12">F28</f>
        <v>100</v>
      </c>
      <c r="T28" s="1572" t="s">
        <v>8</v>
      </c>
      <c r="U28" s="1573">
        <f t="shared" ref="U28:U40" si="13">H28</f>
        <v>100</v>
      </c>
      <c r="V28" s="1572" t="s">
        <v>8</v>
      </c>
      <c r="W28" s="1573">
        <f t="shared" ref="W28:W40" si="14">J28</f>
        <v>100</v>
      </c>
      <c r="X28" s="1566"/>
      <c r="Y28" s="3419"/>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20" t="s">
        <v>549</v>
      </c>
      <c r="Q29" s="1571" t="str">
        <f t="shared" si="11"/>
        <v>建筑类型</v>
      </c>
      <c r="R29" s="1572" t="s">
        <v>8</v>
      </c>
      <c r="S29" s="1573">
        <f t="shared" si="12"/>
        <v>100</v>
      </c>
      <c r="T29" s="1572" t="s">
        <v>8</v>
      </c>
      <c r="U29" s="1573">
        <f t="shared" si="13"/>
        <v>100</v>
      </c>
      <c r="V29" s="1572" t="s">
        <v>8</v>
      </c>
      <c r="W29" s="1573">
        <f t="shared" si="14"/>
        <v>100</v>
      </c>
      <c r="X29" s="1566"/>
      <c r="Y29" s="3421"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1"/>
      <c r="Q30" s="1604" t="str">
        <f t="shared" si="11"/>
        <v>项目建筑规模</v>
      </c>
      <c r="R30" s="1576" t="s">
        <v>8</v>
      </c>
      <c r="S30" s="1577" t="e">
        <f t="shared" si="12"/>
        <v>#N/A</v>
      </c>
      <c r="T30" s="1576" t="s">
        <v>8</v>
      </c>
      <c r="U30" s="1577" t="e">
        <f t="shared" si="13"/>
        <v>#N/A</v>
      </c>
      <c r="V30" s="1576" t="s">
        <v>8</v>
      </c>
      <c r="W30" s="1577" t="e">
        <f t="shared" si="14"/>
        <v>#N/A</v>
      </c>
      <c r="X30" s="1578"/>
      <c r="Y30" s="342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1"/>
      <c r="Q31" s="1571" t="str">
        <f t="shared" si="11"/>
        <v>建筑结构</v>
      </c>
      <c r="R31" s="1572" t="s">
        <v>8</v>
      </c>
      <c r="S31" s="1573">
        <f t="shared" si="12"/>
        <v>100</v>
      </c>
      <c r="T31" s="1572" t="s">
        <v>8</v>
      </c>
      <c r="U31" s="1573">
        <f t="shared" si="13"/>
        <v>100</v>
      </c>
      <c r="V31" s="1572" t="s">
        <v>8</v>
      </c>
      <c r="W31" s="1573">
        <f t="shared" si="14"/>
        <v>100</v>
      </c>
      <c r="X31" s="1566"/>
      <c r="Y31" s="342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1"/>
      <c r="Q32" s="1571" t="str">
        <f t="shared" si="11"/>
        <v>公共部分装修</v>
      </c>
      <c r="R32" s="1572" t="s">
        <v>8</v>
      </c>
      <c r="S32" s="1573">
        <f t="shared" si="12"/>
        <v>100</v>
      </c>
      <c r="T32" s="1572" t="s">
        <v>8</v>
      </c>
      <c r="U32" s="1573">
        <f t="shared" si="13"/>
        <v>100</v>
      </c>
      <c r="V32" s="1572" t="s">
        <v>8</v>
      </c>
      <c r="W32" s="1573">
        <f t="shared" si="14"/>
        <v>100</v>
      </c>
      <c r="X32" s="1566"/>
      <c r="Y32" s="3421"/>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21"/>
      <c r="Q33" s="1571" t="str">
        <f t="shared" si="11"/>
        <v>成新度</v>
      </c>
      <c r="R33" s="1572" t="s">
        <v>8</v>
      </c>
      <c r="S33" s="1573" t="e">
        <f t="shared" si="12"/>
        <v>#N/A</v>
      </c>
      <c r="T33" s="1572" t="s">
        <v>8</v>
      </c>
      <c r="U33" s="1573" t="e">
        <f t="shared" si="13"/>
        <v>#N/A</v>
      </c>
      <c r="V33" s="1572" t="s">
        <v>8</v>
      </c>
      <c r="W33" s="1573" t="e">
        <f t="shared" si="14"/>
        <v>#N/A</v>
      </c>
      <c r="X33" s="1566"/>
      <c r="Y33" s="342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1"/>
      <c r="Q34" s="1150" t="str">
        <f t="shared" si="11"/>
        <v>物业管理</v>
      </c>
      <c r="R34" s="1567" t="s">
        <v>8</v>
      </c>
      <c r="S34" s="1568">
        <f t="shared" si="12"/>
        <v>100</v>
      </c>
      <c r="T34" s="1567" t="s">
        <v>8</v>
      </c>
      <c r="U34" s="1568">
        <f t="shared" si="13"/>
        <v>100</v>
      </c>
      <c r="V34" s="1567" t="s">
        <v>8</v>
      </c>
      <c r="W34" s="1568">
        <f t="shared" si="14"/>
        <v>100</v>
      </c>
      <c r="X34" s="1569"/>
      <c r="Y34" s="3421"/>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1" t="s">
        <v>549</v>
      </c>
      <c r="Q35" s="1571" t="str">
        <f t="shared" si="11"/>
        <v>市政基础设施</v>
      </c>
      <c r="R35" s="1572" t="s">
        <v>8</v>
      </c>
      <c r="S35" s="1573">
        <f t="shared" si="12"/>
        <v>100</v>
      </c>
      <c r="T35" s="1572" t="s">
        <v>8</v>
      </c>
      <c r="U35" s="1573">
        <f t="shared" si="13"/>
        <v>100</v>
      </c>
      <c r="V35" s="1572" t="s">
        <v>8</v>
      </c>
      <c r="W35" s="1573">
        <f t="shared" si="14"/>
        <v>100</v>
      </c>
      <c r="X35" s="1566"/>
      <c r="Y35" s="342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1"/>
      <c r="Q36" s="1571" t="str">
        <f t="shared" si="11"/>
        <v>内部装修</v>
      </c>
      <c r="R36" s="1572" t="s">
        <v>8</v>
      </c>
      <c r="S36" s="1573">
        <f t="shared" si="12"/>
        <v>100</v>
      </c>
      <c r="T36" s="1572" t="s">
        <v>8</v>
      </c>
      <c r="U36" s="1573">
        <f t="shared" si="13"/>
        <v>100</v>
      </c>
      <c r="V36" s="1572" t="s">
        <v>8</v>
      </c>
      <c r="W36" s="1573">
        <f t="shared" si="14"/>
        <v>100</v>
      </c>
      <c r="X36" s="1566"/>
      <c r="Y36" s="342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1"/>
      <c r="Q37" s="1571" t="str">
        <f t="shared" si="11"/>
        <v>内部装修状况</v>
      </c>
      <c r="R37" s="1572" t="s">
        <v>8</v>
      </c>
      <c r="S37" s="1573">
        <f t="shared" si="12"/>
        <v>100</v>
      </c>
      <c r="T37" s="1572" t="s">
        <v>8</v>
      </c>
      <c r="U37" s="1573">
        <f t="shared" si="13"/>
        <v>100</v>
      </c>
      <c r="V37" s="1572" t="s">
        <v>8</v>
      </c>
      <c r="W37" s="1573">
        <f t="shared" si="14"/>
        <v>100</v>
      </c>
      <c r="X37" s="1566"/>
      <c r="Y37" s="3421"/>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1"/>
      <c r="Q38" s="1604">
        <f t="shared" si="11"/>
        <v>111</v>
      </c>
      <c r="R38" s="1576" t="s">
        <v>8</v>
      </c>
      <c r="S38" s="1577">
        <f t="shared" si="12"/>
        <v>100</v>
      </c>
      <c r="T38" s="1576" t="s">
        <v>8</v>
      </c>
      <c r="U38" s="1577">
        <f t="shared" si="13"/>
        <v>100</v>
      </c>
      <c r="V38" s="1576" t="s">
        <v>8</v>
      </c>
      <c r="W38" s="1577">
        <f t="shared" si="14"/>
        <v>100</v>
      </c>
      <c r="X38" s="1578"/>
      <c r="Y38" s="3421"/>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1"/>
      <c r="Q39" s="1571">
        <f t="shared" si="11"/>
        <v>111</v>
      </c>
      <c r="R39" s="1572" t="s">
        <v>8</v>
      </c>
      <c r="S39" s="1573">
        <f t="shared" si="12"/>
        <v>100</v>
      </c>
      <c r="T39" s="1572" t="s">
        <v>8</v>
      </c>
      <c r="U39" s="1573">
        <f t="shared" si="13"/>
        <v>100</v>
      </c>
      <c r="V39" s="1572" t="s">
        <v>8</v>
      </c>
      <c r="W39" s="1573">
        <f t="shared" si="14"/>
        <v>100</v>
      </c>
      <c r="X39" s="1566"/>
      <c r="Y39" s="3421"/>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9"/>
      <c r="Q40" s="1571">
        <f t="shared" si="11"/>
        <v>111</v>
      </c>
      <c r="R40" s="1572" t="s">
        <v>8</v>
      </c>
      <c r="S40" s="1573">
        <f t="shared" si="12"/>
        <v>100</v>
      </c>
      <c r="T40" s="1572" t="s">
        <v>8</v>
      </c>
      <c r="U40" s="1573">
        <f t="shared" si="13"/>
        <v>100</v>
      </c>
      <c r="V40" s="1572" t="s">
        <v>8</v>
      </c>
      <c r="W40" s="1573">
        <f t="shared" si="14"/>
        <v>100</v>
      </c>
      <c r="X40" s="1566"/>
      <c r="Y40" s="3519"/>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416" t="str">
        <f>A41</f>
        <v>成交单价（元/平方米）</v>
      </c>
      <c r="Q41" s="3416"/>
      <c r="R41" s="3518">
        <f>E41</f>
        <v>0</v>
      </c>
      <c r="S41" s="3518"/>
      <c r="T41" s="3518">
        <f>G41</f>
        <v>0</v>
      </c>
      <c r="U41" s="3518"/>
      <c r="V41" s="3518">
        <f>I41</f>
        <v>0</v>
      </c>
      <c r="W41" s="3518"/>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416" t="str">
        <f>A42</f>
        <v>比较价格（元/平方米）</v>
      </c>
      <c r="Q42" s="3416"/>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437" t="str">
        <f>A43</f>
        <v>估价对象XX用房的比较价格（楼面单价，元/平方米）</v>
      </c>
      <c r="Q43" s="3438"/>
      <c r="R43" s="3517" t="e">
        <f>IF(F1="售价",ROUND(AVERAGE(R42:V42),0),ROUND(AVERAGE(R42:V42),1))</f>
        <v>#DIV/0!</v>
      </c>
      <c r="S43" s="3517"/>
      <c r="T43" s="3517"/>
      <c r="U43" s="3517"/>
      <c r="V43" s="3517"/>
      <c r="W43" s="351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2" t="s">
        <v>797</v>
      </c>
      <c r="D4" s="3423"/>
      <c r="E4" s="3422" t="s">
        <v>798</v>
      </c>
      <c r="F4" s="3423"/>
      <c r="G4" s="3422" t="s">
        <v>799</v>
      </c>
      <c r="H4" s="3423"/>
      <c r="I4" s="3422" t="s">
        <v>800</v>
      </c>
      <c r="J4" s="3423"/>
      <c r="K4" s="514" t="s">
        <v>801</v>
      </c>
      <c r="L4" s="2133"/>
      <c r="M4" s="2134"/>
      <c r="N4" s="2134"/>
      <c r="O4" s="2134"/>
      <c r="P4" s="3424" t="s">
        <v>802</v>
      </c>
      <c r="Q4" s="3425"/>
      <c r="R4" s="3410" t="s">
        <v>798</v>
      </c>
      <c r="S4" s="3411"/>
      <c r="T4" s="3410" t="s">
        <v>799</v>
      </c>
      <c r="U4" s="3411"/>
      <c r="V4" s="3430" t="s">
        <v>800</v>
      </c>
      <c r="W4" s="3430"/>
      <c r="X4" s="1566"/>
      <c r="Y4" s="3410" t="s">
        <v>802</v>
      </c>
      <c r="Z4" s="3411"/>
      <c r="AA4" s="3405" t="s">
        <v>798</v>
      </c>
      <c r="AB4" s="3406" t="s">
        <v>799</v>
      </c>
      <c r="AC4" s="3405" t="s">
        <v>800</v>
      </c>
    </row>
    <row r="5" spans="1:29" ht="15">
      <c r="A5" s="515"/>
      <c r="B5" s="516"/>
      <c r="C5" s="3450" t="s">
        <v>2933</v>
      </c>
      <c r="D5" s="3434"/>
      <c r="E5" s="3450" t="s">
        <v>2934</v>
      </c>
      <c r="F5" s="3434"/>
      <c r="G5" s="3450" t="s">
        <v>2935</v>
      </c>
      <c r="H5" s="3434"/>
      <c r="I5" s="3450" t="s">
        <v>2936</v>
      </c>
      <c r="J5" s="3434"/>
      <c r="K5" s="514"/>
      <c r="L5" s="2133"/>
      <c r="M5" s="2134"/>
      <c r="N5" s="2134"/>
      <c r="O5" s="2134"/>
      <c r="P5" s="3426"/>
      <c r="Q5" s="3427"/>
      <c r="R5" s="3412"/>
      <c r="S5" s="3413"/>
      <c r="T5" s="3412"/>
      <c r="U5" s="3413"/>
      <c r="V5" s="3430"/>
      <c r="W5" s="3430"/>
      <c r="X5" s="1566"/>
      <c r="Y5" s="3412"/>
      <c r="Z5" s="3413"/>
      <c r="AA5" s="3406"/>
      <c r="AB5" s="3406"/>
      <c r="AC5" s="3406"/>
    </row>
    <row r="6" spans="1:29" ht="15.75" thickBot="1">
      <c r="A6" s="517"/>
      <c r="B6" s="518"/>
      <c r="C6" s="3431" t="s">
        <v>2937</v>
      </c>
      <c r="D6" s="3432"/>
      <c r="E6" s="3435" t="s">
        <v>2937</v>
      </c>
      <c r="F6" s="3436"/>
      <c r="G6" s="3431" t="s">
        <v>2937</v>
      </c>
      <c r="H6" s="3432"/>
      <c r="I6" s="3431" t="s">
        <v>2937</v>
      </c>
      <c r="J6" s="3432"/>
      <c r="K6" s="514" t="s">
        <v>527</v>
      </c>
      <c r="L6" s="2133"/>
      <c r="M6" s="2134"/>
      <c r="N6" s="2134"/>
      <c r="O6" s="2134"/>
      <c r="P6" s="3428"/>
      <c r="Q6" s="3429"/>
      <c r="R6" s="3412"/>
      <c r="S6" s="3413"/>
      <c r="T6" s="3414"/>
      <c r="U6" s="3415"/>
      <c r="V6" s="3430"/>
      <c r="W6" s="3430"/>
      <c r="X6" s="1566"/>
      <c r="Y6" s="3414"/>
      <c r="Z6" s="3415"/>
      <c r="AA6" s="3407"/>
      <c r="AB6" s="3407"/>
      <c r="AC6" s="3407"/>
    </row>
    <row r="7" spans="1:29" s="1219" customFormat="1" ht="15.75" thickBot="1">
      <c r="A7" s="2912"/>
      <c r="B7" s="2919" t="s">
        <v>528</v>
      </c>
      <c r="C7" s="519">
        <f>'数据-取费表'!B2</f>
        <v>43402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8" t="s">
        <v>529</v>
      </c>
      <c r="Q7" s="3417"/>
      <c r="R7" s="1567" t="s">
        <v>8</v>
      </c>
      <c r="S7" s="1568">
        <f t="shared" ref="S7:S14" si="0">F7</f>
        <v>0</v>
      </c>
      <c r="T7" s="1567" t="s">
        <v>8</v>
      </c>
      <c r="U7" s="1568">
        <f t="shared" ref="U7:U14" si="1">H7</f>
        <v>0</v>
      </c>
      <c r="V7" s="1567" t="s">
        <v>8</v>
      </c>
      <c r="W7" s="1568">
        <f t="shared" ref="W7:W14" si="2">J7</f>
        <v>0</v>
      </c>
      <c r="X7" s="1569"/>
      <c r="Y7" s="3408" t="s">
        <v>529</v>
      </c>
      <c r="Z7" s="3409"/>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8" t="s">
        <v>532</v>
      </c>
      <c r="Q8" s="3409"/>
      <c r="R8" s="1567" t="s">
        <v>8</v>
      </c>
      <c r="S8" s="1568">
        <f t="shared" si="0"/>
        <v>0</v>
      </c>
      <c r="T8" s="1567" t="s">
        <v>8</v>
      </c>
      <c r="U8" s="1568">
        <f t="shared" si="1"/>
        <v>0</v>
      </c>
      <c r="V8" s="1567" t="s">
        <v>8</v>
      </c>
      <c r="W8" s="1568">
        <f t="shared" si="2"/>
        <v>0</v>
      </c>
      <c r="X8" s="1569"/>
      <c r="Y8" s="3408" t="s">
        <v>532</v>
      </c>
      <c r="Z8" s="3409"/>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16" t="s">
        <v>534</v>
      </c>
      <c r="Q9" s="1150" t="str">
        <f t="shared" ref="Q9:Q14" si="6">B9</f>
        <v>用途</v>
      </c>
      <c r="R9" s="1567" t="s">
        <v>8</v>
      </c>
      <c r="S9" s="1568">
        <f t="shared" si="0"/>
        <v>100</v>
      </c>
      <c r="T9" s="1567" t="s">
        <v>8</v>
      </c>
      <c r="U9" s="1568">
        <f t="shared" si="1"/>
        <v>100</v>
      </c>
      <c r="V9" s="1567" t="s">
        <v>8</v>
      </c>
      <c r="W9" s="1568">
        <f t="shared" si="2"/>
        <v>100</v>
      </c>
      <c r="X9" s="1569"/>
      <c r="Y9" s="3373"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16"/>
      <c r="Q10" s="1150" t="str">
        <f t="shared" si="6"/>
        <v>土地使用年限（年）</v>
      </c>
      <c r="R10" s="1567" t="s">
        <v>8</v>
      </c>
      <c r="S10" s="1568">
        <f t="shared" si="0"/>
        <v>100</v>
      </c>
      <c r="T10" s="1567" t="s">
        <v>8</v>
      </c>
      <c r="U10" s="1568">
        <f t="shared" si="1"/>
        <v>100</v>
      </c>
      <c r="V10" s="1567" t="s">
        <v>8</v>
      </c>
      <c r="W10" s="1568">
        <f t="shared" si="2"/>
        <v>100</v>
      </c>
      <c r="X10" s="1569"/>
      <c r="Y10" s="3373"/>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6"/>
      <c r="Q11" s="1150">
        <f t="shared" si="6"/>
        <v>111</v>
      </c>
      <c r="R11" s="1567" t="s">
        <v>8</v>
      </c>
      <c r="S11" s="1568">
        <f t="shared" si="0"/>
        <v>100</v>
      </c>
      <c r="T11" s="1567" t="s">
        <v>8</v>
      </c>
      <c r="U11" s="1568">
        <f t="shared" si="1"/>
        <v>100</v>
      </c>
      <c r="V11" s="1567" t="s">
        <v>8</v>
      </c>
      <c r="W11" s="1568">
        <f t="shared" si="2"/>
        <v>100</v>
      </c>
      <c r="X11" s="1569"/>
      <c r="Y11" s="3373"/>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6"/>
      <c r="Q12" s="1150">
        <f t="shared" si="6"/>
        <v>111</v>
      </c>
      <c r="R12" s="1567" t="s">
        <v>8</v>
      </c>
      <c r="S12" s="1568">
        <f t="shared" si="0"/>
        <v>100</v>
      </c>
      <c r="T12" s="1567" t="s">
        <v>8</v>
      </c>
      <c r="U12" s="1568">
        <f t="shared" si="1"/>
        <v>100</v>
      </c>
      <c r="V12" s="1567" t="s">
        <v>8</v>
      </c>
      <c r="W12" s="1568">
        <f t="shared" si="2"/>
        <v>100</v>
      </c>
      <c r="X12" s="1569"/>
      <c r="Y12" s="3373"/>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6"/>
      <c r="Q13" s="1150">
        <f t="shared" si="6"/>
        <v>111</v>
      </c>
      <c r="R13" s="1567" t="s">
        <v>8</v>
      </c>
      <c r="S13" s="1568">
        <f t="shared" si="0"/>
        <v>100</v>
      </c>
      <c r="T13" s="1567" t="s">
        <v>8</v>
      </c>
      <c r="U13" s="1568">
        <f t="shared" si="1"/>
        <v>100</v>
      </c>
      <c r="V13" s="1567" t="s">
        <v>8</v>
      </c>
      <c r="W13" s="1568">
        <f t="shared" si="2"/>
        <v>100</v>
      </c>
      <c r="X13" s="1569"/>
      <c r="Y13" s="3373"/>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8" t="s">
        <v>539</v>
      </c>
      <c r="Q14" s="1571" t="str">
        <f t="shared" si="6"/>
        <v>交通便捷度</v>
      </c>
      <c r="R14" s="1572" t="s">
        <v>8</v>
      </c>
      <c r="S14" s="1573">
        <f t="shared" si="0"/>
        <v>100</v>
      </c>
      <c r="T14" s="1572" t="s">
        <v>8</v>
      </c>
      <c r="U14" s="1573">
        <f t="shared" si="1"/>
        <v>100</v>
      </c>
      <c r="V14" s="1572" t="s">
        <v>8</v>
      </c>
      <c r="W14" s="1573">
        <f t="shared" si="2"/>
        <v>100</v>
      </c>
      <c r="X14" s="1566"/>
      <c r="Y14" s="3418"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19"/>
      <c r="Q15" s="1571"/>
      <c r="R15" s="1572"/>
      <c r="S15" s="1573"/>
      <c r="T15" s="1572"/>
      <c r="U15" s="1573"/>
      <c r="V15" s="1572"/>
      <c r="W15" s="1573"/>
      <c r="X15" s="1566"/>
      <c r="Y15" s="3419"/>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9"/>
      <c r="Q16" s="1571" t="str">
        <f>B16</f>
        <v>公共配套设施</v>
      </c>
      <c r="R16" s="1572" t="s">
        <v>8</v>
      </c>
      <c r="S16" s="1573">
        <f>F16</f>
        <v>100</v>
      </c>
      <c r="T16" s="1572" t="s">
        <v>8</v>
      </c>
      <c r="U16" s="1573">
        <f>H16</f>
        <v>100</v>
      </c>
      <c r="V16" s="1572" t="s">
        <v>8</v>
      </c>
      <c r="W16" s="1573">
        <f>J16</f>
        <v>100</v>
      </c>
      <c r="X16" s="1566"/>
      <c r="Y16" s="341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19"/>
      <c r="Q17" s="1571"/>
      <c r="R17" s="1572"/>
      <c r="S17" s="1573"/>
      <c r="T17" s="1572"/>
      <c r="U17" s="1573"/>
      <c r="V17" s="1572"/>
      <c r="W17" s="1573"/>
      <c r="X17" s="1566"/>
      <c r="Y17" s="3419"/>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9"/>
      <c r="Q18" s="2579" t="str">
        <f>B18</f>
        <v>基础设施水平</v>
      </c>
      <c r="R18" s="1572" t="s">
        <v>8</v>
      </c>
      <c r="S18" s="1573">
        <f>F18</f>
        <v>100</v>
      </c>
      <c r="T18" s="1572" t="s">
        <v>8</v>
      </c>
      <c r="U18" s="1573">
        <f>H18</f>
        <v>100</v>
      </c>
      <c r="V18" s="1572" t="s">
        <v>8</v>
      </c>
      <c r="W18" s="1573">
        <f>J18</f>
        <v>100</v>
      </c>
      <c r="X18" s="2581"/>
      <c r="Y18" s="3419"/>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19"/>
      <c r="Q19" s="2579"/>
      <c r="R19" s="1572"/>
      <c r="S19" s="1573"/>
      <c r="T19" s="1572"/>
      <c r="U19" s="1573"/>
      <c r="V19" s="1572"/>
      <c r="W19" s="1573"/>
      <c r="X19" s="2581"/>
      <c r="Y19" s="3419"/>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9"/>
      <c r="Q20" s="1571" t="str">
        <f>B20</f>
        <v>自然及人文环境</v>
      </c>
      <c r="R20" s="1572" t="s">
        <v>8</v>
      </c>
      <c r="S20" s="1573">
        <f>F20</f>
        <v>100</v>
      </c>
      <c r="T20" s="1572" t="s">
        <v>8</v>
      </c>
      <c r="U20" s="1573">
        <f>H20</f>
        <v>100</v>
      </c>
      <c r="V20" s="1572" t="s">
        <v>8</v>
      </c>
      <c r="W20" s="1573">
        <f>J20</f>
        <v>100</v>
      </c>
      <c r="X20" s="1566"/>
      <c r="Y20" s="341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19"/>
      <c r="Q21" s="1571"/>
      <c r="R21" s="1572"/>
      <c r="S21" s="1573"/>
      <c r="T21" s="1572"/>
      <c r="U21" s="1573"/>
      <c r="V21" s="1572"/>
      <c r="W21" s="1573"/>
      <c r="X21" s="1566"/>
      <c r="Y21" s="341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9"/>
      <c r="Q22" s="1571" t="str">
        <f>B22</f>
        <v>楼层</v>
      </c>
      <c r="R22" s="1572" t="s">
        <v>8</v>
      </c>
      <c r="S22" s="1573">
        <f>F22</f>
        <v>100</v>
      </c>
      <c r="T22" s="1572" t="s">
        <v>8</v>
      </c>
      <c r="U22" s="1573">
        <f>H22</f>
        <v>100</v>
      </c>
      <c r="V22" s="1572" t="s">
        <v>8</v>
      </c>
      <c r="W22" s="1573">
        <f>J22</f>
        <v>100</v>
      </c>
      <c r="X22" s="1566"/>
      <c r="Y22" s="3419"/>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9"/>
      <c r="Q23" s="1571">
        <f>B23</f>
        <v>111</v>
      </c>
      <c r="R23" s="1572" t="s">
        <v>8</v>
      </c>
      <c r="S23" s="1573">
        <f>F23</f>
        <v>100</v>
      </c>
      <c r="T23" s="1572" t="s">
        <v>8</v>
      </c>
      <c r="U23" s="1573">
        <f>H23</f>
        <v>100</v>
      </c>
      <c r="V23" s="1572" t="s">
        <v>8</v>
      </c>
      <c r="W23" s="1573">
        <f>J23</f>
        <v>100</v>
      </c>
      <c r="X23" s="1566"/>
      <c r="Y23" s="3419"/>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9"/>
      <c r="Q24" s="1571">
        <f t="shared" ref="Q24:Q36" si="11">B24</f>
        <v>111</v>
      </c>
      <c r="R24" s="1572" t="s">
        <v>8</v>
      </c>
      <c r="S24" s="1573">
        <f>F24</f>
        <v>100</v>
      </c>
      <c r="T24" s="1572" t="s">
        <v>8</v>
      </c>
      <c r="U24" s="1573">
        <f>H24</f>
        <v>100</v>
      </c>
      <c r="V24" s="1572" t="s">
        <v>8</v>
      </c>
      <c r="W24" s="1573">
        <f>J24</f>
        <v>100</v>
      </c>
      <c r="X24" s="1566"/>
      <c r="Y24" s="3419"/>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9"/>
      <c r="Q25" s="1150">
        <f t="shared" si="11"/>
        <v>111</v>
      </c>
      <c r="R25" s="1567" t="s">
        <v>8</v>
      </c>
      <c r="S25" s="1568">
        <f>F25</f>
        <v>100</v>
      </c>
      <c r="T25" s="1567" t="s">
        <v>8</v>
      </c>
      <c r="U25" s="1568">
        <f>H25</f>
        <v>100</v>
      </c>
      <c r="V25" s="1567" t="s">
        <v>8</v>
      </c>
      <c r="W25" s="1568">
        <f>J25</f>
        <v>100</v>
      </c>
      <c r="X25" s="1569"/>
      <c r="Y25" s="3419"/>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1"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21"/>
      <c r="Q27" s="1604" t="str">
        <f t="shared" si="11"/>
        <v>项目停车位配比</v>
      </c>
      <c r="R27" s="1576" t="s">
        <v>8</v>
      </c>
      <c r="S27" s="1577">
        <f t="shared" si="12"/>
        <v>100</v>
      </c>
      <c r="T27" s="1576" t="s">
        <v>8</v>
      </c>
      <c r="U27" s="1577">
        <f t="shared" si="13"/>
        <v>100</v>
      </c>
      <c r="V27" s="1576" t="s">
        <v>8</v>
      </c>
      <c r="W27" s="1577">
        <f t="shared" si="14"/>
        <v>100</v>
      </c>
      <c r="X27" s="1578"/>
      <c r="Y27" s="3421"/>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1"/>
      <c r="Q28" s="1571" t="str">
        <f t="shared" si="11"/>
        <v>公共部分装修</v>
      </c>
      <c r="R28" s="1572" t="s">
        <v>8</v>
      </c>
      <c r="S28" s="1573">
        <f t="shared" si="12"/>
        <v>100</v>
      </c>
      <c r="T28" s="1572" t="s">
        <v>8</v>
      </c>
      <c r="U28" s="1573">
        <f t="shared" si="13"/>
        <v>100</v>
      </c>
      <c r="V28" s="1572" t="s">
        <v>8</v>
      </c>
      <c r="W28" s="1573">
        <f t="shared" si="14"/>
        <v>100</v>
      </c>
      <c r="X28" s="1566"/>
      <c r="Y28" s="3421"/>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21"/>
      <c r="Q29" s="1571" t="str">
        <f t="shared" si="11"/>
        <v>成新率</v>
      </c>
      <c r="R29" s="1572" t="s">
        <v>8</v>
      </c>
      <c r="S29" s="1573" t="e">
        <f t="shared" si="12"/>
        <v>#N/A</v>
      </c>
      <c r="T29" s="1572" t="s">
        <v>8</v>
      </c>
      <c r="U29" s="1573" t="e">
        <f t="shared" si="13"/>
        <v>#N/A</v>
      </c>
      <c r="V29" s="1572" t="s">
        <v>8</v>
      </c>
      <c r="W29" s="1573" t="e">
        <f t="shared" si="14"/>
        <v>#N/A</v>
      </c>
      <c r="X29" s="1566"/>
      <c r="Y29" s="3421"/>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21"/>
      <c r="Q30" s="1571" t="str">
        <f t="shared" si="11"/>
        <v>物业等级</v>
      </c>
      <c r="R30" s="1572" t="s">
        <v>8</v>
      </c>
      <c r="S30" s="1573">
        <f t="shared" si="12"/>
        <v>100</v>
      </c>
      <c r="T30" s="1572" t="s">
        <v>8</v>
      </c>
      <c r="U30" s="1573">
        <f t="shared" si="13"/>
        <v>100</v>
      </c>
      <c r="V30" s="1572" t="s">
        <v>8</v>
      </c>
      <c r="W30" s="1573">
        <f t="shared" si="14"/>
        <v>100</v>
      </c>
      <c r="X30" s="1566"/>
      <c r="Y30" s="3421"/>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1"/>
      <c r="Q31" s="1150" t="str">
        <f t="shared" si="11"/>
        <v>停车位面积</v>
      </c>
      <c r="R31" s="1567" t="s">
        <v>8</v>
      </c>
      <c r="S31" s="1568" t="e">
        <f t="shared" si="12"/>
        <v>#N/A</v>
      </c>
      <c r="T31" s="1567" t="s">
        <v>8</v>
      </c>
      <c r="U31" s="1568" t="e">
        <f t="shared" si="13"/>
        <v>#N/A</v>
      </c>
      <c r="V31" s="1567" t="s">
        <v>8</v>
      </c>
      <c r="W31" s="1568" t="e">
        <f t="shared" si="14"/>
        <v>#N/A</v>
      </c>
      <c r="X31" s="1569"/>
      <c r="Y31" s="3421"/>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1" t="s">
        <v>549</v>
      </c>
      <c r="Q32" s="1571" t="str">
        <f t="shared" si="11"/>
        <v>车位类型</v>
      </c>
      <c r="R32" s="1572" t="s">
        <v>8</v>
      </c>
      <c r="S32" s="1573">
        <f t="shared" si="12"/>
        <v>100</v>
      </c>
      <c r="T32" s="1572" t="s">
        <v>8</v>
      </c>
      <c r="U32" s="1573">
        <f t="shared" si="13"/>
        <v>100</v>
      </c>
      <c r="V32" s="1572" t="s">
        <v>8</v>
      </c>
      <c r="W32" s="1573">
        <f t="shared" si="14"/>
        <v>100</v>
      </c>
      <c r="X32" s="1566"/>
      <c r="Y32" s="3421"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1"/>
      <c r="Q33" s="1571" t="str">
        <f t="shared" si="11"/>
        <v>是否直接入户</v>
      </c>
      <c r="R33" s="1572" t="s">
        <v>8</v>
      </c>
      <c r="S33" s="1573">
        <f t="shared" si="12"/>
        <v>100</v>
      </c>
      <c r="T33" s="1572" t="s">
        <v>8</v>
      </c>
      <c r="U33" s="1573">
        <f t="shared" si="13"/>
        <v>100</v>
      </c>
      <c r="V33" s="1572" t="s">
        <v>8</v>
      </c>
      <c r="W33" s="1573">
        <f t="shared" si="14"/>
        <v>100</v>
      </c>
      <c r="X33" s="1566"/>
      <c r="Y33" s="3421"/>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1"/>
      <c r="Q34" s="1571">
        <f t="shared" si="11"/>
        <v>111</v>
      </c>
      <c r="R34" s="1572" t="s">
        <v>8</v>
      </c>
      <c r="S34" s="1573">
        <f t="shared" si="12"/>
        <v>100</v>
      </c>
      <c r="T34" s="1572" t="s">
        <v>8</v>
      </c>
      <c r="U34" s="1573">
        <f t="shared" si="13"/>
        <v>100</v>
      </c>
      <c r="V34" s="1572" t="s">
        <v>8</v>
      </c>
      <c r="W34" s="1573">
        <f t="shared" si="14"/>
        <v>100</v>
      </c>
      <c r="X34" s="1566"/>
      <c r="Y34" s="3421"/>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1"/>
      <c r="Q35" s="1604">
        <f t="shared" si="11"/>
        <v>111</v>
      </c>
      <c r="R35" s="1576" t="s">
        <v>8</v>
      </c>
      <c r="S35" s="1577">
        <f t="shared" si="12"/>
        <v>100</v>
      </c>
      <c r="T35" s="1576" t="s">
        <v>8</v>
      </c>
      <c r="U35" s="1577">
        <f t="shared" si="13"/>
        <v>100</v>
      </c>
      <c r="V35" s="1576" t="s">
        <v>8</v>
      </c>
      <c r="W35" s="1577">
        <f t="shared" si="14"/>
        <v>100</v>
      </c>
      <c r="X35" s="1578"/>
      <c r="Y35" s="3421"/>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1"/>
      <c r="Q36" s="1571">
        <f t="shared" si="11"/>
        <v>111</v>
      </c>
      <c r="R36" s="1572" t="s">
        <v>8</v>
      </c>
      <c r="S36" s="1573">
        <f t="shared" si="12"/>
        <v>100</v>
      </c>
      <c r="T36" s="1572" t="s">
        <v>8</v>
      </c>
      <c r="U36" s="1573">
        <f t="shared" si="13"/>
        <v>100</v>
      </c>
      <c r="V36" s="1572" t="s">
        <v>8</v>
      </c>
      <c r="W36" s="1573">
        <f t="shared" si="14"/>
        <v>100</v>
      </c>
      <c r="X36" s="1566"/>
      <c r="Y36" s="3421"/>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416" t="str">
        <f>A37</f>
        <v>成交单价</v>
      </c>
      <c r="Q37" s="3416"/>
      <c r="R37" s="3518">
        <f>E37</f>
        <v>0</v>
      </c>
      <c r="S37" s="3518"/>
      <c r="T37" s="3518">
        <f>G37</f>
        <v>0</v>
      </c>
      <c r="U37" s="3518"/>
      <c r="V37" s="3518">
        <f>I37</f>
        <v>0</v>
      </c>
      <c r="W37" s="3518"/>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416" t="str">
        <f>A38</f>
        <v>比较价格（元/平方米）</v>
      </c>
      <c r="Q38" s="3416"/>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437" t="str">
        <f>A39</f>
        <v>估价对象XX用房的比较价格（楼面单价，元/平方米）</v>
      </c>
      <c r="Q39" s="3438"/>
      <c r="R39" s="3517" t="e">
        <f>IF(F1="售价",ROUND(AVERAGE(R38:V38),0),ROUND(AVERAGE(R38:V38),1))</f>
        <v>#DIV/0!</v>
      </c>
      <c r="S39" s="3517"/>
      <c r="T39" s="3517"/>
      <c r="U39" s="3517"/>
      <c r="V39" s="3517"/>
      <c r="W39" s="351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5768.8平方米。根据《建设工程规划许可证》[]、《出让合同》[]，估价对象规划建筑面积为20190.8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根据《国有土地使用证》[]，估价对象（分摊）出让国有建设用地使用权面积为5768.8平方米。根据《建设工程规划许可证》[]、《出让合同》[]，估价对象规划建筑面积为20190.8平方米。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22" t="s">
        <v>797</v>
      </c>
      <c r="D4" s="3423"/>
      <c r="E4" s="3446" t="s">
        <v>798</v>
      </c>
      <c r="F4" s="3447"/>
      <c r="G4" s="3422" t="s">
        <v>799</v>
      </c>
      <c r="H4" s="3423"/>
      <c r="I4" s="3422" t="s">
        <v>800</v>
      </c>
      <c r="J4" s="3423"/>
      <c r="K4" s="514" t="s">
        <v>801</v>
      </c>
      <c r="L4" s="2133"/>
      <c r="M4" s="2134"/>
      <c r="N4" s="2134"/>
      <c r="O4" s="2134"/>
      <c r="P4" s="3424" t="s">
        <v>802</v>
      </c>
      <c r="Q4" s="3425"/>
      <c r="R4" s="3410" t="s">
        <v>798</v>
      </c>
      <c r="S4" s="3411"/>
      <c r="T4" s="3410" t="s">
        <v>799</v>
      </c>
      <c r="U4" s="3411"/>
      <c r="V4" s="3430" t="s">
        <v>800</v>
      </c>
      <c r="W4" s="3430"/>
      <c r="X4" s="1566"/>
      <c r="Y4" s="3410" t="s">
        <v>802</v>
      </c>
      <c r="Z4" s="3411"/>
      <c r="AA4" s="3405" t="s">
        <v>798</v>
      </c>
      <c r="AB4" s="3406" t="s">
        <v>799</v>
      </c>
      <c r="AC4" s="3405" t="s">
        <v>800</v>
      </c>
    </row>
    <row r="5" spans="1:29" ht="15">
      <c r="A5" s="515"/>
      <c r="B5" s="516"/>
      <c r="C5" s="3450" t="s">
        <v>2933</v>
      </c>
      <c r="D5" s="3434"/>
      <c r="E5" s="3448" t="s">
        <v>2934</v>
      </c>
      <c r="F5" s="3449"/>
      <c r="G5" s="3450" t="s">
        <v>2935</v>
      </c>
      <c r="H5" s="3434"/>
      <c r="I5" s="3450" t="s">
        <v>2936</v>
      </c>
      <c r="J5" s="3434"/>
      <c r="K5" s="514"/>
      <c r="L5" s="2133"/>
      <c r="M5" s="2134"/>
      <c r="N5" s="2134"/>
      <c r="O5" s="2134"/>
      <c r="P5" s="3426"/>
      <c r="Q5" s="3427"/>
      <c r="R5" s="3412"/>
      <c r="S5" s="3413"/>
      <c r="T5" s="3412"/>
      <c r="U5" s="3413"/>
      <c r="V5" s="3430"/>
      <c r="W5" s="3430"/>
      <c r="X5" s="1566"/>
      <c r="Y5" s="3412"/>
      <c r="Z5" s="3413"/>
      <c r="AA5" s="3406"/>
      <c r="AB5" s="3406"/>
      <c r="AC5" s="3406"/>
    </row>
    <row r="6" spans="1:29" ht="15.75" thickBot="1">
      <c r="A6" s="517"/>
      <c r="B6" s="518"/>
      <c r="C6" s="3431" t="s">
        <v>2937</v>
      </c>
      <c r="D6" s="3432"/>
      <c r="E6" s="3451" t="s">
        <v>2937</v>
      </c>
      <c r="F6" s="3452"/>
      <c r="G6" s="3431" t="s">
        <v>2937</v>
      </c>
      <c r="H6" s="3432"/>
      <c r="I6" s="3431" t="s">
        <v>2937</v>
      </c>
      <c r="J6" s="3432"/>
      <c r="K6" s="514" t="s">
        <v>527</v>
      </c>
      <c r="L6" s="2133"/>
      <c r="M6" s="2134"/>
      <c r="N6" s="2134"/>
      <c r="O6" s="2134"/>
      <c r="P6" s="3428"/>
      <c r="Q6" s="3429"/>
      <c r="R6" s="3412"/>
      <c r="S6" s="3413"/>
      <c r="T6" s="3414"/>
      <c r="U6" s="3415"/>
      <c r="V6" s="3430"/>
      <c r="W6" s="3430"/>
      <c r="X6" s="1566"/>
      <c r="Y6" s="3414"/>
      <c r="Z6" s="3415"/>
      <c r="AA6" s="3407"/>
      <c r="AB6" s="3407"/>
      <c r="AC6" s="3407"/>
    </row>
    <row r="7" spans="1:29" s="1219" customFormat="1" ht="15.75" thickBot="1">
      <c r="A7" s="2912"/>
      <c r="B7" s="2919" t="s">
        <v>528</v>
      </c>
      <c r="C7" s="519">
        <f>'数据-取费表'!B2</f>
        <v>43402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8" t="s">
        <v>529</v>
      </c>
      <c r="Q7" s="3417"/>
      <c r="R7" s="1567" t="s">
        <v>8</v>
      </c>
      <c r="S7" s="1568">
        <f t="shared" ref="S7:S14" si="0">F7</f>
        <v>0</v>
      </c>
      <c r="T7" s="1567" t="s">
        <v>8</v>
      </c>
      <c r="U7" s="1568">
        <f t="shared" ref="U7:U14" si="1">H7</f>
        <v>0</v>
      </c>
      <c r="V7" s="1567" t="s">
        <v>8</v>
      </c>
      <c r="W7" s="1568">
        <f t="shared" ref="W7:W14" si="2">J7</f>
        <v>0</v>
      </c>
      <c r="X7" s="1569"/>
      <c r="Y7" s="3408" t="s">
        <v>529</v>
      </c>
      <c r="Z7" s="3409"/>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8" t="s">
        <v>532</v>
      </c>
      <c r="Q8" s="3409"/>
      <c r="R8" s="1567" t="s">
        <v>8</v>
      </c>
      <c r="S8" s="1568">
        <f t="shared" si="0"/>
        <v>0</v>
      </c>
      <c r="T8" s="1567" t="s">
        <v>8</v>
      </c>
      <c r="U8" s="1568">
        <f t="shared" si="1"/>
        <v>0</v>
      </c>
      <c r="V8" s="1567" t="s">
        <v>8</v>
      </c>
      <c r="W8" s="1568">
        <f t="shared" si="2"/>
        <v>0</v>
      </c>
      <c r="X8" s="1569"/>
      <c r="Y8" s="3408" t="s">
        <v>532</v>
      </c>
      <c r="Z8" s="3409"/>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6" t="s">
        <v>534</v>
      </c>
      <c r="Q9" s="1150" t="str">
        <f t="shared" ref="Q9:Q14" si="6">B9</f>
        <v>用途</v>
      </c>
      <c r="R9" s="1567" t="s">
        <v>8</v>
      </c>
      <c r="S9" s="1568">
        <f t="shared" si="0"/>
        <v>100</v>
      </c>
      <c r="T9" s="1567" t="s">
        <v>8</v>
      </c>
      <c r="U9" s="1568">
        <f t="shared" si="1"/>
        <v>100</v>
      </c>
      <c r="V9" s="1567" t="s">
        <v>8</v>
      </c>
      <c r="W9" s="1568">
        <f t="shared" si="2"/>
        <v>100</v>
      </c>
      <c r="X9" s="1569"/>
      <c r="Y9" s="3373"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6"/>
      <c r="Q10" s="1150" t="str">
        <f t="shared" si="6"/>
        <v>土地使用年限（年）</v>
      </c>
      <c r="R10" s="1567" t="s">
        <v>8</v>
      </c>
      <c r="S10" s="1568">
        <f t="shared" si="0"/>
        <v>100</v>
      </c>
      <c r="T10" s="1567" t="s">
        <v>8</v>
      </c>
      <c r="U10" s="1568">
        <f t="shared" si="1"/>
        <v>100</v>
      </c>
      <c r="V10" s="1567" t="s">
        <v>8</v>
      </c>
      <c r="W10" s="1568">
        <f t="shared" si="2"/>
        <v>100</v>
      </c>
      <c r="X10" s="1569"/>
      <c r="Y10" s="3373"/>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6"/>
      <c r="Q11" s="1150">
        <f t="shared" si="6"/>
        <v>111</v>
      </c>
      <c r="R11" s="1567" t="s">
        <v>8</v>
      </c>
      <c r="S11" s="1568">
        <f t="shared" si="0"/>
        <v>100</v>
      </c>
      <c r="T11" s="1567" t="s">
        <v>8</v>
      </c>
      <c r="U11" s="1568">
        <f t="shared" si="1"/>
        <v>100</v>
      </c>
      <c r="V11" s="1567" t="s">
        <v>8</v>
      </c>
      <c r="W11" s="1568">
        <f t="shared" si="2"/>
        <v>100</v>
      </c>
      <c r="X11" s="1569"/>
      <c r="Y11" s="3373"/>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6"/>
      <c r="Q12" s="1150">
        <f t="shared" si="6"/>
        <v>111</v>
      </c>
      <c r="R12" s="1567" t="s">
        <v>8</v>
      </c>
      <c r="S12" s="1568">
        <f t="shared" si="0"/>
        <v>100</v>
      </c>
      <c r="T12" s="1567" t="s">
        <v>8</v>
      </c>
      <c r="U12" s="1568">
        <f t="shared" si="1"/>
        <v>100</v>
      </c>
      <c r="V12" s="1567" t="s">
        <v>8</v>
      </c>
      <c r="W12" s="1568">
        <f t="shared" si="2"/>
        <v>100</v>
      </c>
      <c r="X12" s="1569"/>
      <c r="Y12" s="3373"/>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6"/>
      <c r="Q13" s="1150">
        <f t="shared" si="6"/>
        <v>111</v>
      </c>
      <c r="R13" s="1567" t="s">
        <v>8</v>
      </c>
      <c r="S13" s="1568">
        <f t="shared" si="0"/>
        <v>100</v>
      </c>
      <c r="T13" s="1567" t="s">
        <v>8</v>
      </c>
      <c r="U13" s="1568">
        <f t="shared" si="1"/>
        <v>100</v>
      </c>
      <c r="V13" s="1567" t="s">
        <v>8</v>
      </c>
      <c r="W13" s="1568">
        <f t="shared" si="2"/>
        <v>100</v>
      </c>
      <c r="X13" s="1569"/>
      <c r="Y13" s="3373"/>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8" t="s">
        <v>539</v>
      </c>
      <c r="Q14" s="1571" t="str">
        <f t="shared" si="6"/>
        <v>交通便捷度</v>
      </c>
      <c r="R14" s="1572" t="s">
        <v>8</v>
      </c>
      <c r="S14" s="1573">
        <f t="shared" si="0"/>
        <v>100</v>
      </c>
      <c r="T14" s="1572" t="s">
        <v>8</v>
      </c>
      <c r="U14" s="1573">
        <f t="shared" si="1"/>
        <v>100</v>
      </c>
      <c r="V14" s="1572" t="s">
        <v>8</v>
      </c>
      <c r="W14" s="1573">
        <f t="shared" si="2"/>
        <v>100</v>
      </c>
      <c r="X14" s="1566"/>
      <c r="Y14" s="341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19"/>
      <c r="Q15" s="1571"/>
      <c r="R15" s="1572"/>
      <c r="S15" s="1573"/>
      <c r="T15" s="1572"/>
      <c r="U15" s="1573"/>
      <c r="V15" s="1572"/>
      <c r="W15" s="1573"/>
      <c r="X15" s="1566"/>
      <c r="Y15" s="3419"/>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9"/>
      <c r="Q16" s="1571" t="str">
        <f>B16</f>
        <v>公共配套设施</v>
      </c>
      <c r="R16" s="1572" t="s">
        <v>8</v>
      </c>
      <c r="S16" s="1573">
        <f>F16</f>
        <v>100</v>
      </c>
      <c r="T16" s="1572" t="s">
        <v>8</v>
      </c>
      <c r="U16" s="1573">
        <f>H16</f>
        <v>100</v>
      </c>
      <c r="V16" s="1572" t="s">
        <v>8</v>
      </c>
      <c r="W16" s="1573">
        <f>J16</f>
        <v>100</v>
      </c>
      <c r="X16" s="1566"/>
      <c r="Y16" s="341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19"/>
      <c r="Q17" s="1571"/>
      <c r="R17" s="1572"/>
      <c r="S17" s="1573"/>
      <c r="T17" s="1572"/>
      <c r="U17" s="1573"/>
      <c r="V17" s="1572"/>
      <c r="W17" s="1573"/>
      <c r="X17" s="1566"/>
      <c r="Y17" s="3419"/>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9"/>
      <c r="Q18" s="2579" t="str">
        <f>B18</f>
        <v>基础设施水平</v>
      </c>
      <c r="R18" s="1572" t="s">
        <v>8</v>
      </c>
      <c r="S18" s="1573">
        <f>F18</f>
        <v>100</v>
      </c>
      <c r="T18" s="1572" t="s">
        <v>8</v>
      </c>
      <c r="U18" s="1573">
        <f>H18</f>
        <v>100</v>
      </c>
      <c r="V18" s="1572" t="s">
        <v>8</v>
      </c>
      <c r="W18" s="1573">
        <f>J18</f>
        <v>100</v>
      </c>
      <c r="X18" s="2581"/>
      <c r="Y18" s="3419"/>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19"/>
      <c r="Q19" s="2579"/>
      <c r="R19" s="1572"/>
      <c r="S19" s="1573"/>
      <c r="T19" s="1572"/>
      <c r="U19" s="1573"/>
      <c r="V19" s="1572"/>
      <c r="W19" s="1573"/>
      <c r="X19" s="2581"/>
      <c r="Y19" s="3419"/>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9"/>
      <c r="Q20" s="1571" t="str">
        <f>B20</f>
        <v>自然及人文环境</v>
      </c>
      <c r="R20" s="1572" t="s">
        <v>8</v>
      </c>
      <c r="S20" s="1573">
        <f>F20</f>
        <v>100</v>
      </c>
      <c r="T20" s="1572" t="s">
        <v>8</v>
      </c>
      <c r="U20" s="1573">
        <f>H20</f>
        <v>100</v>
      </c>
      <c r="V20" s="1572" t="s">
        <v>8</v>
      </c>
      <c r="W20" s="1573">
        <f>J20</f>
        <v>100</v>
      </c>
      <c r="X20" s="1566"/>
      <c r="Y20" s="341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19"/>
      <c r="Q21" s="1571"/>
      <c r="R21" s="1572"/>
      <c r="S21" s="1573"/>
      <c r="T21" s="1572"/>
      <c r="U21" s="1573"/>
      <c r="V21" s="1572"/>
      <c r="W21" s="1573"/>
      <c r="X21" s="1566"/>
      <c r="Y21" s="341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9"/>
      <c r="Q22" s="1571" t="str">
        <f>B22</f>
        <v>楼层</v>
      </c>
      <c r="R22" s="1572" t="s">
        <v>8</v>
      </c>
      <c r="S22" s="1573">
        <f>F22</f>
        <v>100</v>
      </c>
      <c r="T22" s="1572" t="s">
        <v>8</v>
      </c>
      <c r="U22" s="1573">
        <f>H22</f>
        <v>100</v>
      </c>
      <c r="V22" s="1572" t="s">
        <v>8</v>
      </c>
      <c r="W22" s="1573">
        <f>J22</f>
        <v>100</v>
      </c>
      <c r="X22" s="1566"/>
      <c r="Y22" s="341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9"/>
      <c r="Q23" s="1571">
        <f>B23</f>
        <v>111</v>
      </c>
      <c r="R23" s="1572" t="s">
        <v>8</v>
      </c>
      <c r="S23" s="1573">
        <f>F23</f>
        <v>100</v>
      </c>
      <c r="T23" s="1572" t="s">
        <v>8</v>
      </c>
      <c r="U23" s="1573">
        <f>H23</f>
        <v>100</v>
      </c>
      <c r="V23" s="1572" t="s">
        <v>8</v>
      </c>
      <c r="W23" s="1573">
        <f>J23</f>
        <v>100</v>
      </c>
      <c r="X23" s="1566"/>
      <c r="Y23" s="341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9"/>
      <c r="Q24" s="1571">
        <f t="shared" ref="Q24:Q34" si="11">B24</f>
        <v>111</v>
      </c>
      <c r="R24" s="1572" t="s">
        <v>8</v>
      </c>
      <c r="S24" s="1573">
        <f>F24</f>
        <v>100</v>
      </c>
      <c r="T24" s="1572" t="s">
        <v>8</v>
      </c>
      <c r="U24" s="1573">
        <f>H24</f>
        <v>100</v>
      </c>
      <c r="V24" s="1572" t="s">
        <v>8</v>
      </c>
      <c r="W24" s="1573">
        <f>J24</f>
        <v>100</v>
      </c>
      <c r="X24" s="1566"/>
      <c r="Y24" s="3419"/>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9"/>
      <c r="Q25" s="1150">
        <f t="shared" si="11"/>
        <v>111</v>
      </c>
      <c r="R25" s="1567" t="s">
        <v>8</v>
      </c>
      <c r="S25" s="1568">
        <f>F25</f>
        <v>100</v>
      </c>
      <c r="T25" s="1567" t="s">
        <v>8</v>
      </c>
      <c r="U25" s="1568">
        <f>H25</f>
        <v>100</v>
      </c>
      <c r="V25" s="1567" t="s">
        <v>8</v>
      </c>
      <c r="W25" s="1568">
        <f>J25</f>
        <v>100</v>
      </c>
      <c r="X25" s="1569"/>
      <c r="Y25" s="3419"/>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2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1"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21"/>
      <c r="Q27" s="1604" t="str">
        <f t="shared" si="11"/>
        <v>成新率</v>
      </c>
      <c r="R27" s="1576" t="s">
        <v>8</v>
      </c>
      <c r="S27" s="1577" t="e">
        <f t="shared" si="12"/>
        <v>#N/A</v>
      </c>
      <c r="T27" s="1576" t="s">
        <v>8</v>
      </c>
      <c r="U27" s="1577" t="e">
        <f t="shared" si="13"/>
        <v>#N/A</v>
      </c>
      <c r="V27" s="1576" t="s">
        <v>8</v>
      </c>
      <c r="W27" s="1577" t="e">
        <f t="shared" si="14"/>
        <v>#N/A</v>
      </c>
      <c r="X27" s="1578"/>
      <c r="Y27" s="342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1"/>
      <c r="Q28" s="1571" t="str">
        <f t="shared" si="11"/>
        <v>物业等级</v>
      </c>
      <c r="R28" s="1572" t="s">
        <v>8</v>
      </c>
      <c r="S28" s="1573">
        <f t="shared" si="12"/>
        <v>100</v>
      </c>
      <c r="T28" s="1572" t="s">
        <v>8</v>
      </c>
      <c r="U28" s="1573">
        <f t="shared" si="13"/>
        <v>100</v>
      </c>
      <c r="V28" s="1572" t="s">
        <v>8</v>
      </c>
      <c r="W28" s="1573">
        <f t="shared" si="14"/>
        <v>100</v>
      </c>
      <c r="X28" s="1566"/>
      <c r="Y28" s="3421"/>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21"/>
      <c r="Q29" s="1571" t="str">
        <f t="shared" si="11"/>
        <v>有无电梯</v>
      </c>
      <c r="R29" s="1572" t="s">
        <v>8</v>
      </c>
      <c r="S29" s="1573">
        <f t="shared" si="12"/>
        <v>100</v>
      </c>
      <c r="T29" s="1572" t="s">
        <v>8</v>
      </c>
      <c r="U29" s="1573">
        <f t="shared" si="13"/>
        <v>100</v>
      </c>
      <c r="V29" s="1572" t="s">
        <v>8</v>
      </c>
      <c r="W29" s="1573">
        <f t="shared" si="14"/>
        <v>100</v>
      </c>
      <c r="X29" s="1566"/>
      <c r="Y29" s="3421"/>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1"/>
      <c r="Q30" s="1571" t="str">
        <f t="shared" si="11"/>
        <v>建筑面积</v>
      </c>
      <c r="R30" s="1572" t="s">
        <v>8</v>
      </c>
      <c r="S30" s="1573" t="e">
        <f t="shared" si="12"/>
        <v>#N/A</v>
      </c>
      <c r="T30" s="1572" t="s">
        <v>8</v>
      </c>
      <c r="U30" s="1573" t="e">
        <f t="shared" si="13"/>
        <v>#N/A</v>
      </c>
      <c r="V30" s="1572" t="s">
        <v>8</v>
      </c>
      <c r="W30" s="1573" t="e">
        <f t="shared" si="14"/>
        <v>#N/A</v>
      </c>
      <c r="X30" s="1566"/>
      <c r="Y30" s="3421"/>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21"/>
      <c r="Q31" s="1150" t="str">
        <f t="shared" si="11"/>
        <v>是否封闭</v>
      </c>
      <c r="R31" s="1567" t="s">
        <v>8</v>
      </c>
      <c r="S31" s="1568">
        <f t="shared" si="12"/>
        <v>100</v>
      </c>
      <c r="T31" s="1567" t="s">
        <v>8</v>
      </c>
      <c r="U31" s="1568">
        <f t="shared" si="13"/>
        <v>100</v>
      </c>
      <c r="V31" s="1567" t="s">
        <v>8</v>
      </c>
      <c r="W31" s="1568">
        <f t="shared" si="14"/>
        <v>100</v>
      </c>
      <c r="X31" s="1569"/>
      <c r="Y31" s="3421"/>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1" t="s">
        <v>549</v>
      </c>
      <c r="Q32" s="1571">
        <f t="shared" si="11"/>
        <v>111</v>
      </c>
      <c r="R32" s="1572" t="s">
        <v>8</v>
      </c>
      <c r="S32" s="1573">
        <f t="shared" si="12"/>
        <v>100</v>
      </c>
      <c r="T32" s="1572" t="s">
        <v>8</v>
      </c>
      <c r="U32" s="1573">
        <f t="shared" si="13"/>
        <v>100</v>
      </c>
      <c r="V32" s="1572" t="s">
        <v>8</v>
      </c>
      <c r="W32" s="1573">
        <f t="shared" si="14"/>
        <v>100</v>
      </c>
      <c r="X32" s="1566"/>
      <c r="Y32" s="3421"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1"/>
      <c r="Q33" s="1571">
        <f t="shared" si="11"/>
        <v>111</v>
      </c>
      <c r="R33" s="1572" t="s">
        <v>8</v>
      </c>
      <c r="S33" s="1573">
        <f t="shared" si="12"/>
        <v>100</v>
      </c>
      <c r="T33" s="1572" t="s">
        <v>8</v>
      </c>
      <c r="U33" s="1573">
        <f t="shared" si="13"/>
        <v>100</v>
      </c>
      <c r="V33" s="1572" t="s">
        <v>8</v>
      </c>
      <c r="W33" s="1573">
        <f t="shared" si="14"/>
        <v>100</v>
      </c>
      <c r="X33" s="1566"/>
      <c r="Y33" s="3421"/>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21"/>
      <c r="Q34" s="1571">
        <f t="shared" si="11"/>
        <v>111</v>
      </c>
      <c r="R34" s="1572" t="s">
        <v>8</v>
      </c>
      <c r="S34" s="1573">
        <f t="shared" si="12"/>
        <v>100</v>
      </c>
      <c r="T34" s="1572" t="s">
        <v>8</v>
      </c>
      <c r="U34" s="1573">
        <f t="shared" si="13"/>
        <v>100</v>
      </c>
      <c r="V34" s="1572" t="s">
        <v>8</v>
      </c>
      <c r="W34" s="1573">
        <f t="shared" si="14"/>
        <v>100</v>
      </c>
      <c r="X34" s="1566"/>
      <c r="Y34" s="3421"/>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416" t="str">
        <f>A35</f>
        <v>成交单价（元/平方米）</v>
      </c>
      <c r="Q35" s="3416"/>
      <c r="R35" s="3518">
        <f>E35</f>
        <v>0</v>
      </c>
      <c r="S35" s="3518"/>
      <c r="T35" s="3518">
        <f>G35</f>
        <v>0</v>
      </c>
      <c r="U35" s="3518"/>
      <c r="V35" s="3518">
        <f>I35</f>
        <v>0</v>
      </c>
      <c r="W35" s="3518"/>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416" t="str">
        <f>A36</f>
        <v>比较价格（元/平方米）</v>
      </c>
      <c r="Q36" s="3416"/>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437" t="str">
        <f>A37</f>
        <v>估价对象XX用房的比较价格（楼面单价，元/平方米）</v>
      </c>
      <c r="Q37" s="3438"/>
      <c r="R37" s="3517" t="e">
        <f>IF(F1="售价",ROUND(AVERAGE(R36:V36),0),ROUND(AVERAGE(R36:V36),1))</f>
        <v>#DIV/0!</v>
      </c>
      <c r="S37" s="3517"/>
      <c r="T37" s="3517"/>
      <c r="U37" s="3517"/>
      <c r="V37" s="3517"/>
      <c r="W37" s="351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2" sqref="B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10.375" style="1217" customWidth="1"/>
    <col min="8" max="8" width="9" style="1217"/>
    <col min="9" max="9" width="8.625" style="1217" customWidth="1"/>
    <col min="10" max="10" width="9" style="1217"/>
    <col min="11" max="11" width="7.37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7" t="s">
        <v>2306</v>
      </c>
      <c r="D1" s="3528"/>
      <c r="E1" s="3528"/>
      <c r="F1" s="3528"/>
      <c r="G1" s="3528"/>
      <c r="H1" s="3528"/>
      <c r="I1" s="3528"/>
      <c r="J1" s="3528"/>
      <c r="K1" s="3528"/>
      <c r="L1" s="3528"/>
      <c r="M1" s="3528"/>
      <c r="N1" s="3528"/>
      <c r="O1" s="3528"/>
      <c r="P1" s="3528"/>
      <c r="Q1" s="3528"/>
      <c r="R1" s="3528"/>
      <c r="S1" s="3529"/>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0(含)-2000</v>
      </c>
      <c r="D2" s="951" t="str">
        <f t="shared" si="0"/>
        <v>2000(含)-5000</v>
      </c>
      <c r="E2" s="951" t="str">
        <f t="shared" si="0"/>
        <v>5000(含)-10000</v>
      </c>
      <c r="F2" s="951" t="str">
        <f t="shared" si="0"/>
        <v>10000(含)-15000</v>
      </c>
      <c r="G2" s="951" t="str">
        <f t="shared" si="0"/>
        <v>15000(含)-20000</v>
      </c>
      <c r="H2" s="951" t="str">
        <f t="shared" si="0"/>
        <v>20000(含)-30000</v>
      </c>
      <c r="I2" s="951" t="str">
        <f t="shared" si="0"/>
        <v>30000(含)-50000</v>
      </c>
      <c r="J2" s="951" t="str">
        <f t="shared" si="0"/>
        <v>50000(含)-100000</v>
      </c>
      <c r="K2" s="951" t="str">
        <f t="shared" si="0"/>
        <v>100000(含)-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t="14.25">
      <c r="A3" s="2238"/>
      <c r="B3" s="953"/>
      <c r="C3" s="730">
        <v>0</v>
      </c>
      <c r="D3" s="730">
        <v>2000</v>
      </c>
      <c r="E3" s="730">
        <v>5000</v>
      </c>
      <c r="F3" s="730">
        <v>10000</v>
      </c>
      <c r="G3" s="730">
        <v>15000</v>
      </c>
      <c r="H3" s="730">
        <v>20000</v>
      </c>
      <c r="I3" s="730">
        <v>30000</v>
      </c>
      <c r="J3" s="2367">
        <v>50000</v>
      </c>
      <c r="K3" s="2367">
        <v>100000</v>
      </c>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5" thickBot="1">
      <c r="A4" s="2243"/>
      <c r="B4" s="2244"/>
      <c r="C4" s="700">
        <v>84</v>
      </c>
      <c r="D4" s="726">
        <v>86</v>
      </c>
      <c r="E4" s="726">
        <v>88</v>
      </c>
      <c r="F4" s="700">
        <v>90</v>
      </c>
      <c r="G4" s="726">
        <v>92</v>
      </c>
      <c r="H4" s="726">
        <v>94</v>
      </c>
      <c r="I4" s="726">
        <v>96</v>
      </c>
      <c r="J4" s="726">
        <v>98</v>
      </c>
      <c r="K4" s="726">
        <v>100</v>
      </c>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idden="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hidden="1"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idden="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hidden="1"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idden="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hidden="1"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idden="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hidden="1"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idden="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hidden="1"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idden="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hidden="1"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hidden="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hidden="1"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 ca="1">S22</f>
        <v>15000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f ca="1">R22</f>
        <v>1002</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149672.77500000002</v>
      </c>
      <c r="C22" s="3524" t="s">
        <v>20</v>
      </c>
      <c r="D22" s="3525"/>
      <c r="E22" s="3525"/>
      <c r="F22" s="3525"/>
      <c r="G22" s="3525"/>
      <c r="H22" s="3525"/>
      <c r="I22" s="3525"/>
      <c r="J22" s="3525"/>
      <c r="K22" s="3525"/>
      <c r="L22" s="3525"/>
      <c r="M22" s="3525"/>
      <c r="N22" s="3525"/>
      <c r="O22" s="3525"/>
      <c r="P22" s="3525"/>
      <c r="Q22" s="3526"/>
      <c r="R22" s="490">
        <f ca="1">ROUND(S22*10000/B22,0)</f>
        <v>1002</v>
      </c>
      <c r="S22" s="53">
        <f ca="1">SUM(S24:S10000)</f>
        <v>15000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tr">
        <f>面积表!C7</f>
        <v>C-05-02地块</v>
      </c>
      <c r="B24" s="961">
        <v>20190.8</v>
      </c>
      <c r="C24" s="962">
        <v>1</v>
      </c>
      <c r="D24" s="963"/>
      <c r="E24" s="962">
        <v>1</v>
      </c>
      <c r="F24" s="963"/>
      <c r="G24" s="962">
        <v>1</v>
      </c>
      <c r="H24" s="963"/>
      <c r="I24" s="962">
        <v>1</v>
      </c>
      <c r="J24" s="963"/>
      <c r="K24" s="962">
        <v>1</v>
      </c>
      <c r="L24" s="963"/>
      <c r="M24" s="962">
        <v>1</v>
      </c>
      <c r="N24" s="963"/>
      <c r="O24" s="962">
        <v>1</v>
      </c>
      <c r="P24" s="963"/>
      <c r="Q24" s="962">
        <v>1</v>
      </c>
      <c r="R24" s="964">
        <f ca="1">结果表!C33</f>
        <v>961</v>
      </c>
      <c r="S24" s="962">
        <f t="shared" ref="S24:S54" ca="1" si="11">ROUND(R24*B24/10000,0)</f>
        <v>1940</v>
      </c>
      <c r="T24" s="1973"/>
      <c r="U24" s="1973"/>
      <c r="V24" s="1973"/>
      <c r="W24" s="1973"/>
      <c r="X24" s="1973"/>
      <c r="Y24" s="1973"/>
      <c r="Z24" s="1973"/>
      <c r="AA24" s="1973"/>
      <c r="AB24" s="1973"/>
      <c r="AC24" s="1973"/>
      <c r="AD24" s="1973"/>
      <c r="AE24" s="1973"/>
      <c r="AF24" s="1973"/>
      <c r="AG24" s="1973"/>
      <c r="AH24" s="1973"/>
      <c r="AI24" s="1973"/>
    </row>
    <row r="25" spans="1:45">
      <c r="A25" s="965" t="str">
        <f>面积表!C10</f>
        <v>C-05-03地块</v>
      </c>
      <c r="B25" s="137">
        <v>106431.46500000001</v>
      </c>
      <c r="C25" s="53">
        <f>IF(B25="",1,(LOOKUP(B25,$3:$3,$4:$4)-LOOKUP($B$24,$3:$3,$4:$4)+100)/100)</f>
        <v>1.06</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1019</v>
      </c>
      <c r="S25" s="799">
        <f t="shared" ca="1" si="11"/>
        <v>10845</v>
      </c>
    </row>
    <row r="26" spans="1:45">
      <c r="A26" s="965" t="str">
        <f>面积表!C12</f>
        <v>C-05-08地块</v>
      </c>
      <c r="B26" s="137">
        <v>23050.51</v>
      </c>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961</v>
      </c>
      <c r="S26" s="799">
        <f t="shared" ca="1" si="11"/>
        <v>2215</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43402</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32" sqref="V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7" t="s">
        <v>2306</v>
      </c>
      <c r="D1" s="3528"/>
      <c r="E1" s="3528"/>
      <c r="F1" s="3528"/>
      <c r="G1" s="3528"/>
      <c r="H1" s="3528"/>
      <c r="I1" s="3528"/>
      <c r="J1" s="3528"/>
      <c r="K1" s="3528"/>
      <c r="L1" s="3528"/>
      <c r="M1" s="3528"/>
      <c r="N1" s="3528"/>
      <c r="O1" s="3528"/>
      <c r="P1" s="3528"/>
      <c r="Q1" s="3528"/>
      <c r="R1" s="3528"/>
      <c r="S1" s="3529"/>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7" t="s">
        <v>2306</v>
      </c>
      <c r="D1" s="3528"/>
      <c r="E1" s="3528"/>
      <c r="F1" s="3528"/>
      <c r="G1" s="3528"/>
      <c r="H1" s="3528"/>
      <c r="I1" s="3528"/>
      <c r="J1" s="3528"/>
      <c r="K1" s="3528"/>
      <c r="L1" s="3528"/>
      <c r="M1" s="3528"/>
      <c r="N1" s="3528"/>
      <c r="O1" s="3528"/>
      <c r="P1" s="3528"/>
      <c r="Q1" s="3528"/>
      <c r="R1" s="3528"/>
      <c r="S1" s="3529"/>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24" t="s">
        <v>20</v>
      </c>
      <c r="D22" s="3525"/>
      <c r="E22" s="3525"/>
      <c r="F22" s="3525"/>
      <c r="G22" s="3525"/>
      <c r="H22" s="3525"/>
      <c r="I22" s="3525"/>
      <c r="J22" s="3525"/>
      <c r="K22" s="3525"/>
      <c r="L22" s="3525"/>
      <c r="M22" s="3525"/>
      <c r="N22" s="3525"/>
      <c r="O22" s="3525"/>
      <c r="P22" s="3525"/>
      <c r="Q22" s="3526"/>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4:O42"/>
  <sheetViews>
    <sheetView topLeftCell="C31" workbookViewId="0">
      <selection activeCell="A7" sqref="A7:G12"/>
    </sheetView>
  </sheetViews>
  <sheetFormatPr defaultRowHeight="13.5"/>
  <cols>
    <col min="2" max="2" width="27.25" customWidth="1"/>
    <col min="3" max="3" width="22.25" customWidth="1"/>
    <col min="5" max="5" width="13.25" style="3224" bestFit="1" customWidth="1"/>
    <col min="6" max="6" width="13" customWidth="1"/>
  </cols>
  <sheetData>
    <row r="4" spans="1:8" ht="20.25">
      <c r="A4" s="3204" t="s">
        <v>3140</v>
      </c>
      <c r="B4" s="3205"/>
      <c r="C4" s="3205"/>
      <c r="D4" s="3205"/>
      <c r="E4" s="3220"/>
      <c r="F4" s="3205"/>
      <c r="G4" s="3205"/>
      <c r="H4" s="3205"/>
    </row>
    <row r="5" spans="1:8" ht="20.25">
      <c r="A5" s="3530" t="s">
        <v>3141</v>
      </c>
      <c r="B5" s="3530"/>
      <c r="C5" s="3530"/>
      <c r="D5" s="3530"/>
      <c r="E5" s="3530"/>
      <c r="F5" s="3530"/>
      <c r="G5" s="3205"/>
      <c r="H5" s="3205"/>
    </row>
    <row r="6" spans="1:8" ht="14.25">
      <c r="A6" s="3206" t="s">
        <v>3142</v>
      </c>
      <c r="B6" s="3206" t="s">
        <v>3143</v>
      </c>
      <c r="C6" s="3206" t="s">
        <v>3144</v>
      </c>
      <c r="D6" s="3206" t="s">
        <v>3145</v>
      </c>
      <c r="E6" s="3221" t="s">
        <v>3146</v>
      </c>
      <c r="F6" s="3206" t="s">
        <v>3147</v>
      </c>
      <c r="G6" s="3205" t="s">
        <v>3148</v>
      </c>
      <c r="H6" s="3205"/>
    </row>
    <row r="7" spans="1:8" ht="67.5">
      <c r="A7" s="3206">
        <v>1</v>
      </c>
      <c r="B7" s="3207" t="s">
        <v>3149</v>
      </c>
      <c r="C7" s="3208" t="s">
        <v>3150</v>
      </c>
      <c r="D7" s="3209" t="s">
        <v>3151</v>
      </c>
      <c r="E7" s="3222">
        <v>5768.8</v>
      </c>
      <c r="F7" s="3210">
        <f t="shared" ref="F7:F14" si="0">E7/666.67</f>
        <v>8.6531567342163296</v>
      </c>
      <c r="G7" s="3205">
        <f>E7*3.5</f>
        <v>20190.8</v>
      </c>
      <c r="H7" s="3205">
        <v>1</v>
      </c>
    </row>
    <row r="8" spans="1:8" ht="67.5" hidden="1">
      <c r="A8" s="3206">
        <v>2</v>
      </c>
      <c r="B8" s="3207" t="s">
        <v>3152</v>
      </c>
      <c r="C8" s="3208" t="s">
        <v>3153</v>
      </c>
      <c r="D8" s="3209" t="s">
        <v>3154</v>
      </c>
      <c r="E8" s="3222">
        <v>6096.8</v>
      </c>
      <c r="F8" s="3210">
        <f t="shared" si="0"/>
        <v>9.1451542742286289</v>
      </c>
      <c r="G8" s="3205">
        <f t="shared" ref="G8:G34" si="1">E8*3.5</f>
        <v>21338.799999999999</v>
      </c>
      <c r="H8" s="3205">
        <v>3</v>
      </c>
    </row>
    <row r="9" spans="1:8" ht="14.25">
      <c r="A9" s="3206"/>
      <c r="B9" s="3207"/>
      <c r="C9" s="3208"/>
      <c r="D9" s="3209"/>
      <c r="E9" s="3222"/>
      <c r="F9" s="3210"/>
      <c r="G9" s="3205"/>
      <c r="H9" s="3205"/>
    </row>
    <row r="10" spans="1:8" ht="67.5">
      <c r="A10" s="3206">
        <v>3</v>
      </c>
      <c r="B10" s="3207" t="s">
        <v>3155</v>
      </c>
      <c r="C10" s="3211" t="s">
        <v>3156</v>
      </c>
      <c r="D10" s="3212" t="s">
        <v>3157</v>
      </c>
      <c r="E10" s="3223">
        <v>30408.99</v>
      </c>
      <c r="F10" s="3213">
        <f t="shared" si="0"/>
        <v>45.613256933715334</v>
      </c>
      <c r="G10" s="3205">
        <f t="shared" si="1"/>
        <v>106431.46500000001</v>
      </c>
      <c r="H10" s="3205">
        <v>1</v>
      </c>
    </row>
    <row r="11" spans="1:8" ht="14.25">
      <c r="A11" s="3206"/>
      <c r="B11" s="3207"/>
      <c r="C11" s="3211"/>
      <c r="D11" s="3212"/>
      <c r="E11" s="3223"/>
      <c r="F11" s="3213"/>
      <c r="G11" s="3205"/>
      <c r="H11" s="3205"/>
    </row>
    <row r="12" spans="1:8" ht="67.5">
      <c r="A12" s="3206">
        <v>4</v>
      </c>
      <c r="B12" s="3207" t="s">
        <v>3155</v>
      </c>
      <c r="C12" s="3211" t="s">
        <v>3158</v>
      </c>
      <c r="D12" s="3212" t="s">
        <v>3159</v>
      </c>
      <c r="E12" s="3223">
        <v>6585.86</v>
      </c>
      <c r="F12" s="3213">
        <f t="shared" si="0"/>
        <v>9.8787406062969687</v>
      </c>
      <c r="G12" s="3205">
        <f t="shared" si="1"/>
        <v>23050.51</v>
      </c>
      <c r="H12" s="3205">
        <v>1</v>
      </c>
    </row>
    <row r="13" spans="1:8" ht="67.5">
      <c r="A13" s="3206">
        <v>5</v>
      </c>
      <c r="B13" s="3207" t="s">
        <v>3160</v>
      </c>
      <c r="C13" s="3211" t="s">
        <v>3161</v>
      </c>
      <c r="D13" s="3212" t="s">
        <v>3162</v>
      </c>
      <c r="E13" s="3223">
        <v>45007.23</v>
      </c>
      <c r="F13" s="3213">
        <f t="shared" si="0"/>
        <v>67.510507447462771</v>
      </c>
      <c r="G13" s="3205">
        <f t="shared" si="1"/>
        <v>157525.30500000002</v>
      </c>
      <c r="H13" s="3205">
        <v>3</v>
      </c>
    </row>
    <row r="14" spans="1:8" ht="67.5">
      <c r="A14" s="3206">
        <v>6</v>
      </c>
      <c r="B14" s="3207" t="s">
        <v>3163</v>
      </c>
      <c r="C14" s="3211" t="s">
        <v>3164</v>
      </c>
      <c r="D14" s="3212" t="s">
        <v>3165</v>
      </c>
      <c r="E14" s="3223">
        <v>15439.75</v>
      </c>
      <c r="F14" s="3213">
        <f t="shared" si="0"/>
        <v>23.159509202453989</v>
      </c>
      <c r="G14" s="3205">
        <f t="shared" si="1"/>
        <v>54039.125</v>
      </c>
      <c r="H14" s="3205">
        <v>3</v>
      </c>
    </row>
    <row r="15" spans="1:8" ht="14.25">
      <c r="A15" s="3206"/>
      <c r="B15" s="3207"/>
      <c r="C15" s="3211"/>
      <c r="D15" s="3212"/>
      <c r="E15" s="3223"/>
      <c r="F15" s="3213"/>
      <c r="G15" s="3205"/>
      <c r="H15" s="3205"/>
    </row>
    <row r="16" spans="1:8" ht="14.25">
      <c r="A16" s="3206"/>
      <c r="B16" s="3207"/>
      <c r="C16" s="3211"/>
      <c r="D16" s="3212"/>
      <c r="E16" s="3223"/>
      <c r="F16" s="3213"/>
      <c r="G16" s="3205"/>
      <c r="H16" s="3205"/>
    </row>
    <row r="17" spans="1:8" ht="14.25">
      <c r="A17" s="3206"/>
      <c r="B17" s="3207"/>
      <c r="C17" s="3211"/>
      <c r="D17" s="3212"/>
      <c r="E17" s="3223"/>
      <c r="F17" s="3213"/>
      <c r="G17" s="3205"/>
      <c r="H17" s="3205"/>
    </row>
    <row r="18" spans="1:8" ht="14.25">
      <c r="A18" s="3206"/>
      <c r="B18" s="3207"/>
      <c r="C18" s="3211"/>
      <c r="D18" s="3212"/>
      <c r="E18" s="3223"/>
      <c r="F18" s="3213"/>
      <c r="G18" s="3205"/>
      <c r="H18" s="3205"/>
    </row>
    <row r="19" spans="1:8" ht="14.25">
      <c r="A19" s="3206"/>
      <c r="B19" s="3207"/>
      <c r="C19" s="3211"/>
      <c r="D19" s="3212"/>
      <c r="E19" s="3223"/>
      <c r="F19" s="3213"/>
      <c r="G19" s="3205"/>
      <c r="H19" s="3205"/>
    </row>
    <row r="20" spans="1:8" ht="14.25">
      <c r="A20" s="3206"/>
      <c r="B20" s="3207"/>
      <c r="C20" s="3211"/>
      <c r="D20" s="3212"/>
      <c r="E20" s="3223"/>
      <c r="F20" s="3213"/>
      <c r="G20" s="3205"/>
      <c r="H20" s="3205"/>
    </row>
    <row r="21" spans="1:8" ht="14.25">
      <c r="A21" s="3206"/>
      <c r="B21" s="3207"/>
      <c r="C21" s="3211"/>
      <c r="D21" s="3214"/>
      <c r="E21" s="3223"/>
      <c r="F21" s="3213"/>
      <c r="G21" s="3205"/>
      <c r="H21" s="3205"/>
    </row>
    <row r="22" spans="1:8" ht="67.5">
      <c r="A22" s="3206">
        <v>7</v>
      </c>
      <c r="B22" s="3207" t="s">
        <v>3166</v>
      </c>
      <c r="C22" s="3211" t="s">
        <v>3167</v>
      </c>
      <c r="D22" s="3212" t="s">
        <v>3168</v>
      </c>
      <c r="E22" s="3223">
        <v>22951.99</v>
      </c>
      <c r="F22" s="3213">
        <f t="shared" ref="F22:F29" si="2">E22/666.67</f>
        <v>34.427812860935703</v>
      </c>
      <c r="G22" s="3205">
        <f t="shared" si="1"/>
        <v>80331.965000000011</v>
      </c>
      <c r="H22" s="3205">
        <v>2</v>
      </c>
    </row>
    <row r="23" spans="1:8" ht="67.5">
      <c r="A23" s="3206">
        <v>8</v>
      </c>
      <c r="B23" s="3207" t="s">
        <v>3169</v>
      </c>
      <c r="C23" s="3211" t="s">
        <v>3170</v>
      </c>
      <c r="D23" s="3212" t="s">
        <v>3171</v>
      </c>
      <c r="E23" s="3223">
        <v>3846.56</v>
      </c>
      <c r="F23" s="3213">
        <f t="shared" si="2"/>
        <v>5.7698111509442453</v>
      </c>
      <c r="G23" s="3205">
        <f t="shared" si="1"/>
        <v>13462.96</v>
      </c>
      <c r="H23" s="3205">
        <v>2</v>
      </c>
    </row>
    <row r="24" spans="1:8" ht="67.5">
      <c r="A24" s="3206">
        <v>9</v>
      </c>
      <c r="B24" s="3207" t="s">
        <v>3169</v>
      </c>
      <c r="C24" s="3211" t="s">
        <v>3172</v>
      </c>
      <c r="D24" s="3212" t="s">
        <v>3173</v>
      </c>
      <c r="E24" s="3223">
        <v>9011.4500000000007</v>
      </c>
      <c r="F24" s="3213">
        <f t="shared" si="2"/>
        <v>13.517107414462929</v>
      </c>
      <c r="G24" s="3205">
        <f t="shared" si="1"/>
        <v>31540.075000000004</v>
      </c>
      <c r="H24" s="3205">
        <v>2</v>
      </c>
    </row>
    <row r="25" spans="1:8" ht="67.5">
      <c r="A25" s="3206">
        <v>10</v>
      </c>
      <c r="B25" s="3207" t="s">
        <v>3174</v>
      </c>
      <c r="C25" s="3211" t="s">
        <v>3175</v>
      </c>
      <c r="D25" s="3215" t="s">
        <v>3176</v>
      </c>
      <c r="E25" s="3223">
        <v>56981.31</v>
      </c>
      <c r="F25" s="3213">
        <f t="shared" si="2"/>
        <v>85.471537642311787</v>
      </c>
      <c r="G25" s="3205">
        <f t="shared" si="1"/>
        <v>199434.58499999999</v>
      </c>
      <c r="H25" s="3205">
        <v>2</v>
      </c>
    </row>
    <row r="26" spans="1:8" ht="67.5">
      <c r="A26" s="3206">
        <v>11</v>
      </c>
      <c r="B26" s="3207" t="s">
        <v>3177</v>
      </c>
      <c r="C26" s="3211" t="s">
        <v>3178</v>
      </c>
      <c r="D26" s="3212" t="s">
        <v>3179</v>
      </c>
      <c r="E26" s="3223">
        <v>7816.67</v>
      </c>
      <c r="F26" s="3213">
        <f t="shared" si="2"/>
        <v>11.724946375268125</v>
      </c>
      <c r="G26" s="3205">
        <f t="shared" si="1"/>
        <v>27358.345000000001</v>
      </c>
      <c r="H26" s="3205">
        <v>2</v>
      </c>
    </row>
    <row r="27" spans="1:8" ht="67.5">
      <c r="A27" s="3206">
        <v>12</v>
      </c>
      <c r="B27" s="3207" t="s">
        <v>3180</v>
      </c>
      <c r="C27" s="3211" t="s">
        <v>3181</v>
      </c>
      <c r="D27" s="3212" t="s">
        <v>3182</v>
      </c>
      <c r="E27" s="3223">
        <v>8656.5400000000009</v>
      </c>
      <c r="F27" s="3213">
        <f t="shared" si="2"/>
        <v>12.984745076274621</v>
      </c>
      <c r="G27" s="3205">
        <f t="shared" si="1"/>
        <v>30297.890000000003</v>
      </c>
      <c r="H27" s="3205">
        <v>2</v>
      </c>
    </row>
    <row r="28" spans="1:8" ht="67.5">
      <c r="A28" s="3206">
        <v>13</v>
      </c>
      <c r="B28" s="3207" t="s">
        <v>3183</v>
      </c>
      <c r="C28" s="3211" t="s">
        <v>3184</v>
      </c>
      <c r="D28" s="3212" t="s">
        <v>3185</v>
      </c>
      <c r="E28" s="3223">
        <v>10820.61</v>
      </c>
      <c r="F28" s="3213">
        <f t="shared" si="2"/>
        <v>16.230833845830773</v>
      </c>
      <c r="G28" s="3205">
        <f t="shared" si="1"/>
        <v>37872.135000000002</v>
      </c>
      <c r="H28" s="3205">
        <v>2</v>
      </c>
    </row>
    <row r="29" spans="1:8" ht="67.5">
      <c r="A29" s="3206">
        <v>14</v>
      </c>
      <c r="B29" s="3207" t="s">
        <v>3186</v>
      </c>
      <c r="C29" s="3211" t="s">
        <v>3187</v>
      </c>
      <c r="D29" s="3212" t="s">
        <v>3188</v>
      </c>
      <c r="E29" s="3223">
        <v>3884.42</v>
      </c>
      <c r="F29" s="3213">
        <f t="shared" si="2"/>
        <v>5.8266008669956655</v>
      </c>
      <c r="G29" s="3205">
        <f t="shared" si="1"/>
        <v>13595.470000000001</v>
      </c>
      <c r="H29" s="3205">
        <v>2</v>
      </c>
    </row>
    <row r="30" spans="1:8" ht="67.5">
      <c r="A30" s="3206">
        <v>15</v>
      </c>
      <c r="B30" s="3207" t="s">
        <v>3189</v>
      </c>
      <c r="C30" s="3211" t="s">
        <v>3190</v>
      </c>
      <c r="D30" s="3212" t="s">
        <v>3191</v>
      </c>
      <c r="E30" s="3223">
        <v>8084.87</v>
      </c>
      <c r="F30" s="3213">
        <f>E30/666.67</f>
        <v>12.127244363778182</v>
      </c>
      <c r="G30" s="3205">
        <f t="shared" si="1"/>
        <v>28297.044999999998</v>
      </c>
      <c r="H30" s="3205">
        <v>2</v>
      </c>
    </row>
    <row r="31" spans="1:8" ht="67.5">
      <c r="A31" s="3206">
        <v>16</v>
      </c>
      <c r="B31" s="3207" t="s">
        <v>3192</v>
      </c>
      <c r="C31" s="3211" t="s">
        <v>3193</v>
      </c>
      <c r="D31" s="3212" t="s">
        <v>3194</v>
      </c>
      <c r="E31" s="3223">
        <v>27499.46</v>
      </c>
      <c r="F31" s="3213">
        <f>E31/666.67</f>
        <v>41.248983755081227</v>
      </c>
      <c r="G31" s="3205">
        <f t="shared" si="1"/>
        <v>96248.11</v>
      </c>
      <c r="H31" s="3205">
        <v>2</v>
      </c>
    </row>
    <row r="32" spans="1:8" ht="67.5">
      <c r="A32" s="3206">
        <v>17</v>
      </c>
      <c r="B32" s="3207" t="s">
        <v>3195</v>
      </c>
      <c r="C32" s="3211" t="s">
        <v>3196</v>
      </c>
      <c r="D32" s="3212" t="s">
        <v>3197</v>
      </c>
      <c r="E32" s="3223">
        <v>7554.73</v>
      </c>
      <c r="F32" s="3213">
        <f>E32/666.67</f>
        <v>11.332038339808301</v>
      </c>
      <c r="G32" s="3205">
        <f t="shared" si="1"/>
        <v>26441.555</v>
      </c>
      <c r="H32" s="3205">
        <v>2</v>
      </c>
    </row>
    <row r="33" spans="1:15" ht="67.5">
      <c r="A33" s="3206">
        <v>18</v>
      </c>
      <c r="B33" s="3207" t="s">
        <v>3198</v>
      </c>
      <c r="C33" s="3211" t="s">
        <v>3199</v>
      </c>
      <c r="D33" s="3215" t="s">
        <v>3200</v>
      </c>
      <c r="E33" s="3223">
        <v>39628.980000000003</v>
      </c>
      <c r="F33" s="3213">
        <f>E33/666.67</f>
        <v>59.443172784136088</v>
      </c>
      <c r="G33" s="3205">
        <f t="shared" si="1"/>
        <v>138701.43000000002</v>
      </c>
      <c r="H33" s="3205">
        <v>2</v>
      </c>
    </row>
    <row r="34" spans="1:15" ht="14.25">
      <c r="A34" s="3216"/>
      <c r="B34" s="3207" t="s">
        <v>3201</v>
      </c>
      <c r="C34" s="3217"/>
      <c r="D34" s="3217"/>
      <c r="E34" s="3223">
        <f>SUM(E7:E33)</f>
        <v>316045.02</v>
      </c>
      <c r="F34" s="3213">
        <v>705.25990000000002</v>
      </c>
      <c r="G34" s="3205">
        <f t="shared" si="1"/>
        <v>1106157.57</v>
      </c>
      <c r="H34" s="3205"/>
    </row>
    <row r="35" spans="1:15">
      <c r="A35" s="3205"/>
      <c r="B35" s="3205"/>
      <c r="C35" s="3205"/>
      <c r="D35" s="3205"/>
      <c r="E35" s="3220"/>
      <c r="F35" s="3205"/>
      <c r="G35" s="3205"/>
      <c r="H35" s="3205"/>
    </row>
    <row r="36" spans="1:15">
      <c r="A36" s="3205"/>
      <c r="B36" s="3205"/>
      <c r="C36" s="3205"/>
      <c r="D36" s="3205"/>
      <c r="E36" s="3220"/>
      <c r="F36" s="3205"/>
      <c r="G36" s="3205"/>
      <c r="H36" s="3205"/>
    </row>
    <row r="37" spans="1:15">
      <c r="A37" s="3205"/>
      <c r="B37" s="3205"/>
      <c r="C37" s="3205"/>
      <c r="D37" s="3205"/>
      <c r="E37" s="3220"/>
      <c r="F37" s="3218"/>
      <c r="G37" s="3205"/>
      <c r="H37" s="3205"/>
    </row>
    <row r="38" spans="1:15">
      <c r="A38" s="3205"/>
      <c r="B38" s="3205"/>
      <c r="C38" s="3205"/>
      <c r="D38" s="3205"/>
      <c r="E38" s="3220"/>
      <c r="F38" s="3205"/>
      <c r="G38" s="3205"/>
      <c r="H38" s="3205"/>
    </row>
    <row r="39" spans="1:15">
      <c r="A39" s="3205"/>
      <c r="B39" s="3205"/>
      <c r="C39" s="3205"/>
      <c r="D39" s="3205">
        <v>1</v>
      </c>
      <c r="E39" s="3220">
        <f>E7+E10+E12</f>
        <v>42763.65</v>
      </c>
      <c r="F39" s="3205"/>
      <c r="G39" s="3205">
        <f>G7+G10+G12</f>
        <v>149672.77500000002</v>
      </c>
      <c r="H39" s="3205"/>
      <c r="J39" s="3229"/>
      <c r="K39" s="3229" t="s">
        <v>3220</v>
      </c>
      <c r="L39" t="s">
        <v>3217</v>
      </c>
      <c r="M39" t="s">
        <v>3218</v>
      </c>
      <c r="N39" t="s">
        <v>3219</v>
      </c>
      <c r="O39" s="3229" t="s">
        <v>3221</v>
      </c>
    </row>
    <row r="40" spans="1:15">
      <c r="A40" s="3205"/>
      <c r="B40" s="3205"/>
      <c r="C40" s="3205"/>
      <c r="D40" s="3205">
        <v>2</v>
      </c>
      <c r="E40" s="3220">
        <f>E21+E22+E23+E24+E25+E26+E27+E28+E29+E30+E31+E32+E33</f>
        <v>206737.59</v>
      </c>
      <c r="F40" s="3205"/>
      <c r="G40" s="3205">
        <f>E40*3.5</f>
        <v>723581.56499999994</v>
      </c>
      <c r="H40" s="3205"/>
      <c r="K40">
        <f>(L40+M40+N40+5*O40)/8</f>
        <v>1.5</v>
      </c>
      <c r="L40">
        <v>2.5</v>
      </c>
      <c r="M40">
        <f>L40*0.7</f>
        <v>1.75</v>
      </c>
      <c r="N40">
        <f>L40*0.6</f>
        <v>1.5</v>
      </c>
      <c r="O40">
        <f>L40*0.5</f>
        <v>1.25</v>
      </c>
    </row>
    <row r="41" spans="1:15">
      <c r="A41" s="3205"/>
      <c r="B41" s="3205"/>
      <c r="C41" s="3205"/>
      <c r="D41" s="3205">
        <v>3</v>
      </c>
      <c r="E41" s="3220">
        <f>E8+E9+E11+E13+E14+E15+E16+E17+E18+E19+E20</f>
        <v>66543.78</v>
      </c>
      <c r="F41" s="3205"/>
      <c r="G41" s="3205">
        <f>E41*3.5</f>
        <v>232903.22999999998</v>
      </c>
      <c r="H41" s="3205"/>
      <c r="K41">
        <f t="shared" ref="K41:K42" si="3">(L41+M41+N41+5*O41)/8</f>
        <v>1.32</v>
      </c>
      <c r="L41">
        <v>2.2000000000000002</v>
      </c>
      <c r="M41">
        <f t="shared" ref="M41:M42" si="4">L41*0.7</f>
        <v>1.54</v>
      </c>
      <c r="N41">
        <f t="shared" ref="N41:N42" si="5">L41*0.6</f>
        <v>1.32</v>
      </c>
      <c r="O41">
        <f t="shared" ref="O41:O42" si="6">L41*0.5</f>
        <v>1.1000000000000001</v>
      </c>
    </row>
    <row r="42" spans="1:15">
      <c r="A42" s="3205"/>
      <c r="B42" s="3205"/>
      <c r="C42" s="3205"/>
      <c r="D42" s="3205"/>
      <c r="E42" s="3220">
        <f>E39+E40+E41</f>
        <v>316045.02</v>
      </c>
      <c r="F42" s="3205"/>
      <c r="G42" s="3205">
        <f>G39+G40+G41</f>
        <v>1106157.5699999998</v>
      </c>
      <c r="H42" s="3205"/>
      <c r="K42">
        <f t="shared" si="3"/>
        <v>1.2</v>
      </c>
      <c r="L42">
        <v>2</v>
      </c>
      <c r="M42">
        <f t="shared" si="4"/>
        <v>1.4</v>
      </c>
      <c r="N42">
        <f t="shared" si="5"/>
        <v>1.2</v>
      </c>
      <c r="O42">
        <f t="shared" si="6"/>
        <v>1</v>
      </c>
    </row>
  </sheetData>
  <autoFilter ref="A6:O8">
    <filterColumn colId="7">
      <filters>
        <filter val="1"/>
      </filters>
    </filterColumn>
  </autoFilter>
  <mergeCells count="1">
    <mergeCell ref="A5:F5"/>
  </mergeCells>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topLeftCell="A19" workbookViewId="0">
      <selection activeCell="F8" sqref="F8"/>
    </sheetView>
  </sheetViews>
  <sheetFormatPr defaultRowHeight="13.5"/>
  <cols>
    <col min="1" max="1" width="14.375" customWidth="1"/>
    <col min="6" max="6" width="16.5" customWidth="1"/>
    <col min="8" max="8" width="12.25" customWidth="1"/>
  </cols>
  <sheetData>
    <row r="1" spans="1:16" s="2939" customFormat="1">
      <c r="A1" s="2939" t="s">
        <v>3029</v>
      </c>
      <c r="B1" s="2939" t="s">
        <v>3030</v>
      </c>
      <c r="C1" s="2939" t="s">
        <v>3031</v>
      </c>
      <c r="D1" s="2939" t="s">
        <v>3032</v>
      </c>
      <c r="E1" s="2939" t="s">
        <v>3033</v>
      </c>
      <c r="F1" s="2939" t="s">
        <v>2034</v>
      </c>
      <c r="G1" s="2939" t="s">
        <v>3034</v>
      </c>
      <c r="H1" s="2939" t="s">
        <v>3035</v>
      </c>
      <c r="I1" s="2939" t="s">
        <v>3036</v>
      </c>
      <c r="J1" s="2939" t="s">
        <v>3037</v>
      </c>
      <c r="K1" s="2939" t="s">
        <v>3038</v>
      </c>
      <c r="L1" s="2939" t="s">
        <v>3039</v>
      </c>
      <c r="M1" s="2939" t="s">
        <v>3040</v>
      </c>
    </row>
    <row r="2" spans="1:16" s="2939" customFormat="1">
      <c r="A2" s="2939" t="s">
        <v>3069</v>
      </c>
      <c r="B2" s="2939" t="s">
        <v>3070</v>
      </c>
      <c r="C2" s="2939" t="s">
        <v>3071</v>
      </c>
      <c r="D2" s="2939">
        <v>25497.22</v>
      </c>
      <c r="E2" s="2939">
        <v>76491.66</v>
      </c>
      <c r="F2" s="2939" t="s">
        <v>3072</v>
      </c>
      <c r="G2" s="2939" t="s">
        <v>3073</v>
      </c>
      <c r="H2" s="2939" t="s">
        <v>3074</v>
      </c>
      <c r="I2" s="2939">
        <v>6884.27</v>
      </c>
      <c r="J2" s="2939">
        <v>12238.71</v>
      </c>
      <c r="K2" s="2939">
        <v>1600</v>
      </c>
      <c r="L2" s="2939">
        <v>77.78</v>
      </c>
      <c r="M2" s="2939" t="s">
        <v>3075</v>
      </c>
      <c r="P2" s="2939">
        <f>J2/D2*666.67</f>
        <v>320.0027609166803</v>
      </c>
    </row>
    <row r="3" spans="1:16" s="3182" customFormat="1">
      <c r="A3" s="3182" t="s">
        <v>3076</v>
      </c>
      <c r="B3" s="3182" t="s">
        <v>3070</v>
      </c>
      <c r="C3" s="3182" t="s">
        <v>3071</v>
      </c>
      <c r="D3" s="3182">
        <v>56856.72</v>
      </c>
      <c r="E3" s="3182">
        <v>56856.72</v>
      </c>
      <c r="F3" s="3182" t="s">
        <v>3077</v>
      </c>
      <c r="G3" s="3182" t="s">
        <v>3041</v>
      </c>
      <c r="H3" s="3182" t="s">
        <v>3078</v>
      </c>
      <c r="I3" s="3182">
        <v>3581.96</v>
      </c>
      <c r="J3" s="3182">
        <v>3581.96</v>
      </c>
      <c r="K3" s="3182">
        <v>630</v>
      </c>
      <c r="L3" s="3182">
        <v>0</v>
      </c>
      <c r="M3" s="3182" t="s">
        <v>3079</v>
      </c>
      <c r="P3" s="3182">
        <f t="shared" ref="P3:P65" si="0">J3/D3*666.67</f>
        <v>42.000053348135452</v>
      </c>
    </row>
    <row r="4" spans="1:16" s="2939" customFormat="1">
      <c r="A4" s="2939" t="s">
        <v>3080</v>
      </c>
      <c r="B4" s="2939" t="s">
        <v>3070</v>
      </c>
      <c r="C4" s="2939" t="s">
        <v>3071</v>
      </c>
      <c r="D4" s="2939">
        <v>5801.5</v>
      </c>
      <c r="E4" s="2939">
        <v>17404.5</v>
      </c>
      <c r="F4" s="2939" t="s">
        <v>3081</v>
      </c>
      <c r="G4" s="2939" t="s">
        <v>3041</v>
      </c>
      <c r="H4" s="2939" t="s">
        <v>3082</v>
      </c>
      <c r="I4" s="2939">
        <v>274.93</v>
      </c>
      <c r="J4" s="2939">
        <v>274.93</v>
      </c>
      <c r="K4" s="2939">
        <v>157.96</v>
      </c>
      <c r="L4" s="2939">
        <v>0</v>
      </c>
      <c r="M4" s="2939" t="s">
        <v>3083</v>
      </c>
      <c r="P4" s="2939">
        <f t="shared" si="0"/>
        <v>31.593136792208909</v>
      </c>
    </row>
    <row r="5" spans="1:16" s="2939" customFormat="1">
      <c r="A5" s="3203" t="s">
        <v>3084</v>
      </c>
      <c r="B5" s="3184" t="s">
        <v>3070</v>
      </c>
      <c r="C5" s="3184" t="s">
        <v>3071</v>
      </c>
      <c r="D5" s="3184">
        <v>33942.400000000001</v>
      </c>
      <c r="E5" s="3184">
        <v>135769.60000000001</v>
      </c>
      <c r="F5" s="3184" t="s">
        <v>3085</v>
      </c>
      <c r="G5" s="3184" t="s">
        <v>3041</v>
      </c>
      <c r="H5" s="3184" t="s">
        <v>3086</v>
      </c>
      <c r="I5" s="3184">
        <v>7789.77</v>
      </c>
      <c r="J5" s="3184">
        <v>7789.77</v>
      </c>
      <c r="K5" s="3184">
        <v>573.75</v>
      </c>
      <c r="L5" s="3184">
        <v>0</v>
      </c>
      <c r="M5" s="3184" t="s">
        <v>3087</v>
      </c>
      <c r="P5" s="2939">
        <f t="shared" si="0"/>
        <v>153.00055287487035</v>
      </c>
    </row>
    <row r="6" spans="1:16" s="2939" customFormat="1">
      <c r="A6" s="2939" t="s">
        <v>3088</v>
      </c>
      <c r="B6" s="2939" t="s">
        <v>3070</v>
      </c>
      <c r="C6" s="2939" t="s">
        <v>3071</v>
      </c>
      <c r="D6" s="2939">
        <v>399949.18</v>
      </c>
      <c r="E6" s="2939">
        <v>399949.18</v>
      </c>
      <c r="F6" s="2939" t="s">
        <v>3077</v>
      </c>
      <c r="G6" s="2939" t="s">
        <v>3041</v>
      </c>
      <c r="H6" s="2939" t="s">
        <v>3089</v>
      </c>
      <c r="I6" s="2939">
        <v>50993.48</v>
      </c>
      <c r="J6" s="2939">
        <v>51593.41</v>
      </c>
      <c r="K6" s="2939">
        <v>1290</v>
      </c>
      <c r="L6" s="2939">
        <v>1.18</v>
      </c>
      <c r="M6" s="2939" t="s">
        <v>3090</v>
      </c>
      <c r="P6" s="2939">
        <f t="shared" si="0"/>
        <v>86.000372959134467</v>
      </c>
    </row>
    <row r="7" spans="1:16" s="3182" customFormat="1">
      <c r="A7" s="2939" t="s">
        <v>3091</v>
      </c>
      <c r="B7" s="2939" t="s">
        <v>3070</v>
      </c>
      <c r="C7" s="2939" t="s">
        <v>3071</v>
      </c>
      <c r="D7" s="2939">
        <v>266705.73</v>
      </c>
      <c r="E7" s="2939">
        <v>266705.73</v>
      </c>
      <c r="F7" s="2939" t="s">
        <v>3077</v>
      </c>
      <c r="G7" s="2939" t="s">
        <v>3073</v>
      </c>
      <c r="H7" s="2939" t="s">
        <v>3092</v>
      </c>
      <c r="I7" s="2939">
        <v>34004.949999999997</v>
      </c>
      <c r="J7" s="2939">
        <v>35205.129999999997</v>
      </c>
      <c r="K7" s="2939">
        <v>1320</v>
      </c>
      <c r="L7" s="2939">
        <v>3.53</v>
      </c>
      <c r="M7" s="2939" t="s">
        <v>3090</v>
      </c>
      <c r="P7" s="2939">
        <f t="shared" si="0"/>
        <v>88.000374109322649</v>
      </c>
    </row>
    <row r="8" spans="1:16" s="2939" customFormat="1">
      <c r="A8" s="2939" t="s">
        <v>3093</v>
      </c>
      <c r="B8" s="2939" t="s">
        <v>3070</v>
      </c>
      <c r="C8" s="2939" t="s">
        <v>3071</v>
      </c>
      <c r="D8" s="2939">
        <v>13936.03</v>
      </c>
      <c r="E8" s="2939">
        <v>20904.05</v>
      </c>
      <c r="F8" s="2939" t="s">
        <v>3094</v>
      </c>
      <c r="G8" s="2939" t="s">
        <v>3041</v>
      </c>
      <c r="H8" s="2939" t="s">
        <v>3095</v>
      </c>
      <c r="I8" s="2939">
        <v>2090.38</v>
      </c>
      <c r="J8" s="2939">
        <v>2090.38</v>
      </c>
      <c r="K8" s="2939">
        <v>999.99</v>
      </c>
      <c r="L8" s="2939">
        <v>0</v>
      </c>
      <c r="M8" s="2939" t="s">
        <v>3096</v>
      </c>
      <c r="P8" s="2939">
        <f t="shared" si="0"/>
        <v>99.999327972169979</v>
      </c>
    </row>
    <row r="9" spans="1:16" s="2939" customFormat="1">
      <c r="A9" s="2939" t="s">
        <v>3097</v>
      </c>
      <c r="B9" s="2939" t="s">
        <v>3070</v>
      </c>
      <c r="C9" s="2939" t="s">
        <v>3071</v>
      </c>
      <c r="D9" s="2939">
        <v>7089.92</v>
      </c>
      <c r="E9" s="2939">
        <v>14179.84</v>
      </c>
      <c r="F9" s="2939" t="s">
        <v>3098</v>
      </c>
      <c r="G9" s="2939" t="s">
        <v>3041</v>
      </c>
      <c r="H9" s="2939" t="s">
        <v>3099</v>
      </c>
      <c r="I9" s="2939">
        <v>170.15</v>
      </c>
      <c r="J9" s="2939">
        <v>170.15</v>
      </c>
      <c r="K9" s="2939">
        <v>120</v>
      </c>
      <c r="L9" s="2939">
        <v>0</v>
      </c>
      <c r="M9" s="2939" t="s">
        <v>3100</v>
      </c>
      <c r="P9" s="2939">
        <f t="shared" si="0"/>
        <v>15.99932023210417</v>
      </c>
    </row>
    <row r="10" spans="1:16" s="3182" customFormat="1">
      <c r="A10" s="2939" t="s">
        <v>3097</v>
      </c>
      <c r="B10" s="2939" t="s">
        <v>3070</v>
      </c>
      <c r="C10" s="2939" t="s">
        <v>3071</v>
      </c>
      <c r="D10" s="2939">
        <v>1024.02</v>
      </c>
      <c r="E10" s="2939">
        <v>2048.04</v>
      </c>
      <c r="F10" s="2939" t="s">
        <v>3098</v>
      </c>
      <c r="G10" s="2939" t="s">
        <v>3041</v>
      </c>
      <c r="H10" s="2939" t="s">
        <v>3099</v>
      </c>
      <c r="I10" s="2939">
        <v>24.57</v>
      </c>
      <c r="J10" s="2939">
        <v>24.57</v>
      </c>
      <c r="K10" s="2939">
        <v>120.01</v>
      </c>
      <c r="L10" s="2939">
        <v>0</v>
      </c>
      <c r="M10" s="2939" t="s">
        <v>3100</v>
      </c>
      <c r="P10" s="2939">
        <f t="shared" si="0"/>
        <v>15.995861311302512</v>
      </c>
    </row>
    <row r="11" spans="1:16" s="3183" customFormat="1" ht="14.25">
      <c r="A11" s="2939" t="s">
        <v>3097</v>
      </c>
      <c r="B11" s="2939" t="s">
        <v>3070</v>
      </c>
      <c r="C11" s="2939" t="s">
        <v>3071</v>
      </c>
      <c r="D11" s="2939">
        <v>31886.06</v>
      </c>
      <c r="E11" s="2939">
        <v>63772.12</v>
      </c>
      <c r="F11" s="2939" t="s">
        <v>3098</v>
      </c>
      <c r="G11" s="2939" t="s">
        <v>3041</v>
      </c>
      <c r="H11" s="2939" t="s">
        <v>3099</v>
      </c>
      <c r="I11" s="2939">
        <v>765.25</v>
      </c>
      <c r="J11" s="2939">
        <v>765.25</v>
      </c>
      <c r="K11" s="2939">
        <v>120</v>
      </c>
      <c r="L11" s="2939">
        <v>0</v>
      </c>
      <c r="M11" s="2939" t="s">
        <v>3100</v>
      </c>
      <c r="P11" s="2939">
        <f t="shared" si="0"/>
        <v>15.999757182292196</v>
      </c>
    </row>
    <row r="12" spans="1:16" s="2939" customFormat="1">
      <c r="A12" s="2939" t="s">
        <v>3101</v>
      </c>
      <c r="B12" s="2939" t="s">
        <v>3070</v>
      </c>
      <c r="C12" s="2939" t="s">
        <v>3071</v>
      </c>
      <c r="D12" s="2939">
        <v>34029.870000000003</v>
      </c>
      <c r="E12" s="2939">
        <v>119104.55</v>
      </c>
      <c r="F12" s="2939" t="s">
        <v>3102</v>
      </c>
      <c r="G12" s="2939" t="s">
        <v>3041</v>
      </c>
      <c r="H12" s="2939" t="s">
        <v>3103</v>
      </c>
      <c r="I12" s="2939">
        <v>3317.88</v>
      </c>
      <c r="J12" s="2939">
        <v>3317.88</v>
      </c>
      <c r="K12" s="2939">
        <v>278.56</v>
      </c>
      <c r="L12" s="2939">
        <v>0</v>
      </c>
      <c r="M12" s="2939" t="s">
        <v>3104</v>
      </c>
      <c r="P12" s="2939">
        <f t="shared" si="0"/>
        <v>64.999691729648092</v>
      </c>
    </row>
    <row r="13" spans="1:16" s="2939" customFormat="1">
      <c r="A13" s="2939" t="s">
        <v>3105</v>
      </c>
      <c r="B13" s="2939" t="s">
        <v>3070</v>
      </c>
      <c r="C13" s="2939" t="s">
        <v>3071</v>
      </c>
      <c r="D13" s="2939">
        <v>4211.53</v>
      </c>
      <c r="E13" s="2939">
        <v>14740.36</v>
      </c>
      <c r="F13" s="2939" t="s">
        <v>3102</v>
      </c>
      <c r="G13" s="2939" t="s">
        <v>3041</v>
      </c>
      <c r="H13" s="2939" t="s">
        <v>3103</v>
      </c>
      <c r="I13" s="2939">
        <v>530.64</v>
      </c>
      <c r="J13" s="2939">
        <v>530.64</v>
      </c>
      <c r="K13" s="2939">
        <v>360</v>
      </c>
      <c r="L13" s="2939">
        <v>0</v>
      </c>
      <c r="M13" s="2939" t="s">
        <v>3104</v>
      </c>
      <c r="P13" s="2939">
        <f t="shared" si="0"/>
        <v>83.998396972121768</v>
      </c>
    </row>
    <row r="14" spans="1:16" s="2939" customFormat="1">
      <c r="A14" s="2939" t="s">
        <v>3106</v>
      </c>
      <c r="B14" s="2939" t="s">
        <v>3070</v>
      </c>
      <c r="C14" s="2939" t="s">
        <v>3071</v>
      </c>
      <c r="D14" s="2939">
        <v>7554.73</v>
      </c>
      <c r="E14" s="2939">
        <v>26441.56</v>
      </c>
      <c r="F14" s="2939" t="s">
        <v>3102</v>
      </c>
      <c r="G14" s="2939" t="s">
        <v>3041</v>
      </c>
      <c r="H14" s="2939" t="s">
        <v>3103</v>
      </c>
      <c r="I14" s="2939">
        <v>929.22</v>
      </c>
      <c r="J14" s="2939">
        <v>929.22</v>
      </c>
      <c r="K14" s="2939">
        <v>351.42</v>
      </c>
      <c r="L14" s="2939">
        <v>0</v>
      </c>
      <c r="M14" s="2939" t="s">
        <v>3104</v>
      </c>
      <c r="P14" s="2939">
        <f t="shared" si="0"/>
        <v>81.999369587000473</v>
      </c>
    </row>
    <row r="15" spans="1:16" s="2939" customFormat="1">
      <c r="A15" s="2939" t="s">
        <v>3107</v>
      </c>
      <c r="B15" s="2939" t="s">
        <v>3070</v>
      </c>
      <c r="C15" s="2939" t="s">
        <v>3071</v>
      </c>
      <c r="D15" s="2939">
        <v>10820.61</v>
      </c>
      <c r="E15" s="2939">
        <v>37872.14</v>
      </c>
      <c r="F15" s="2939" t="s">
        <v>3102</v>
      </c>
      <c r="G15" s="2939" t="s">
        <v>3041</v>
      </c>
      <c r="H15" s="2939" t="s">
        <v>3103</v>
      </c>
      <c r="I15" s="2939">
        <v>1330.93</v>
      </c>
      <c r="J15" s="2939">
        <v>1330.93</v>
      </c>
      <c r="K15" s="2939">
        <v>351.43</v>
      </c>
      <c r="L15" s="2939">
        <v>0</v>
      </c>
      <c r="M15" s="2939" t="s">
        <v>3104</v>
      </c>
      <c r="P15" s="2939">
        <f t="shared" si="0"/>
        <v>82.000100096020461</v>
      </c>
    </row>
    <row r="16" spans="1:16" s="3184" customFormat="1">
      <c r="A16" s="2939" t="s">
        <v>3108</v>
      </c>
      <c r="B16" s="2939" t="s">
        <v>3070</v>
      </c>
      <c r="C16" s="2939" t="s">
        <v>3071</v>
      </c>
      <c r="D16" s="2939">
        <v>3846.56</v>
      </c>
      <c r="E16" s="2939">
        <v>13462.96</v>
      </c>
      <c r="F16" s="2939" t="s">
        <v>3102</v>
      </c>
      <c r="G16" s="2939" t="s">
        <v>3041</v>
      </c>
      <c r="H16" s="2939" t="s">
        <v>3103</v>
      </c>
      <c r="I16" s="2939">
        <v>473.12</v>
      </c>
      <c r="J16" s="2939">
        <v>473.12</v>
      </c>
      <c r="K16" s="2939">
        <v>351.42</v>
      </c>
      <c r="L16" s="2939">
        <v>0</v>
      </c>
      <c r="M16" s="2939" t="s">
        <v>3104</v>
      </c>
      <c r="P16" s="2939">
        <f t="shared" si="0"/>
        <v>81.999217586622848</v>
      </c>
    </row>
    <row r="17" spans="1:16" s="2939" customFormat="1">
      <c r="A17" s="2939" t="s">
        <v>3109</v>
      </c>
      <c r="B17" s="2939" t="s">
        <v>3070</v>
      </c>
      <c r="C17" s="2939" t="s">
        <v>3071</v>
      </c>
      <c r="D17" s="2939">
        <v>30408.99</v>
      </c>
      <c r="E17" s="2939">
        <v>106431.47</v>
      </c>
      <c r="F17" s="2939" t="s">
        <v>3102</v>
      </c>
      <c r="G17" s="2939" t="s">
        <v>3041</v>
      </c>
      <c r="H17" s="2939" t="s">
        <v>3103</v>
      </c>
      <c r="I17" s="2939">
        <v>3101.69</v>
      </c>
      <c r="J17" s="2939">
        <v>3101.69</v>
      </c>
      <c r="K17" s="2939">
        <v>291.43</v>
      </c>
      <c r="L17" s="2939">
        <v>0</v>
      </c>
      <c r="M17" s="2939" t="s">
        <v>3104</v>
      </c>
      <c r="P17" s="2939">
        <f t="shared" si="0"/>
        <v>67.999748505293994</v>
      </c>
    </row>
    <row r="18" spans="1:16" s="2939" customFormat="1">
      <c r="A18" s="2939" t="s">
        <v>3110</v>
      </c>
      <c r="B18" s="2939" t="s">
        <v>3070</v>
      </c>
      <c r="C18" s="2939" t="s">
        <v>3071</v>
      </c>
      <c r="D18" s="2939">
        <v>8084.87</v>
      </c>
      <c r="E18" s="2939">
        <v>28297.05</v>
      </c>
      <c r="F18" s="2939" t="s">
        <v>3102</v>
      </c>
      <c r="G18" s="2939" t="s">
        <v>3041</v>
      </c>
      <c r="H18" s="2939" t="s">
        <v>3103</v>
      </c>
      <c r="I18" s="2939">
        <v>994.42</v>
      </c>
      <c r="J18" s="2939">
        <v>994.42</v>
      </c>
      <c r="K18" s="2939">
        <v>351.43</v>
      </c>
      <c r="L18" s="2939">
        <v>0</v>
      </c>
      <c r="M18" s="2939" t="s">
        <v>3104</v>
      </c>
      <c r="P18" s="2939">
        <f t="shared" si="0"/>
        <v>81.998842455104409</v>
      </c>
    </row>
    <row r="19" spans="1:16" s="3182" customFormat="1">
      <c r="A19" s="2939" t="s">
        <v>3111</v>
      </c>
      <c r="B19" s="2939" t="s">
        <v>3070</v>
      </c>
      <c r="C19" s="2939" t="s">
        <v>3071</v>
      </c>
      <c r="D19" s="2939">
        <v>11894.47</v>
      </c>
      <c r="E19" s="2939">
        <v>41630.65</v>
      </c>
      <c r="F19" s="2939" t="s">
        <v>3102</v>
      </c>
      <c r="G19" s="2939" t="s">
        <v>3041</v>
      </c>
      <c r="H19" s="2939" t="s">
        <v>3103</v>
      </c>
      <c r="I19" s="2939">
        <v>1159.7</v>
      </c>
      <c r="J19" s="2939">
        <v>1159.7</v>
      </c>
      <c r="K19" s="2939">
        <v>278.56</v>
      </c>
      <c r="L19" s="2939">
        <v>0</v>
      </c>
      <c r="M19" s="2939" t="s">
        <v>3104</v>
      </c>
      <c r="P19" s="2939">
        <f t="shared" si="0"/>
        <v>64.999718272440887</v>
      </c>
    </row>
    <row r="20" spans="1:16" s="2939" customFormat="1">
      <c r="A20" s="2939" t="s">
        <v>3112</v>
      </c>
      <c r="B20" s="2939" t="s">
        <v>3070</v>
      </c>
      <c r="C20" s="2939" t="s">
        <v>3071</v>
      </c>
      <c r="D20" s="2939">
        <v>43358.5</v>
      </c>
      <c r="E20" s="2939">
        <v>151754.75</v>
      </c>
      <c r="F20" s="2939" t="s">
        <v>3102</v>
      </c>
      <c r="G20" s="2939" t="s">
        <v>3041</v>
      </c>
      <c r="H20" s="2939" t="s">
        <v>3103</v>
      </c>
      <c r="I20" s="2939">
        <v>4162.3900000000003</v>
      </c>
      <c r="J20" s="2939">
        <v>4162.3900000000003</v>
      </c>
      <c r="K20" s="2939">
        <v>274.27</v>
      </c>
      <c r="L20" s="2939">
        <v>0</v>
      </c>
      <c r="M20" s="2939" t="s">
        <v>3104</v>
      </c>
      <c r="P20" s="2939">
        <f t="shared" si="0"/>
        <v>63.999920230174013</v>
      </c>
    </row>
    <row r="21" spans="1:16" s="2939" customFormat="1">
      <c r="A21" s="2939" t="s">
        <v>3113</v>
      </c>
      <c r="B21" s="2939" t="s">
        <v>3070</v>
      </c>
      <c r="C21" s="2939" t="s">
        <v>3071</v>
      </c>
      <c r="D21" s="2939">
        <v>39628.980000000003</v>
      </c>
      <c r="E21" s="2939">
        <v>138701.43</v>
      </c>
      <c r="F21" s="2939" t="s">
        <v>3102</v>
      </c>
      <c r="G21" s="2939" t="s">
        <v>3041</v>
      </c>
      <c r="H21" s="2939" t="s">
        <v>3103</v>
      </c>
      <c r="I21" s="2939">
        <v>4874.34</v>
      </c>
      <c r="J21" s="2939">
        <v>4874.34</v>
      </c>
      <c r="K21" s="2939">
        <v>351.43</v>
      </c>
      <c r="L21" s="2939">
        <v>0</v>
      </c>
      <c r="M21" s="2939" t="s">
        <v>3104</v>
      </c>
      <c r="P21" s="2939">
        <f t="shared" si="0"/>
        <v>81.999997168738616</v>
      </c>
    </row>
    <row r="22" spans="1:16" s="2939" customFormat="1">
      <c r="A22" s="2939" t="s">
        <v>3114</v>
      </c>
      <c r="B22" s="2939" t="s">
        <v>3070</v>
      </c>
      <c r="C22" s="2939" t="s">
        <v>3071</v>
      </c>
      <c r="D22" s="2939">
        <v>6096.8</v>
      </c>
      <c r="E22" s="2939">
        <v>21338.799999999999</v>
      </c>
      <c r="F22" s="2939" t="s">
        <v>3102</v>
      </c>
      <c r="G22" s="2939" t="s">
        <v>3041</v>
      </c>
      <c r="H22" s="2939" t="s">
        <v>3103</v>
      </c>
      <c r="I22" s="2939">
        <v>585.28</v>
      </c>
      <c r="J22" s="2939">
        <v>585.28</v>
      </c>
      <c r="K22" s="2939">
        <v>274.27</v>
      </c>
      <c r="L22" s="2939">
        <v>0</v>
      </c>
      <c r="M22" s="2939" t="s">
        <v>3104</v>
      </c>
      <c r="P22" s="2939">
        <f t="shared" si="0"/>
        <v>63.998920351659883</v>
      </c>
    </row>
    <row r="23" spans="1:16" s="3182" customFormat="1">
      <c r="A23" s="2939" t="s">
        <v>3110</v>
      </c>
      <c r="B23" s="2939" t="s">
        <v>3070</v>
      </c>
      <c r="C23" s="2939" t="s">
        <v>3071</v>
      </c>
      <c r="D23" s="2939">
        <v>8656.5400000000009</v>
      </c>
      <c r="E23" s="2939">
        <v>30297.89</v>
      </c>
      <c r="F23" s="2939" t="s">
        <v>3102</v>
      </c>
      <c r="G23" s="2939" t="s">
        <v>3041</v>
      </c>
      <c r="H23" s="2939" t="s">
        <v>3103</v>
      </c>
      <c r="I23" s="2939">
        <v>1064.75</v>
      </c>
      <c r="J23" s="2939">
        <v>1064.75</v>
      </c>
      <c r="K23" s="2939">
        <v>351.43</v>
      </c>
      <c r="L23" s="2939">
        <v>0</v>
      </c>
      <c r="M23" s="2939" t="s">
        <v>3104</v>
      </c>
      <c r="P23" s="2939">
        <f t="shared" si="0"/>
        <v>82.00006960055633</v>
      </c>
    </row>
    <row r="24" spans="1:16" s="2939" customFormat="1">
      <c r="A24" s="2939" t="s">
        <v>3108</v>
      </c>
      <c r="B24" s="2939" t="s">
        <v>3070</v>
      </c>
      <c r="C24" s="2939" t="s">
        <v>3071</v>
      </c>
      <c r="D24" s="2939">
        <v>9011.4500000000007</v>
      </c>
      <c r="E24" s="2939">
        <v>31540.080000000002</v>
      </c>
      <c r="F24" s="2939" t="s">
        <v>3102</v>
      </c>
      <c r="G24" s="2939" t="s">
        <v>3041</v>
      </c>
      <c r="H24" s="2939" t="s">
        <v>3103</v>
      </c>
      <c r="I24" s="2939">
        <v>1108.4000000000001</v>
      </c>
      <c r="J24" s="2939">
        <v>1108.4000000000001</v>
      </c>
      <c r="K24" s="2939">
        <v>351.43</v>
      </c>
      <c r="L24" s="2939">
        <v>0</v>
      </c>
      <c r="M24" s="2939" t="s">
        <v>3104</v>
      </c>
      <c r="P24" s="2939">
        <f t="shared" si="0"/>
        <v>81.999792264285986</v>
      </c>
    </row>
    <row r="25" spans="1:16" s="2939" customFormat="1">
      <c r="A25" s="2939" t="s">
        <v>3115</v>
      </c>
      <c r="B25" s="2939" t="s">
        <v>3070</v>
      </c>
      <c r="C25" s="2939" t="s">
        <v>3071</v>
      </c>
      <c r="D25" s="2939">
        <v>8519.06</v>
      </c>
      <c r="E25" s="2939">
        <v>29816.71</v>
      </c>
      <c r="F25" s="2939" t="s">
        <v>3102</v>
      </c>
      <c r="G25" s="2939" t="s">
        <v>3041</v>
      </c>
      <c r="H25" s="2939" t="s">
        <v>3103</v>
      </c>
      <c r="I25" s="2939">
        <v>817.82</v>
      </c>
      <c r="J25" s="2939">
        <v>817.82</v>
      </c>
      <c r="K25" s="2939">
        <v>274.27</v>
      </c>
      <c r="L25" s="2939">
        <v>0</v>
      </c>
      <c r="M25" s="2939" t="s">
        <v>3104</v>
      </c>
      <c r="P25" s="2939">
        <f t="shared" si="0"/>
        <v>63.999556218643846</v>
      </c>
    </row>
    <row r="26" spans="1:16" s="2939" customFormat="1">
      <c r="A26" s="2939" t="s">
        <v>3116</v>
      </c>
      <c r="B26" s="2939" t="s">
        <v>3070</v>
      </c>
      <c r="C26" s="2939" t="s">
        <v>3071</v>
      </c>
      <c r="D26" s="2939">
        <v>27290.26</v>
      </c>
      <c r="E26" s="2939">
        <v>95515.91</v>
      </c>
      <c r="F26" s="2939" t="s">
        <v>3102</v>
      </c>
      <c r="G26" s="2939" t="s">
        <v>3041</v>
      </c>
      <c r="H26" s="2939" t="s">
        <v>3103</v>
      </c>
      <c r="I26" s="2939">
        <v>2619.84</v>
      </c>
      <c r="J26" s="2939">
        <v>2619.84</v>
      </c>
      <c r="K26" s="2939">
        <v>274.27</v>
      </c>
      <c r="L26" s="2939">
        <v>0</v>
      </c>
      <c r="M26" s="2939" t="s">
        <v>3104</v>
      </c>
      <c r="P26" s="2939">
        <f t="shared" si="0"/>
        <v>63.999710255600355</v>
      </c>
    </row>
    <row r="27" spans="1:16" s="2939" customFormat="1">
      <c r="A27" s="2939" t="s">
        <v>3105</v>
      </c>
      <c r="B27" s="2939" t="s">
        <v>3070</v>
      </c>
      <c r="C27" s="2939" t="s">
        <v>3071</v>
      </c>
      <c r="D27" s="2939">
        <v>16099.76</v>
      </c>
      <c r="E27" s="2939">
        <v>56349.16</v>
      </c>
      <c r="F27" s="2939" t="s">
        <v>3102</v>
      </c>
      <c r="G27" s="2939" t="s">
        <v>3041</v>
      </c>
      <c r="H27" s="2939" t="s">
        <v>3103</v>
      </c>
      <c r="I27" s="2939">
        <v>2028.55</v>
      </c>
      <c r="J27" s="2939">
        <v>2028.55</v>
      </c>
      <c r="K27" s="2939">
        <v>360</v>
      </c>
      <c r="L27" s="2939">
        <v>0</v>
      </c>
      <c r="M27" s="2939" t="s">
        <v>3104</v>
      </c>
      <c r="P27" s="2939">
        <f t="shared" si="0"/>
        <v>83.999601764249888</v>
      </c>
    </row>
    <row r="28" spans="1:16" s="2939" customFormat="1">
      <c r="A28" s="2939" t="s">
        <v>3117</v>
      </c>
      <c r="B28" s="2939" t="s">
        <v>3070</v>
      </c>
      <c r="C28" s="2939" t="s">
        <v>3071</v>
      </c>
      <c r="D28" s="2939">
        <v>15439.75</v>
      </c>
      <c r="E28" s="2939">
        <v>54039.13</v>
      </c>
      <c r="F28" s="2939" t="s">
        <v>3102</v>
      </c>
      <c r="G28" s="2939" t="s">
        <v>3041</v>
      </c>
      <c r="H28" s="2939" t="s">
        <v>3103</v>
      </c>
      <c r="I28" s="2939">
        <v>1528.52</v>
      </c>
      <c r="J28" s="2939">
        <v>1528.52</v>
      </c>
      <c r="K28" s="2939">
        <v>282.86</v>
      </c>
      <c r="L28" s="2939">
        <v>0</v>
      </c>
      <c r="M28" s="2939" t="s">
        <v>3104</v>
      </c>
      <c r="P28" s="2939">
        <f t="shared" si="0"/>
        <v>65.999671523178804</v>
      </c>
    </row>
    <row r="29" spans="1:16" s="3182" customFormat="1">
      <c r="A29" s="2939" t="s">
        <v>3118</v>
      </c>
      <c r="B29" s="2939" t="s">
        <v>3070</v>
      </c>
      <c r="C29" s="2939" t="s">
        <v>3071</v>
      </c>
      <c r="D29" s="2939">
        <v>7816.67</v>
      </c>
      <c r="E29" s="2939">
        <v>27358.35</v>
      </c>
      <c r="F29" s="2939" t="s">
        <v>3102</v>
      </c>
      <c r="G29" s="2939" t="s">
        <v>3041</v>
      </c>
      <c r="H29" s="2939" t="s">
        <v>3103</v>
      </c>
      <c r="I29" s="2939">
        <v>961.44</v>
      </c>
      <c r="J29" s="2939">
        <v>961.44</v>
      </c>
      <c r="K29" s="2939">
        <v>351.42</v>
      </c>
      <c r="L29" s="2939">
        <v>0</v>
      </c>
      <c r="M29" s="2939" t="s">
        <v>3104</v>
      </c>
      <c r="P29" s="2939">
        <f t="shared" si="0"/>
        <v>81.999522149457505</v>
      </c>
    </row>
    <row r="30" spans="1:16" s="3184" customFormat="1">
      <c r="A30" s="2939" t="s">
        <v>3115</v>
      </c>
      <c r="B30" s="2939" t="s">
        <v>3070</v>
      </c>
      <c r="C30" s="2939" t="s">
        <v>3071</v>
      </c>
      <c r="D30" s="2939">
        <v>1094.8900000000001</v>
      </c>
      <c r="E30" s="2939">
        <v>3832.12</v>
      </c>
      <c r="F30" s="2939" t="s">
        <v>3102</v>
      </c>
      <c r="G30" s="2939" t="s">
        <v>3041</v>
      </c>
      <c r="H30" s="2939" t="s">
        <v>3103</v>
      </c>
      <c r="I30" s="2939">
        <v>137.94</v>
      </c>
      <c r="J30" s="2939">
        <v>137.94</v>
      </c>
      <c r="K30" s="2939">
        <v>359.98</v>
      </c>
      <c r="L30" s="2939">
        <v>0</v>
      </c>
      <c r="M30" s="2939" t="s">
        <v>3104</v>
      </c>
      <c r="P30" s="2939">
        <f t="shared" si="0"/>
        <v>83.990592479609802</v>
      </c>
    </row>
    <row r="31" spans="1:16" s="2939" customFormat="1">
      <c r="A31" s="2939" t="s">
        <v>3119</v>
      </c>
      <c r="B31" s="2939" t="s">
        <v>3070</v>
      </c>
      <c r="C31" s="2939" t="s">
        <v>3071</v>
      </c>
      <c r="D31" s="2939">
        <v>45007.23</v>
      </c>
      <c r="E31" s="2939">
        <v>157525.31</v>
      </c>
      <c r="F31" s="2939" t="s">
        <v>3102</v>
      </c>
      <c r="G31" s="2939" t="s">
        <v>3041</v>
      </c>
      <c r="H31" s="2939" t="s">
        <v>3103</v>
      </c>
      <c r="I31" s="2939">
        <v>4388.18</v>
      </c>
      <c r="J31" s="2939">
        <v>4388.18</v>
      </c>
      <c r="K31" s="2939">
        <v>278.56</v>
      </c>
      <c r="L31" s="2939">
        <v>0</v>
      </c>
      <c r="M31" s="2939" t="s">
        <v>3104</v>
      </c>
      <c r="P31" s="2939">
        <f t="shared" si="0"/>
        <v>64.999955798212866</v>
      </c>
    </row>
    <row r="32" spans="1:16" s="2939" customFormat="1">
      <c r="A32" s="2939" t="s">
        <v>3110</v>
      </c>
      <c r="B32" s="2939" t="s">
        <v>3070</v>
      </c>
      <c r="C32" s="2939" t="s">
        <v>3071</v>
      </c>
      <c r="D32" s="2939">
        <v>27499.46</v>
      </c>
      <c r="E32" s="2939">
        <v>96248.11</v>
      </c>
      <c r="F32" s="2939" t="s">
        <v>3102</v>
      </c>
      <c r="G32" s="2939" t="s">
        <v>3041</v>
      </c>
      <c r="H32" s="2939" t="s">
        <v>3103</v>
      </c>
      <c r="I32" s="2939">
        <v>3382.4</v>
      </c>
      <c r="J32" s="2939">
        <v>3382.4</v>
      </c>
      <c r="K32" s="2939">
        <v>351.43</v>
      </c>
      <c r="L32" s="2939">
        <v>0</v>
      </c>
      <c r="M32" s="2939" t="s">
        <v>3104</v>
      </c>
      <c r="P32" s="2939">
        <f t="shared" si="0"/>
        <v>81.999595919338063</v>
      </c>
    </row>
    <row r="33" spans="1:16" s="2939" customFormat="1">
      <c r="A33" s="2939" t="s">
        <v>3113</v>
      </c>
      <c r="B33" s="2939" t="s">
        <v>3070</v>
      </c>
      <c r="C33" s="2939" t="s">
        <v>3071</v>
      </c>
      <c r="D33" s="2939">
        <v>22951.99</v>
      </c>
      <c r="E33" s="2939">
        <v>80331.97</v>
      </c>
      <c r="F33" s="2939" t="s">
        <v>3102</v>
      </c>
      <c r="G33" s="2939" t="s">
        <v>3041</v>
      </c>
      <c r="H33" s="2939" t="s">
        <v>3103</v>
      </c>
      <c r="I33" s="2939">
        <v>2823.07</v>
      </c>
      <c r="J33" s="2939">
        <v>2823.07</v>
      </c>
      <c r="K33" s="2939">
        <v>351.43</v>
      </c>
      <c r="L33" s="2939">
        <v>0</v>
      </c>
      <c r="M33" s="2939" t="s">
        <v>3104</v>
      </c>
      <c r="P33" s="2939">
        <f t="shared" si="0"/>
        <v>81.999690523566798</v>
      </c>
    </row>
    <row r="34" spans="1:16" s="3182" customFormat="1">
      <c r="A34" s="2939" t="s">
        <v>3120</v>
      </c>
      <c r="B34" s="2939" t="s">
        <v>3070</v>
      </c>
      <c r="C34" s="2939" t="s">
        <v>3071</v>
      </c>
      <c r="D34" s="2939">
        <v>7632.46</v>
      </c>
      <c r="E34" s="2939">
        <v>26713.61</v>
      </c>
      <c r="F34" s="2939" t="s">
        <v>3102</v>
      </c>
      <c r="G34" s="2939" t="s">
        <v>3041</v>
      </c>
      <c r="H34" s="2939" t="s">
        <v>3103</v>
      </c>
      <c r="I34" s="2939">
        <v>744.15</v>
      </c>
      <c r="J34" s="2939">
        <v>744.15</v>
      </c>
      <c r="K34" s="2939">
        <v>278.56</v>
      </c>
      <c r="L34" s="2939">
        <v>0</v>
      </c>
      <c r="M34" s="2939" t="s">
        <v>3104</v>
      </c>
      <c r="P34" s="2939">
        <f t="shared" si="0"/>
        <v>64.999027901882215</v>
      </c>
    </row>
    <row r="35" spans="1:16" s="2939" customFormat="1">
      <c r="A35" s="2939" t="s">
        <v>3109</v>
      </c>
      <c r="B35" s="2939" t="s">
        <v>3070</v>
      </c>
      <c r="C35" s="2939" t="s">
        <v>3071</v>
      </c>
      <c r="D35" s="2939">
        <v>6585.86</v>
      </c>
      <c r="E35" s="2939">
        <v>23050.51</v>
      </c>
      <c r="F35" s="2939" t="s">
        <v>3102</v>
      </c>
      <c r="G35" s="2939" t="s">
        <v>3041</v>
      </c>
      <c r="H35" s="2939" t="s">
        <v>3103</v>
      </c>
      <c r="I35" s="2939">
        <v>671.75</v>
      </c>
      <c r="J35" s="2939">
        <v>671.75</v>
      </c>
      <c r="K35" s="2939">
        <v>291.43</v>
      </c>
      <c r="L35" s="2939">
        <v>0</v>
      </c>
      <c r="M35" s="2939" t="s">
        <v>3104</v>
      </c>
      <c r="P35" s="2939">
        <f t="shared" si="0"/>
        <v>67.999558523867805</v>
      </c>
    </row>
    <row r="36" spans="1:16" s="2939" customFormat="1">
      <c r="A36" s="2939" t="s">
        <v>3121</v>
      </c>
      <c r="B36" s="2939" t="s">
        <v>3070</v>
      </c>
      <c r="C36" s="2939" t="s">
        <v>3071</v>
      </c>
      <c r="D36" s="2939">
        <v>5768.8</v>
      </c>
      <c r="E36" s="2939">
        <v>20190.8</v>
      </c>
      <c r="F36" s="2939" t="s">
        <v>3102</v>
      </c>
      <c r="G36" s="2939" t="s">
        <v>3041</v>
      </c>
      <c r="H36" s="2939" t="s">
        <v>3103</v>
      </c>
      <c r="I36" s="2939">
        <v>588.41</v>
      </c>
      <c r="J36" s="2939">
        <v>588.41</v>
      </c>
      <c r="K36" s="2939">
        <v>291.43</v>
      </c>
      <c r="L36" s="2939">
        <v>0</v>
      </c>
      <c r="M36" s="2939" t="s">
        <v>3104</v>
      </c>
      <c r="P36" s="2939">
        <f t="shared" si="0"/>
        <v>67.999461707807512</v>
      </c>
    </row>
    <row r="37" spans="1:16" s="2939" customFormat="1">
      <c r="A37" s="2939" t="s">
        <v>3118</v>
      </c>
      <c r="B37" s="2939" t="s">
        <v>3070</v>
      </c>
      <c r="C37" s="2939" t="s">
        <v>3071</v>
      </c>
      <c r="D37" s="2939">
        <v>3884.42</v>
      </c>
      <c r="E37" s="2939">
        <v>13595.47</v>
      </c>
      <c r="F37" s="2939" t="s">
        <v>3102</v>
      </c>
      <c r="G37" s="2939" t="s">
        <v>3041</v>
      </c>
      <c r="H37" s="2939" t="s">
        <v>3103</v>
      </c>
      <c r="I37" s="2939">
        <v>477.77</v>
      </c>
      <c r="J37" s="2939">
        <v>477.77</v>
      </c>
      <c r="K37" s="2939">
        <v>351.43</v>
      </c>
      <c r="L37" s="2939">
        <v>0</v>
      </c>
      <c r="M37" s="2939" t="s">
        <v>3104</v>
      </c>
      <c r="P37" s="2939">
        <f t="shared" si="0"/>
        <v>81.998065579932131</v>
      </c>
    </row>
    <row r="38" spans="1:16" s="2939" customFormat="1">
      <c r="A38" s="2939" t="s">
        <v>3122</v>
      </c>
      <c r="B38" s="2939" t="s">
        <v>3070</v>
      </c>
      <c r="C38" s="2939" t="s">
        <v>3071</v>
      </c>
      <c r="D38" s="2939">
        <v>56981.31</v>
      </c>
      <c r="E38" s="2939">
        <v>199434.59</v>
      </c>
      <c r="F38" s="2939" t="s">
        <v>3102</v>
      </c>
      <c r="G38" s="2939" t="s">
        <v>3041</v>
      </c>
      <c r="H38" s="2939" t="s">
        <v>3103</v>
      </c>
      <c r="I38" s="2939">
        <v>7008.65</v>
      </c>
      <c r="J38" s="2939">
        <v>7008.65</v>
      </c>
      <c r="K38" s="2939">
        <v>351.43</v>
      </c>
      <c r="L38" s="2939">
        <v>0</v>
      </c>
      <c r="M38" s="2939" t="s">
        <v>3104</v>
      </c>
      <c r="P38" s="2939">
        <f t="shared" si="0"/>
        <v>81.999811789163843</v>
      </c>
    </row>
    <row r="39" spans="1:16" s="3189" customFormat="1">
      <c r="A39" s="2939" t="s">
        <v>3123</v>
      </c>
      <c r="B39" s="2939" t="s">
        <v>3070</v>
      </c>
      <c r="C39" s="2939" t="s">
        <v>3071</v>
      </c>
      <c r="D39" s="2939">
        <v>6682.8</v>
      </c>
      <c r="E39" s="2939">
        <v>5346.24</v>
      </c>
      <c r="F39" s="2939" t="s">
        <v>3124</v>
      </c>
      <c r="G39" s="2939" t="s">
        <v>3041</v>
      </c>
      <c r="H39" s="2939" t="s">
        <v>3125</v>
      </c>
      <c r="I39" s="2939">
        <v>370.89</v>
      </c>
      <c r="J39" s="2939">
        <v>370.89</v>
      </c>
      <c r="K39" s="2939">
        <v>693.75</v>
      </c>
      <c r="L39" s="2939">
        <v>0</v>
      </c>
      <c r="M39" s="2939" t="s">
        <v>3079</v>
      </c>
      <c r="P39" s="2939">
        <f t="shared" si="0"/>
        <v>36.999646300951689</v>
      </c>
    </row>
    <row r="40" spans="1:16" s="2939" customFormat="1">
      <c r="A40" s="2939" t="s">
        <v>3123</v>
      </c>
      <c r="B40" s="2939" t="s">
        <v>3070</v>
      </c>
      <c r="C40" s="2939" t="s">
        <v>3071</v>
      </c>
      <c r="D40" s="2939">
        <v>9604.9</v>
      </c>
      <c r="E40" s="2939">
        <v>7683.92</v>
      </c>
      <c r="F40" s="2939" t="s">
        <v>3124</v>
      </c>
      <c r="G40" s="2939" t="s">
        <v>3041</v>
      </c>
      <c r="H40" s="2939" t="s">
        <v>3125</v>
      </c>
      <c r="I40" s="2939">
        <v>533.07000000000005</v>
      </c>
      <c r="J40" s="2939">
        <v>533.07000000000005</v>
      </c>
      <c r="K40" s="2939">
        <v>693.75</v>
      </c>
      <c r="L40" s="2939">
        <v>0</v>
      </c>
      <c r="M40" s="2939" t="s">
        <v>3079</v>
      </c>
      <c r="P40" s="2939">
        <f t="shared" si="0"/>
        <v>37.000049651740255</v>
      </c>
    </row>
    <row r="41" spans="1:16" s="2939" customFormat="1">
      <c r="A41" s="2939" t="s">
        <v>3126</v>
      </c>
      <c r="B41" s="2939" t="s">
        <v>3070</v>
      </c>
      <c r="C41" s="2939" t="s">
        <v>3071</v>
      </c>
      <c r="D41" s="2939">
        <v>37067.199999999997</v>
      </c>
      <c r="E41" s="2939">
        <v>148268.79999999999</v>
      </c>
      <c r="F41" s="2939" t="s">
        <v>3085</v>
      </c>
      <c r="G41" s="2939" t="s">
        <v>3041</v>
      </c>
      <c r="H41" s="2939" t="s">
        <v>3127</v>
      </c>
      <c r="I41" s="2939">
        <v>8380.59</v>
      </c>
      <c r="J41" s="2939">
        <v>8380.59</v>
      </c>
      <c r="K41" s="2939">
        <v>565.23</v>
      </c>
      <c r="L41" s="2939">
        <v>0</v>
      </c>
      <c r="M41" s="2939" t="s">
        <v>3128</v>
      </c>
      <c r="P41" s="2939">
        <f t="shared" si="0"/>
        <v>150.72862086426815</v>
      </c>
    </row>
    <row r="42" spans="1:16" s="2939" customFormat="1">
      <c r="A42" s="3184" t="s">
        <v>3129</v>
      </c>
      <c r="B42" s="3184" t="s">
        <v>3070</v>
      </c>
      <c r="C42" s="3184" t="s">
        <v>3071</v>
      </c>
      <c r="D42" s="3184">
        <v>67543.7</v>
      </c>
      <c r="E42" s="3184">
        <v>270174.8</v>
      </c>
      <c r="F42" s="3184" t="s">
        <v>3085</v>
      </c>
      <c r="G42" s="3184" t="s">
        <v>3041</v>
      </c>
      <c r="H42" s="3184" t="s">
        <v>3127</v>
      </c>
      <c r="I42" s="3184">
        <v>15251.7</v>
      </c>
      <c r="J42" s="3184">
        <v>15251.7</v>
      </c>
      <c r="K42" s="3184">
        <v>564.5</v>
      </c>
      <c r="L42" s="3184">
        <v>0</v>
      </c>
      <c r="M42" s="3184" t="s">
        <v>3128</v>
      </c>
      <c r="P42" s="2939">
        <f t="shared" si="0"/>
        <v>150.5373682371561</v>
      </c>
    </row>
    <row r="43" spans="1:16" s="3184" customFormat="1">
      <c r="A43" s="3184" t="s">
        <v>3130</v>
      </c>
      <c r="B43" s="3184" t="s">
        <v>3070</v>
      </c>
      <c r="C43" s="3184" t="s">
        <v>3071</v>
      </c>
      <c r="D43" s="3184">
        <v>43416</v>
      </c>
      <c r="E43" s="3184">
        <v>173664</v>
      </c>
      <c r="F43" s="3184" t="s">
        <v>3085</v>
      </c>
      <c r="G43" s="3184" t="s">
        <v>3041</v>
      </c>
      <c r="H43" s="3184" t="s">
        <v>3127</v>
      </c>
      <c r="I43" s="3184">
        <v>9815.5400000000009</v>
      </c>
      <c r="J43" s="3184">
        <v>9815.5400000000009</v>
      </c>
      <c r="K43" s="3184">
        <v>565.20000000000005</v>
      </c>
      <c r="L43" s="3184">
        <v>0</v>
      </c>
      <c r="M43" s="3184" t="s">
        <v>3128</v>
      </c>
      <c r="P43" s="3184">
        <f t="shared" si="0"/>
        <v>150.7215324258338</v>
      </c>
    </row>
    <row r="44" spans="1:16" s="2939" customFormat="1">
      <c r="A44" s="2939" t="s">
        <v>3130</v>
      </c>
      <c r="B44" s="2939" t="s">
        <v>3070</v>
      </c>
      <c r="C44" s="2939" t="s">
        <v>3071</v>
      </c>
      <c r="D44" s="2939">
        <v>31598.799999999999</v>
      </c>
      <c r="E44" s="2939">
        <v>126395.2</v>
      </c>
      <c r="F44" s="2939" t="s">
        <v>3085</v>
      </c>
      <c r="G44" s="2939" t="s">
        <v>3041</v>
      </c>
      <c r="H44" s="2939" t="s">
        <v>3127</v>
      </c>
      <c r="I44" s="2939">
        <v>7132.1</v>
      </c>
      <c r="J44" s="2939">
        <v>7132.1</v>
      </c>
      <c r="K44" s="2939">
        <v>564.26</v>
      </c>
      <c r="L44" s="2939">
        <v>0</v>
      </c>
      <c r="M44" s="2939" t="s">
        <v>3131</v>
      </c>
      <c r="P44" s="2939">
        <f t="shared" si="0"/>
        <v>150.47271121055229</v>
      </c>
    </row>
    <row r="45" spans="1:16" s="2939" customFormat="1">
      <c r="A45" s="2939" t="s">
        <v>3132</v>
      </c>
      <c r="B45" s="2939" t="s">
        <v>3070</v>
      </c>
      <c r="C45" s="2939" t="s">
        <v>3071</v>
      </c>
      <c r="D45" s="2939">
        <v>12299.5</v>
      </c>
      <c r="E45" s="2939">
        <v>49198</v>
      </c>
      <c r="F45" s="2939" t="s">
        <v>3085</v>
      </c>
      <c r="G45" s="2939" t="s">
        <v>3041</v>
      </c>
      <c r="H45" s="2939" t="s">
        <v>3127</v>
      </c>
      <c r="I45" s="2939">
        <v>2772.48</v>
      </c>
      <c r="J45" s="2939">
        <v>2772.48</v>
      </c>
      <c r="K45" s="2939">
        <v>563.53</v>
      </c>
      <c r="L45" s="2939">
        <v>0</v>
      </c>
      <c r="M45" s="2939" t="s">
        <v>3133</v>
      </c>
      <c r="P45" s="2939">
        <f t="shared" si="0"/>
        <v>150.27677886092931</v>
      </c>
    </row>
    <row r="46" spans="1:16" s="2939" customFormat="1">
      <c r="A46" s="2939" t="s">
        <v>3134</v>
      </c>
      <c r="B46" s="2939" t="s">
        <v>3070</v>
      </c>
      <c r="C46" s="2939" t="s">
        <v>3071</v>
      </c>
      <c r="D46" s="2939">
        <v>37050.300000000003</v>
      </c>
      <c r="E46" s="2939">
        <v>148201.20000000001</v>
      </c>
      <c r="F46" s="2939" t="s">
        <v>3085</v>
      </c>
      <c r="G46" s="2939" t="s">
        <v>3041</v>
      </c>
      <c r="H46" s="2939" t="s">
        <v>3127</v>
      </c>
      <c r="I46" s="2939">
        <v>8364.9500000000007</v>
      </c>
      <c r="J46" s="2939">
        <v>8364.9500000000007</v>
      </c>
      <c r="K46" s="2939">
        <v>564.41999999999996</v>
      </c>
      <c r="L46" s="2939">
        <v>0</v>
      </c>
      <c r="M46" s="2939" t="s">
        <v>3131</v>
      </c>
      <c r="P46" s="2939">
        <f t="shared" si="0"/>
        <v>150.51595308270109</v>
      </c>
    </row>
    <row r="47" spans="1:16" s="2939" customFormat="1">
      <c r="A47" s="2939" t="s">
        <v>3135</v>
      </c>
      <c r="B47" s="2939" t="s">
        <v>3070</v>
      </c>
      <c r="C47" s="2939" t="s">
        <v>3071</v>
      </c>
      <c r="D47" s="2939">
        <v>38089.199999999997</v>
      </c>
      <c r="E47" s="2939">
        <v>152356.79999999999</v>
      </c>
      <c r="F47" s="2939" t="s">
        <v>3085</v>
      </c>
      <c r="G47" s="2939" t="s">
        <v>3041</v>
      </c>
      <c r="H47" s="2939" t="s">
        <v>3127</v>
      </c>
      <c r="I47" s="2939">
        <v>8599.7800000000007</v>
      </c>
      <c r="J47" s="2939">
        <v>8599.7800000000007</v>
      </c>
      <c r="K47" s="2939">
        <v>564.45000000000005</v>
      </c>
      <c r="L47" s="2939">
        <v>0</v>
      </c>
      <c r="M47" s="2939" t="s">
        <v>3131</v>
      </c>
      <c r="P47" s="2939">
        <f t="shared" si="0"/>
        <v>150.52076002121336</v>
      </c>
    </row>
    <row r="48" spans="1:16" s="2939" customFormat="1">
      <c r="A48" s="2939" t="s">
        <v>3134</v>
      </c>
      <c r="B48" s="2939" t="s">
        <v>3070</v>
      </c>
      <c r="C48" s="2939" t="s">
        <v>3071</v>
      </c>
      <c r="D48" s="2939">
        <v>33354.5</v>
      </c>
      <c r="E48" s="2939">
        <v>133418</v>
      </c>
      <c r="F48" s="2939" t="s">
        <v>3085</v>
      </c>
      <c r="G48" s="2939" t="s">
        <v>3041</v>
      </c>
      <c r="H48" s="2939" t="s">
        <v>3127</v>
      </c>
      <c r="I48" s="2939">
        <v>7531.02</v>
      </c>
      <c r="J48" s="2939">
        <v>7531.02</v>
      </c>
      <c r="K48" s="2939">
        <v>564.47</v>
      </c>
      <c r="L48" s="2939">
        <v>0</v>
      </c>
      <c r="M48" s="2939" t="s">
        <v>3131</v>
      </c>
      <c r="P48" s="2939">
        <f t="shared" si="0"/>
        <v>150.52556936545292</v>
      </c>
    </row>
    <row r="49" spans="1:16" s="2939" customFormat="1">
      <c r="A49" s="2939" t="s">
        <v>3136</v>
      </c>
      <c r="B49" s="2939" t="s">
        <v>3070</v>
      </c>
      <c r="C49" s="2939" t="s">
        <v>3071</v>
      </c>
      <c r="D49" s="2939">
        <v>68739</v>
      </c>
      <c r="E49" s="2939">
        <v>274956</v>
      </c>
      <c r="F49" s="2939" t="s">
        <v>3085</v>
      </c>
      <c r="G49" s="2939" t="s">
        <v>3041</v>
      </c>
      <c r="H49" s="2939" t="s">
        <v>3127</v>
      </c>
      <c r="I49" s="2939">
        <v>15521.14</v>
      </c>
      <c r="J49" s="2939">
        <v>15521.14</v>
      </c>
      <c r="K49" s="2939">
        <v>564.5</v>
      </c>
      <c r="L49" s="2939">
        <v>0</v>
      </c>
      <c r="M49" s="2939" t="s">
        <v>3128</v>
      </c>
      <c r="P49" s="2939">
        <f t="shared" si="0"/>
        <v>150.53286204047191</v>
      </c>
    </row>
    <row r="50" spans="1:16" s="2939" customFormat="1">
      <c r="A50" s="2939" t="s">
        <v>3137</v>
      </c>
      <c r="B50" s="2939" t="s">
        <v>3070</v>
      </c>
      <c r="C50" s="2939" t="s">
        <v>3071</v>
      </c>
      <c r="D50" s="2939">
        <v>41230.300000000003</v>
      </c>
      <c r="E50" s="2939">
        <v>164921.20000000001</v>
      </c>
      <c r="F50" s="2939" t="s">
        <v>3085</v>
      </c>
      <c r="G50" s="2939" t="s">
        <v>3041</v>
      </c>
      <c r="H50" s="2939" t="s">
        <v>3127</v>
      </c>
      <c r="I50" s="2939">
        <v>9292.7000000000007</v>
      </c>
      <c r="J50" s="2939">
        <v>9292.7000000000007</v>
      </c>
      <c r="K50" s="2939">
        <v>563.46</v>
      </c>
      <c r="L50" s="2939">
        <v>0</v>
      </c>
      <c r="M50" s="2939" t="s">
        <v>3128</v>
      </c>
      <c r="P50" s="2939">
        <f t="shared" si="0"/>
        <v>150.25756079873295</v>
      </c>
    </row>
    <row r="51" spans="1:16" s="2939" customFormat="1">
      <c r="A51" s="2939" t="s">
        <v>3138</v>
      </c>
      <c r="B51" s="2939" t="s">
        <v>3070</v>
      </c>
      <c r="C51" s="2939" t="s">
        <v>3071</v>
      </c>
      <c r="D51" s="2939">
        <v>45529.8</v>
      </c>
      <c r="E51" s="2939">
        <v>182119.2</v>
      </c>
      <c r="F51" s="2939" t="s">
        <v>3085</v>
      </c>
      <c r="G51" s="2939" t="s">
        <v>3041</v>
      </c>
      <c r="H51" s="2939" t="s">
        <v>3127</v>
      </c>
      <c r="I51" s="2939">
        <v>10248.280000000001</v>
      </c>
      <c r="J51" s="2939">
        <v>10248.280000000001</v>
      </c>
      <c r="K51" s="2939">
        <v>562.72</v>
      </c>
      <c r="L51" s="2939">
        <v>0</v>
      </c>
      <c r="M51" s="2939" t="s">
        <v>3128</v>
      </c>
      <c r="P51" s="2939">
        <f t="shared" si="0"/>
        <v>150.06041817886307</v>
      </c>
    </row>
    <row r="52" spans="1:16" ht="14.25">
      <c r="A52" s="3199"/>
      <c r="B52" s="3199"/>
      <c r="C52" s="3199"/>
      <c r="D52" s="3199"/>
      <c r="E52" s="3199"/>
      <c r="F52" s="3199"/>
      <c r="G52" s="3199"/>
      <c r="H52" s="3199"/>
      <c r="I52" s="3199"/>
      <c r="J52" s="3199"/>
      <c r="K52" s="3199"/>
      <c r="L52" s="3199"/>
      <c r="M52" s="3199"/>
      <c r="P52" s="2939"/>
    </row>
    <row r="53" spans="1:16" ht="14.25">
      <c r="A53" s="3199"/>
      <c r="B53" s="3199"/>
      <c r="C53" s="3199"/>
      <c r="D53" s="3199"/>
      <c r="E53" s="3199"/>
      <c r="F53" s="3199"/>
      <c r="G53" s="3199"/>
      <c r="H53" s="3199"/>
      <c r="I53" s="3199"/>
      <c r="J53" s="3199"/>
      <c r="K53" s="3199"/>
      <c r="L53" s="3199"/>
      <c r="M53" s="3199"/>
      <c r="P53" s="2939"/>
    </row>
    <row r="54" spans="1:16" ht="14.25">
      <c r="A54" s="3199"/>
      <c r="B54" s="3199"/>
      <c r="C54" s="3199"/>
      <c r="D54" s="3199"/>
      <c r="E54" s="3199"/>
      <c r="F54" s="3199"/>
      <c r="G54" s="3199"/>
      <c r="H54" s="3199"/>
      <c r="I54" s="3199"/>
      <c r="J54" s="3199"/>
      <c r="K54" s="3199"/>
      <c r="L54" s="3199"/>
      <c r="M54" s="3199"/>
      <c r="P54" s="2939"/>
    </row>
    <row r="55" spans="1:16" ht="14.25">
      <c r="A55" s="3199"/>
      <c r="B55" s="3199"/>
      <c r="C55" s="3199"/>
      <c r="D55" s="3199"/>
      <c r="E55" s="3199"/>
      <c r="F55" s="3199"/>
      <c r="G55" s="3199"/>
      <c r="H55" s="3199"/>
      <c r="I55" s="3199"/>
      <c r="J55" s="3199"/>
      <c r="K55" s="3199"/>
      <c r="L55" s="3199"/>
      <c r="M55" s="3199"/>
      <c r="P55" s="2939"/>
    </row>
    <row r="56" spans="1:16" ht="14.25">
      <c r="A56" s="3199"/>
      <c r="B56" s="3199"/>
      <c r="C56" s="3199"/>
      <c r="D56" s="3199"/>
      <c r="E56" s="3199"/>
      <c r="F56" s="3199"/>
      <c r="G56" s="3199"/>
      <c r="H56" s="3199"/>
      <c r="I56" s="3199"/>
      <c r="J56" s="3199"/>
      <c r="K56" s="3199"/>
      <c r="L56" s="3199"/>
      <c r="M56" s="3199"/>
      <c r="P56" s="2939"/>
    </row>
    <row r="57" spans="1:16" ht="14.25">
      <c r="A57" s="3199"/>
      <c r="B57" s="3199"/>
      <c r="C57" s="3199"/>
      <c r="D57" s="3199"/>
      <c r="E57" s="3199"/>
      <c r="F57" s="3199"/>
      <c r="G57" s="3199"/>
      <c r="H57" s="3199"/>
      <c r="I57" s="3199"/>
      <c r="J57" s="3199"/>
      <c r="K57" s="3199"/>
      <c r="L57" s="3199"/>
      <c r="M57" s="3199"/>
      <c r="P57" s="2939"/>
    </row>
    <row r="58" spans="1:16" ht="14.25">
      <c r="A58" s="3199"/>
      <c r="B58" s="3199"/>
      <c r="C58" s="3199"/>
      <c r="D58" s="3199"/>
      <c r="E58" s="3199"/>
      <c r="F58" s="3199"/>
      <c r="G58" s="3199"/>
      <c r="H58" s="3199"/>
      <c r="I58" s="3199"/>
      <c r="J58" s="3199"/>
      <c r="K58" s="3199"/>
      <c r="L58" s="3199"/>
      <c r="M58" s="3199"/>
      <c r="P58" s="2939"/>
    </row>
    <row r="59" spans="1:16" ht="14.25">
      <c r="A59" s="3199"/>
      <c r="B59" s="3199"/>
      <c r="C59" s="3199"/>
      <c r="D59" s="3199"/>
      <c r="E59" s="3199"/>
      <c r="F59" s="3199"/>
      <c r="G59" s="3199"/>
      <c r="H59" s="3199"/>
      <c r="I59" s="3199"/>
      <c r="J59" s="3199"/>
      <c r="K59" s="3199"/>
      <c r="L59" s="3199"/>
      <c r="M59" s="3199"/>
      <c r="P59" s="2939"/>
    </row>
    <row r="60" spans="1:16" ht="14.25">
      <c r="A60" s="3199"/>
      <c r="B60" s="3199"/>
      <c r="C60" s="3199"/>
      <c r="D60" s="3199"/>
      <c r="E60" s="3199"/>
      <c r="F60" s="3199"/>
      <c r="G60" s="3199"/>
      <c r="H60" s="3199"/>
      <c r="I60" s="3199"/>
      <c r="J60" s="3199"/>
      <c r="K60" s="3199"/>
      <c r="L60" s="3199"/>
      <c r="M60" s="3199"/>
      <c r="P60" s="2939"/>
    </row>
    <row r="61" spans="1:16" ht="14.25">
      <c r="A61" s="3200"/>
      <c r="B61" s="3201"/>
      <c r="C61" s="3201"/>
      <c r="D61" s="3201"/>
      <c r="E61" s="3201"/>
      <c r="F61" s="3201"/>
      <c r="G61" s="3201"/>
      <c r="H61" s="3201"/>
      <c r="I61" s="3201"/>
      <c r="J61" s="3201"/>
      <c r="K61" s="3201"/>
      <c r="L61" s="3201"/>
      <c r="M61" s="3201"/>
      <c r="N61" s="3202"/>
      <c r="O61" s="3202"/>
      <c r="P61" s="2939"/>
    </row>
    <row r="62" spans="1:16" ht="14.25">
      <c r="A62" s="3199"/>
      <c r="B62" s="3199"/>
      <c r="C62" s="3199"/>
      <c r="D62" s="3199"/>
      <c r="E62" s="3199"/>
      <c r="F62" s="3199"/>
      <c r="G62" s="3199"/>
      <c r="H62" s="3199"/>
      <c r="I62" s="3199"/>
      <c r="J62" s="3199"/>
      <c r="K62" s="3199"/>
      <c r="L62" s="3199"/>
      <c r="M62" s="3199"/>
      <c r="P62" s="2939" t="e">
        <f t="shared" si="0"/>
        <v>#DIV/0!</v>
      </c>
    </row>
    <row r="63" spans="1:16" ht="14.25">
      <c r="A63" s="3199"/>
      <c r="B63" s="3199"/>
      <c r="C63" s="3199"/>
      <c r="D63" s="3199"/>
      <c r="E63" s="3199"/>
      <c r="F63" s="3199"/>
      <c r="G63" s="3199"/>
      <c r="H63" s="3199"/>
      <c r="I63" s="3199"/>
      <c r="J63" s="3199"/>
      <c r="K63" s="3199"/>
      <c r="L63" s="3199"/>
      <c r="M63" s="3199"/>
      <c r="P63" s="2939" t="e">
        <f t="shared" si="0"/>
        <v>#DIV/0!</v>
      </c>
    </row>
    <row r="64" spans="1:16" ht="14.25">
      <c r="A64" s="3199"/>
      <c r="B64" s="3199"/>
      <c r="C64" s="3199"/>
      <c r="D64" s="3199"/>
      <c r="E64" s="3199"/>
      <c r="F64" s="3199"/>
      <c r="G64" s="3199"/>
      <c r="H64" s="3199"/>
      <c r="I64" s="3199"/>
      <c r="J64" s="3199"/>
      <c r="K64" s="3199"/>
      <c r="L64" s="3199"/>
      <c r="M64" s="3199"/>
      <c r="P64" s="2939" t="e">
        <f t="shared" si="0"/>
        <v>#DIV/0!</v>
      </c>
    </row>
    <row r="65" spans="1:16" ht="14.25">
      <c r="A65" s="3199"/>
      <c r="B65" s="3199"/>
      <c r="C65" s="3199"/>
      <c r="D65" s="3199"/>
      <c r="E65" s="3199"/>
      <c r="F65" s="3199"/>
      <c r="G65" s="3199"/>
      <c r="H65" s="3199"/>
      <c r="I65" s="3199"/>
      <c r="J65" s="3199"/>
      <c r="K65" s="3199"/>
      <c r="L65" s="3199"/>
      <c r="M65" s="3199"/>
      <c r="P65" s="2939" t="e">
        <f t="shared" si="0"/>
        <v>#DIV/0!</v>
      </c>
    </row>
    <row r="66" spans="1:16">
      <c r="A66" s="3199"/>
      <c r="B66" s="3199"/>
      <c r="C66" s="3199"/>
      <c r="D66" s="3199"/>
      <c r="E66" s="3199"/>
      <c r="F66" s="3199"/>
      <c r="G66" s="3199"/>
      <c r="H66" s="3199"/>
      <c r="I66" s="3199"/>
      <c r="J66" s="3199"/>
      <c r="K66" s="3199"/>
      <c r="L66" s="3199"/>
      <c r="M66" s="3199"/>
    </row>
    <row r="67" spans="1:16">
      <c r="A67" s="3199"/>
      <c r="B67" s="3199"/>
      <c r="C67" s="3199"/>
      <c r="D67" s="3199"/>
      <c r="E67" s="3199"/>
      <c r="F67" s="3199"/>
      <c r="G67" s="3199"/>
      <c r="H67" s="3199"/>
      <c r="I67" s="3199"/>
      <c r="J67" s="3199"/>
      <c r="K67" s="3199"/>
      <c r="L67" s="3199"/>
      <c r="M67" s="3199"/>
    </row>
    <row r="68" spans="1:16">
      <c r="A68" s="3199"/>
      <c r="B68" s="3199"/>
      <c r="C68" s="3199"/>
      <c r="D68" s="3199"/>
      <c r="E68" s="3199"/>
      <c r="F68" s="3199"/>
      <c r="G68" s="3199"/>
      <c r="H68" s="3199"/>
      <c r="I68" s="3199"/>
      <c r="J68" s="3199"/>
      <c r="K68" s="3199"/>
      <c r="L68" s="3199"/>
      <c r="M68" s="3199"/>
    </row>
    <row r="69" spans="1:16">
      <c r="A69" s="3199"/>
      <c r="B69" s="3199"/>
      <c r="C69" s="3199"/>
      <c r="D69" s="3199"/>
      <c r="E69" s="3199"/>
      <c r="F69" s="3199"/>
      <c r="G69" s="3199"/>
      <c r="H69" s="3199"/>
      <c r="I69" s="3199"/>
      <c r="J69" s="3199"/>
      <c r="K69" s="3199"/>
      <c r="L69" s="3199"/>
      <c r="M69" s="3199"/>
    </row>
    <row r="70" spans="1:16">
      <c r="A70" s="3199"/>
      <c r="B70" s="3199"/>
      <c r="C70" s="3199"/>
      <c r="D70" s="3199"/>
      <c r="E70" s="3199"/>
      <c r="F70" s="3199"/>
      <c r="G70" s="3199"/>
      <c r="H70" s="3199"/>
      <c r="I70" s="3199"/>
      <c r="J70" s="3199"/>
      <c r="K70" s="3199"/>
      <c r="L70" s="3199"/>
      <c r="M70" s="3199"/>
    </row>
    <row r="71" spans="1:16">
      <c r="A71" s="3199"/>
      <c r="B71" s="3199"/>
      <c r="C71" s="3199"/>
      <c r="D71" s="3199"/>
      <c r="E71" s="3199"/>
      <c r="F71" s="3199"/>
      <c r="G71" s="3199"/>
      <c r="H71" s="3199"/>
      <c r="I71" s="3199"/>
      <c r="J71" s="3199"/>
      <c r="K71" s="3199"/>
      <c r="L71" s="3199"/>
      <c r="M71" s="3199"/>
    </row>
    <row r="72" spans="1:16">
      <c r="A72" s="3199"/>
      <c r="B72" s="3199"/>
      <c r="C72" s="3199"/>
      <c r="D72" s="3199"/>
      <c r="E72" s="3199"/>
      <c r="F72" s="3199"/>
      <c r="G72" s="3199"/>
      <c r="H72" s="3199"/>
      <c r="I72" s="3199"/>
      <c r="J72" s="3199"/>
      <c r="K72" s="3199"/>
      <c r="L72" s="3199"/>
      <c r="M72" s="3199"/>
    </row>
    <row r="73" spans="1:16">
      <c r="A73" s="3199"/>
      <c r="B73" s="3199"/>
      <c r="C73" s="3199"/>
      <c r="D73" s="3199"/>
      <c r="E73" s="3199"/>
      <c r="F73" s="3199"/>
      <c r="G73" s="3199"/>
      <c r="H73" s="3199"/>
      <c r="I73" s="3199"/>
      <c r="J73" s="3199"/>
      <c r="K73" s="3199"/>
      <c r="L73" s="3199"/>
      <c r="M73" s="3199"/>
    </row>
    <row r="74" spans="1:16">
      <c r="A74" s="3199"/>
      <c r="B74" s="3199"/>
      <c r="C74" s="3199"/>
      <c r="D74" s="3199"/>
      <c r="E74" s="3199"/>
      <c r="F74" s="3199"/>
      <c r="G74" s="3199"/>
      <c r="H74" s="3199"/>
      <c r="I74" s="3199"/>
      <c r="J74" s="3199"/>
      <c r="K74" s="3199"/>
      <c r="L74" s="3199"/>
      <c r="M74" s="3199"/>
    </row>
    <row r="75" spans="1:16">
      <c r="A75" s="3199"/>
      <c r="B75" s="3199"/>
      <c r="C75" s="3199"/>
      <c r="D75" s="3199"/>
      <c r="E75" s="3199"/>
      <c r="F75" s="3199"/>
      <c r="G75" s="3199"/>
      <c r="H75" s="3199"/>
      <c r="I75" s="3199"/>
      <c r="J75" s="3199"/>
      <c r="K75" s="3199"/>
      <c r="L75" s="3199"/>
      <c r="M75" s="3199"/>
    </row>
    <row r="76" spans="1:16">
      <c r="A76" s="3199"/>
      <c r="B76" s="3199"/>
      <c r="C76" s="3199"/>
      <c r="D76" s="3199"/>
      <c r="E76" s="3199"/>
      <c r="F76" s="3199"/>
      <c r="G76" s="3199"/>
      <c r="H76" s="3199"/>
      <c r="I76" s="3199"/>
      <c r="J76" s="3199"/>
      <c r="K76" s="3199"/>
      <c r="L76" s="3199"/>
      <c r="M76" s="3199"/>
    </row>
    <row r="77" spans="1:16">
      <c r="A77" s="3199"/>
      <c r="B77" s="3199"/>
      <c r="C77" s="3199"/>
      <c r="D77" s="3199"/>
      <c r="E77" s="3199"/>
      <c r="F77" s="3199"/>
      <c r="G77" s="3199"/>
      <c r="H77" s="3199"/>
      <c r="I77" s="3199"/>
      <c r="J77" s="3199"/>
      <c r="K77" s="3199"/>
      <c r="L77" s="3199"/>
      <c r="M77" s="3199"/>
    </row>
    <row r="78" spans="1:16">
      <c r="A78" s="3199"/>
      <c r="B78" s="3199"/>
      <c r="C78" s="3199"/>
      <c r="D78" s="3199"/>
      <c r="E78" s="3199"/>
      <c r="F78" s="3199"/>
      <c r="G78" s="3199"/>
      <c r="H78" s="3199"/>
      <c r="I78" s="3199"/>
      <c r="J78" s="3199"/>
      <c r="K78" s="3199"/>
      <c r="L78" s="3199"/>
      <c r="M78" s="3199"/>
    </row>
    <row r="79" spans="1:16">
      <c r="A79" s="3199"/>
      <c r="B79" s="3199"/>
      <c r="C79" s="3199"/>
      <c r="D79" s="3199"/>
      <c r="E79" s="3199"/>
      <c r="F79" s="3199"/>
      <c r="G79" s="3199"/>
      <c r="H79" s="3199"/>
      <c r="I79" s="3199"/>
      <c r="J79" s="3199"/>
      <c r="K79" s="3199"/>
      <c r="L79" s="3199"/>
      <c r="M79" s="3199"/>
    </row>
    <row r="80" spans="1:16">
      <c r="A80" s="3199"/>
      <c r="B80" s="3199"/>
      <c r="C80" s="3199"/>
      <c r="D80" s="3199"/>
      <c r="E80" s="3199"/>
      <c r="F80" s="3199"/>
      <c r="G80" s="3199"/>
      <c r="H80" s="3199"/>
      <c r="I80" s="3199"/>
      <c r="J80" s="3199"/>
      <c r="K80" s="3199"/>
      <c r="L80" s="3199"/>
      <c r="M80" s="3199"/>
    </row>
    <row r="81" spans="1:13">
      <c r="A81" s="3199"/>
      <c r="B81" s="3199"/>
      <c r="C81" s="3199"/>
      <c r="D81" s="3199"/>
      <c r="E81" s="3199"/>
      <c r="F81" s="3199"/>
      <c r="G81" s="3199"/>
      <c r="H81" s="3199"/>
      <c r="I81" s="3199"/>
      <c r="J81" s="3199"/>
      <c r="K81" s="3199"/>
      <c r="L81" s="3199"/>
      <c r="M81" s="3199"/>
    </row>
    <row r="82" spans="1:13">
      <c r="A82" s="3199"/>
      <c r="B82" s="3199"/>
      <c r="C82" s="3199"/>
      <c r="D82" s="3199"/>
      <c r="E82" s="3199"/>
      <c r="F82" s="3199"/>
      <c r="G82" s="3199"/>
      <c r="H82" s="3199"/>
      <c r="I82" s="3199"/>
      <c r="J82" s="3199"/>
      <c r="K82" s="3199"/>
      <c r="L82" s="3199"/>
      <c r="M82" s="3199"/>
    </row>
    <row r="83" spans="1:13">
      <c r="A83" s="3199"/>
      <c r="B83" s="3199"/>
      <c r="C83" s="3199"/>
      <c r="D83" s="3199"/>
      <c r="E83" s="3199"/>
      <c r="F83" s="3199"/>
      <c r="G83" s="3199"/>
      <c r="H83" s="3199"/>
      <c r="I83" s="3199"/>
      <c r="J83" s="3199"/>
      <c r="K83" s="3199"/>
      <c r="L83" s="3199"/>
      <c r="M83" s="3199"/>
    </row>
    <row r="84" spans="1:13">
      <c r="A84" s="3199"/>
      <c r="B84" s="3199"/>
      <c r="C84" s="3199"/>
      <c r="D84" s="3199"/>
      <c r="E84" s="3199"/>
      <c r="F84" s="3199"/>
      <c r="G84" s="3199"/>
      <c r="H84" s="3199"/>
      <c r="I84" s="3199"/>
      <c r="J84" s="3199"/>
      <c r="K84" s="3199"/>
      <c r="L84" s="3199"/>
      <c r="M84" s="3199"/>
    </row>
    <row r="85" spans="1:13">
      <c r="A85" s="3199"/>
      <c r="B85" s="3199"/>
      <c r="C85" s="3199"/>
      <c r="D85" s="3199"/>
      <c r="E85" s="3199"/>
      <c r="F85" s="3199"/>
      <c r="G85" s="3199"/>
      <c r="H85" s="3199"/>
      <c r="I85" s="3199"/>
      <c r="J85" s="3199"/>
      <c r="K85" s="3199"/>
      <c r="L85" s="3199"/>
      <c r="M85" s="3199"/>
    </row>
    <row r="86" spans="1:13">
      <c r="A86" s="3199"/>
      <c r="B86" s="3199"/>
      <c r="C86" s="3199"/>
      <c r="D86" s="3199"/>
      <c r="E86" s="3199"/>
      <c r="F86" s="3199"/>
      <c r="G86" s="3199"/>
      <c r="H86" s="3199"/>
      <c r="I86" s="3199"/>
      <c r="J86" s="3199"/>
      <c r="K86" s="3199"/>
      <c r="L86" s="3199"/>
      <c r="M86" s="3199"/>
    </row>
    <row r="87" spans="1:13">
      <c r="A87" s="3199"/>
      <c r="B87" s="3199"/>
      <c r="C87" s="3199"/>
      <c r="D87" s="3199"/>
      <c r="E87" s="3199"/>
      <c r="F87" s="3199"/>
      <c r="G87" s="3199"/>
      <c r="H87" s="3199"/>
      <c r="I87" s="3199"/>
      <c r="J87" s="3199"/>
      <c r="K87" s="3199"/>
      <c r="L87" s="3199"/>
      <c r="M87" s="3199"/>
    </row>
    <row r="88" spans="1:13">
      <c r="A88" s="3199"/>
      <c r="B88" s="3199"/>
      <c r="C88" s="3199"/>
      <c r="D88" s="3199"/>
      <c r="E88" s="3199"/>
      <c r="F88" s="3199"/>
      <c r="G88" s="3199"/>
      <c r="H88" s="3199"/>
      <c r="I88" s="3199"/>
      <c r="J88" s="3199"/>
      <c r="K88" s="3199"/>
      <c r="L88" s="3199"/>
      <c r="M88" s="3199"/>
    </row>
    <row r="89" spans="1:13">
      <c r="A89" s="3199"/>
      <c r="B89" s="3199"/>
      <c r="C89" s="3199"/>
      <c r="D89" s="3199"/>
      <c r="E89" s="3199"/>
      <c r="F89" s="3199"/>
      <c r="G89" s="3199"/>
      <c r="H89" s="3199"/>
      <c r="I89" s="3199"/>
      <c r="J89" s="3199"/>
      <c r="K89" s="3199"/>
      <c r="L89" s="3199"/>
      <c r="M89" s="3199"/>
    </row>
  </sheetData>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tabSelected="1" workbookViewId="0">
      <selection activeCell="R6" sqref="R6"/>
    </sheetView>
  </sheetViews>
  <sheetFormatPr defaultRowHeight="13.5"/>
  <sheetData>
    <row r="1" spans="1:18" ht="26.25" thickBot="1">
      <c r="A1" s="3535" t="s">
        <v>2031</v>
      </c>
      <c r="B1" s="3535" t="s">
        <v>3223</v>
      </c>
      <c r="C1" s="3535" t="s">
        <v>2032</v>
      </c>
      <c r="D1" s="3535" t="s">
        <v>3224</v>
      </c>
      <c r="E1" s="3538" t="s">
        <v>2033</v>
      </c>
      <c r="F1" s="3537"/>
      <c r="G1" s="3539"/>
      <c r="H1" s="3538" t="s">
        <v>2034</v>
      </c>
      <c r="I1" s="3537"/>
      <c r="J1" s="3539"/>
      <c r="K1" s="3535" t="s">
        <v>2035</v>
      </c>
      <c r="L1" s="3535" t="s">
        <v>2036</v>
      </c>
      <c r="M1" s="3535" t="s">
        <v>3225</v>
      </c>
      <c r="N1" s="3535" t="s">
        <v>3251</v>
      </c>
      <c r="O1" s="3535" t="s">
        <v>3252</v>
      </c>
      <c r="P1" s="3531" t="s">
        <v>3253</v>
      </c>
      <c r="Q1" s="3535" t="s">
        <v>3249</v>
      </c>
      <c r="R1" s="3535" t="s">
        <v>3250</v>
      </c>
    </row>
    <row r="2" spans="1:18" ht="14.25" thickBot="1">
      <c r="A2" s="3536"/>
      <c r="B2" s="3536"/>
      <c r="C2" s="3536"/>
      <c r="D2" s="3536"/>
      <c r="E2" s="3232" t="s">
        <v>3226</v>
      </c>
      <c r="F2" s="3232" t="s">
        <v>3227</v>
      </c>
      <c r="G2" s="3232" t="s">
        <v>2038</v>
      </c>
      <c r="H2" s="3232" t="s">
        <v>2039</v>
      </c>
      <c r="I2" s="3232" t="s">
        <v>3227</v>
      </c>
      <c r="J2" s="3232" t="s">
        <v>2038</v>
      </c>
      <c r="K2" s="3536"/>
      <c r="L2" s="3536"/>
      <c r="M2" s="3536"/>
      <c r="N2" s="3536"/>
      <c r="O2" s="3536"/>
      <c r="P2" s="3232" t="s">
        <v>3254</v>
      </c>
      <c r="Q2" s="3536"/>
      <c r="R2" s="3536"/>
    </row>
    <row r="3" spans="1:18" ht="64.5" thickBot="1">
      <c r="A3" s="3532" t="s">
        <v>3104</v>
      </c>
      <c r="B3" s="3234" t="s">
        <v>3228</v>
      </c>
      <c r="C3" s="3233" t="s">
        <v>3255</v>
      </c>
      <c r="D3" s="3231" t="s">
        <v>3256</v>
      </c>
      <c r="E3" s="3232" t="s">
        <v>3229</v>
      </c>
      <c r="F3" s="3533" t="s">
        <v>3257</v>
      </c>
      <c r="G3" s="3232" t="s">
        <v>2994</v>
      </c>
      <c r="H3" s="3533">
        <v>3.5</v>
      </c>
      <c r="I3" s="3533" t="s">
        <v>951</v>
      </c>
      <c r="J3" s="3533">
        <v>3.5</v>
      </c>
      <c r="K3" s="3232" t="s">
        <v>3258</v>
      </c>
      <c r="L3" s="3232" t="s">
        <v>3258</v>
      </c>
      <c r="M3" s="3232" t="s">
        <v>3230</v>
      </c>
      <c r="N3" s="3534">
        <v>5768.8</v>
      </c>
      <c r="O3" s="3534">
        <v>20190.8</v>
      </c>
      <c r="P3" s="3533">
        <v>3362.92</v>
      </c>
      <c r="Q3" s="3533">
        <v>961</v>
      </c>
      <c r="R3" s="3533">
        <v>1940</v>
      </c>
    </row>
    <row r="4" spans="1:18" ht="64.5" thickBot="1">
      <c r="A4" s="3532" t="s">
        <v>3104</v>
      </c>
      <c r="B4" s="3234" t="s">
        <v>3232</v>
      </c>
      <c r="C4" s="3233" t="s">
        <v>3259</v>
      </c>
      <c r="D4" s="3231" t="s">
        <v>3260</v>
      </c>
      <c r="E4" s="3232" t="s">
        <v>3229</v>
      </c>
      <c r="F4" s="3533" t="s">
        <v>951</v>
      </c>
      <c r="G4" s="3232" t="s">
        <v>2994</v>
      </c>
      <c r="H4" s="3533">
        <v>3.5</v>
      </c>
      <c r="I4" s="3533" t="s">
        <v>951</v>
      </c>
      <c r="J4" s="3533">
        <v>3.5</v>
      </c>
      <c r="K4" s="3232" t="s">
        <v>3258</v>
      </c>
      <c r="L4" s="3232" t="s">
        <v>3258</v>
      </c>
      <c r="M4" s="3232" t="s">
        <v>3230</v>
      </c>
      <c r="N4" s="3534">
        <v>30408.99</v>
      </c>
      <c r="O4" s="3534">
        <v>106431.5</v>
      </c>
      <c r="P4" s="3533">
        <v>17788.02</v>
      </c>
      <c r="Q4" s="3533">
        <v>1019</v>
      </c>
      <c r="R4" s="3533">
        <v>10845</v>
      </c>
    </row>
    <row r="5" spans="1:18" ht="64.5" thickBot="1">
      <c r="A5" s="3532" t="s">
        <v>3104</v>
      </c>
      <c r="B5" s="3234" t="s">
        <v>3233</v>
      </c>
      <c r="C5" s="3233" t="s">
        <v>3261</v>
      </c>
      <c r="D5" s="3231" t="s">
        <v>3262</v>
      </c>
      <c r="E5" s="3232" t="s">
        <v>3229</v>
      </c>
      <c r="F5" s="3533" t="s">
        <v>951</v>
      </c>
      <c r="G5" s="3232" t="s">
        <v>2994</v>
      </c>
      <c r="H5" s="3533">
        <v>3.5</v>
      </c>
      <c r="I5" s="3533" t="s">
        <v>951</v>
      </c>
      <c r="J5" s="3533">
        <v>3.5</v>
      </c>
      <c r="K5" s="3232" t="s">
        <v>3258</v>
      </c>
      <c r="L5" s="3232" t="s">
        <v>3258</v>
      </c>
      <c r="M5" s="3232" t="s">
        <v>3230</v>
      </c>
      <c r="N5" s="3534">
        <v>6585.86</v>
      </c>
      <c r="O5" s="3534">
        <v>23050.51</v>
      </c>
      <c r="P5" s="3533">
        <v>728.4</v>
      </c>
      <c r="Q5" s="3533">
        <v>961</v>
      </c>
      <c r="R5" s="3533">
        <v>2215</v>
      </c>
    </row>
    <row r="6" spans="1:18" ht="64.5" thickBot="1">
      <c r="A6" s="3532" t="s">
        <v>3104</v>
      </c>
      <c r="B6" s="3533" t="s">
        <v>3231</v>
      </c>
      <c r="C6" s="3233" t="s">
        <v>3263</v>
      </c>
      <c r="D6" s="3231" t="s">
        <v>3264</v>
      </c>
      <c r="E6" s="3232" t="s">
        <v>3234</v>
      </c>
      <c r="F6" s="3533" t="s">
        <v>951</v>
      </c>
      <c r="G6" s="3232" t="s">
        <v>2994</v>
      </c>
      <c r="H6" s="3533">
        <v>3.5</v>
      </c>
      <c r="I6" s="3533" t="s">
        <v>951</v>
      </c>
      <c r="J6" s="3533">
        <v>3.5</v>
      </c>
      <c r="K6" s="3232" t="s">
        <v>3258</v>
      </c>
      <c r="L6" s="3232" t="s">
        <v>3258</v>
      </c>
      <c r="M6" s="3232" t="s">
        <v>3230</v>
      </c>
      <c r="N6" s="3534">
        <v>6096.8</v>
      </c>
      <c r="O6" s="3534">
        <v>21338.799999999999</v>
      </c>
      <c r="P6" s="3533">
        <v>1416.67</v>
      </c>
      <c r="Q6" s="3533">
        <v>437</v>
      </c>
      <c r="R6" s="3533">
        <v>933</v>
      </c>
    </row>
    <row r="7" spans="1:18" ht="64.5" thickBot="1">
      <c r="A7" s="3532" t="s">
        <v>3104</v>
      </c>
      <c r="B7" s="3234" t="s">
        <v>3235</v>
      </c>
      <c r="C7" s="3233" t="s">
        <v>3265</v>
      </c>
      <c r="D7" s="3231" t="s">
        <v>3266</v>
      </c>
      <c r="E7" s="3232" t="s">
        <v>3229</v>
      </c>
      <c r="F7" s="3533"/>
      <c r="G7" s="3232" t="s">
        <v>2994</v>
      </c>
      <c r="H7" s="3533">
        <v>3.5</v>
      </c>
      <c r="I7" s="3533"/>
      <c r="J7" s="3533">
        <v>3.5</v>
      </c>
      <c r="K7" s="3232" t="s">
        <v>3258</v>
      </c>
      <c r="L7" s="3232" t="s">
        <v>3258</v>
      </c>
      <c r="M7" s="3232" t="s">
        <v>3230</v>
      </c>
      <c r="N7" s="3534">
        <v>45007.23</v>
      </c>
      <c r="O7" s="3534">
        <v>157525.29999999999</v>
      </c>
      <c r="P7" s="3533">
        <v>545.02</v>
      </c>
      <c r="Q7" s="3533">
        <v>454</v>
      </c>
      <c r="R7" s="3533">
        <v>2453</v>
      </c>
    </row>
    <row r="8" spans="1:18" ht="64.5" thickBot="1">
      <c r="A8" s="3532" t="s">
        <v>3104</v>
      </c>
      <c r="B8" s="3234" t="s">
        <v>3236</v>
      </c>
      <c r="C8" s="3233" t="s">
        <v>3267</v>
      </c>
      <c r="D8" s="3231" t="s">
        <v>3268</v>
      </c>
      <c r="E8" s="3232" t="s">
        <v>3229</v>
      </c>
      <c r="F8" s="3533"/>
      <c r="G8" s="3232" t="s">
        <v>2994</v>
      </c>
      <c r="H8" s="3533">
        <v>3.5</v>
      </c>
      <c r="I8" s="3533"/>
      <c r="J8" s="3533">
        <v>3.5</v>
      </c>
      <c r="K8" s="3232" t="s">
        <v>3258</v>
      </c>
      <c r="L8" s="3232" t="s">
        <v>3258</v>
      </c>
      <c r="M8" s="3232" t="s">
        <v>3230</v>
      </c>
      <c r="N8" s="3534">
        <v>15439.75</v>
      </c>
      <c r="O8" s="3534">
        <v>54039.13</v>
      </c>
      <c r="P8" s="3533">
        <v>4723.5200000000004</v>
      </c>
      <c r="Q8" s="3533">
        <v>463</v>
      </c>
      <c r="R8" s="3533">
        <v>7293</v>
      </c>
    </row>
    <row r="9" spans="1:18" ht="64.5" thickBot="1">
      <c r="A9" s="3532" t="s">
        <v>3104</v>
      </c>
      <c r="B9" s="3533" t="s">
        <v>3237</v>
      </c>
      <c r="C9" s="3233" t="s">
        <v>3269</v>
      </c>
      <c r="D9" s="3231" t="s">
        <v>3270</v>
      </c>
      <c r="E9" s="3232" t="s">
        <v>3229</v>
      </c>
      <c r="F9" s="3533"/>
      <c r="G9" s="3232" t="s">
        <v>2994</v>
      </c>
      <c r="H9" s="3533">
        <v>3.5</v>
      </c>
      <c r="I9" s="3533"/>
      <c r="J9" s="3533">
        <v>3.5</v>
      </c>
      <c r="K9" s="3232" t="s">
        <v>3258</v>
      </c>
      <c r="L9" s="3232" t="s">
        <v>3258</v>
      </c>
      <c r="M9" s="3232" t="s">
        <v>3230</v>
      </c>
      <c r="N9" s="3534">
        <v>22951.99</v>
      </c>
      <c r="O9" s="3534">
        <v>80331.97</v>
      </c>
      <c r="P9" s="3533">
        <v>2194.58</v>
      </c>
      <c r="Q9" s="3533">
        <v>627</v>
      </c>
      <c r="R9" s="3533">
        <v>5037</v>
      </c>
    </row>
    <row r="10" spans="1:18" ht="64.5" thickBot="1">
      <c r="A10" s="3532" t="s">
        <v>3104</v>
      </c>
      <c r="B10" s="3533" t="s">
        <v>3238</v>
      </c>
      <c r="C10" s="3233" t="s">
        <v>3271</v>
      </c>
      <c r="D10" s="3231" t="s">
        <v>3272</v>
      </c>
      <c r="E10" s="3232" t="s">
        <v>3229</v>
      </c>
      <c r="F10" s="3533"/>
      <c r="G10" s="3232" t="s">
        <v>2994</v>
      </c>
      <c r="H10" s="3533">
        <v>3.5</v>
      </c>
      <c r="I10" s="3533"/>
      <c r="J10" s="3533">
        <v>3.5</v>
      </c>
      <c r="K10" s="3232" t="s">
        <v>3258</v>
      </c>
      <c r="L10" s="3232" t="s">
        <v>3258</v>
      </c>
      <c r="M10" s="3232" t="s">
        <v>3230</v>
      </c>
      <c r="N10" s="3534">
        <v>3846.56</v>
      </c>
      <c r="O10" s="3534">
        <v>13462.96</v>
      </c>
      <c r="P10" s="3533">
        <v>2019.99</v>
      </c>
      <c r="Q10" s="3533">
        <v>577</v>
      </c>
      <c r="R10" s="3533">
        <v>777</v>
      </c>
    </row>
    <row r="11" spans="1:18" ht="64.5" thickBot="1">
      <c r="A11" s="3532" t="s">
        <v>3104</v>
      </c>
      <c r="B11" s="3533" t="s">
        <v>3239</v>
      </c>
      <c r="C11" s="3233" t="s">
        <v>3273</v>
      </c>
      <c r="D11" s="3231" t="s">
        <v>3274</v>
      </c>
      <c r="E11" s="3232" t="s">
        <v>3234</v>
      </c>
      <c r="F11" s="3533"/>
      <c r="G11" s="3232" t="s">
        <v>2994</v>
      </c>
      <c r="H11" s="3533">
        <v>3.5</v>
      </c>
      <c r="I11" s="3533"/>
      <c r="J11" s="3533">
        <v>3.5</v>
      </c>
      <c r="K11" s="3232" t="s">
        <v>3258</v>
      </c>
      <c r="L11" s="3232" t="s">
        <v>3258</v>
      </c>
      <c r="M11" s="3232" t="s">
        <v>3230</v>
      </c>
      <c r="N11" s="3534">
        <v>9011.4500000000007</v>
      </c>
      <c r="O11" s="3534">
        <v>31540.080000000002</v>
      </c>
      <c r="P11" s="3533">
        <v>2149.4899999999998</v>
      </c>
      <c r="Q11" s="3533">
        <v>614</v>
      </c>
      <c r="R11" s="3533">
        <v>1937</v>
      </c>
    </row>
    <row r="12" spans="1:18" ht="64.5" thickBot="1">
      <c r="A12" s="3532" t="s">
        <v>3104</v>
      </c>
      <c r="B12" s="3533" t="s">
        <v>3240</v>
      </c>
      <c r="C12" s="3233" t="s">
        <v>3275</v>
      </c>
      <c r="D12" s="3231" t="s">
        <v>3276</v>
      </c>
      <c r="E12" s="3232" t="s">
        <v>3229</v>
      </c>
      <c r="F12" s="3533"/>
      <c r="G12" s="3232" t="s">
        <v>2994</v>
      </c>
      <c r="H12" s="3533">
        <v>3.5</v>
      </c>
      <c r="I12" s="3533"/>
      <c r="J12" s="3533">
        <v>3.5</v>
      </c>
      <c r="K12" s="3232" t="s">
        <v>3258</v>
      </c>
      <c r="L12" s="3232" t="s">
        <v>3258</v>
      </c>
      <c r="M12" s="3232" t="s">
        <v>3230</v>
      </c>
      <c r="N12" s="3534">
        <v>56981.31</v>
      </c>
      <c r="O12" s="3534">
        <v>199434.6</v>
      </c>
      <c r="P12" s="3533">
        <v>2240.0300000000002</v>
      </c>
      <c r="Q12" s="3533">
        <v>640</v>
      </c>
      <c r="R12" s="3533">
        <v>12764</v>
      </c>
    </row>
    <row r="13" spans="1:18" ht="64.5" thickBot="1">
      <c r="A13" s="3532" t="s">
        <v>3104</v>
      </c>
      <c r="B13" s="3533" t="s">
        <v>3241</v>
      </c>
      <c r="C13" s="3233" t="s">
        <v>3277</v>
      </c>
      <c r="D13" s="3231" t="s">
        <v>3278</v>
      </c>
      <c r="E13" s="3232" t="s">
        <v>3229</v>
      </c>
      <c r="F13" s="3533"/>
      <c r="G13" s="3232" t="s">
        <v>2994</v>
      </c>
      <c r="H13" s="3533">
        <v>3.5</v>
      </c>
      <c r="I13" s="3533"/>
      <c r="J13" s="3533">
        <v>3.5</v>
      </c>
      <c r="K13" s="3232" t="s">
        <v>3258</v>
      </c>
      <c r="L13" s="3232" t="s">
        <v>3258</v>
      </c>
      <c r="M13" s="3232" t="s">
        <v>3230</v>
      </c>
      <c r="N13" s="3534">
        <v>7816.67</v>
      </c>
      <c r="O13" s="3534">
        <v>27358.35</v>
      </c>
      <c r="P13" s="3533">
        <v>2107.04</v>
      </c>
      <c r="Q13" s="3533">
        <v>602</v>
      </c>
      <c r="R13" s="3533">
        <v>1647</v>
      </c>
    </row>
    <row r="14" spans="1:18" ht="64.5" thickBot="1">
      <c r="A14" s="3532" t="s">
        <v>3104</v>
      </c>
      <c r="B14" s="3533" t="s">
        <v>3242</v>
      </c>
      <c r="C14" s="3233" t="s">
        <v>3279</v>
      </c>
      <c r="D14" s="3231" t="s">
        <v>3280</v>
      </c>
      <c r="E14" s="3232" t="s">
        <v>3229</v>
      </c>
      <c r="F14" s="3533"/>
      <c r="G14" s="3232" t="s">
        <v>2994</v>
      </c>
      <c r="H14" s="3533">
        <v>3.5</v>
      </c>
      <c r="I14" s="3533"/>
      <c r="J14" s="3533">
        <v>3.5</v>
      </c>
      <c r="K14" s="3232" t="s">
        <v>3258</v>
      </c>
      <c r="L14" s="3232" t="s">
        <v>3258</v>
      </c>
      <c r="M14" s="3232" t="s">
        <v>3230</v>
      </c>
      <c r="N14" s="3534">
        <v>8656.5400000000009</v>
      </c>
      <c r="O14" s="3534">
        <v>30297.89</v>
      </c>
      <c r="P14" s="3533">
        <v>2148.66</v>
      </c>
      <c r="Q14" s="3533">
        <v>614</v>
      </c>
      <c r="R14" s="3533">
        <v>1860</v>
      </c>
    </row>
    <row r="15" spans="1:18" ht="64.5" thickBot="1">
      <c r="A15" s="3532" t="s">
        <v>3104</v>
      </c>
      <c r="B15" s="3533" t="s">
        <v>3243</v>
      </c>
      <c r="C15" s="3233" t="s">
        <v>3281</v>
      </c>
      <c r="D15" s="3231" t="s">
        <v>3282</v>
      </c>
      <c r="E15" s="3232" t="s">
        <v>3229</v>
      </c>
      <c r="F15" s="3533"/>
      <c r="G15" s="3232" t="s">
        <v>2994</v>
      </c>
      <c r="H15" s="3533">
        <v>3.5</v>
      </c>
      <c r="I15" s="3533"/>
      <c r="J15" s="3533">
        <v>3.5</v>
      </c>
      <c r="K15" s="3232" t="s">
        <v>3258</v>
      </c>
      <c r="L15" s="3232" t="s">
        <v>3258</v>
      </c>
      <c r="M15" s="3232" t="s">
        <v>3230</v>
      </c>
      <c r="N15" s="3534">
        <v>10820.61</v>
      </c>
      <c r="O15" s="3534">
        <v>37872.14</v>
      </c>
      <c r="P15" s="3533">
        <v>2148.6799999999998</v>
      </c>
      <c r="Q15" s="3533">
        <v>614</v>
      </c>
      <c r="R15" s="3533">
        <v>2325</v>
      </c>
    </row>
    <row r="16" spans="1:18" ht="64.5" thickBot="1">
      <c r="A16" s="3532" t="s">
        <v>3104</v>
      </c>
      <c r="B16" s="3533" t="s">
        <v>3244</v>
      </c>
      <c r="C16" s="3233" t="s">
        <v>3283</v>
      </c>
      <c r="D16" s="3231" t="s">
        <v>3284</v>
      </c>
      <c r="E16" s="3232" t="s">
        <v>3234</v>
      </c>
      <c r="F16" s="3533"/>
      <c r="G16" s="3232" t="s">
        <v>2994</v>
      </c>
      <c r="H16" s="3533">
        <v>3.5</v>
      </c>
      <c r="I16" s="3533"/>
      <c r="J16" s="3533">
        <v>3.5</v>
      </c>
      <c r="K16" s="3232" t="s">
        <v>3258</v>
      </c>
      <c r="L16" s="3232" t="s">
        <v>3258</v>
      </c>
      <c r="M16" s="3232" t="s">
        <v>3230</v>
      </c>
      <c r="N16" s="3534">
        <v>3884.42</v>
      </c>
      <c r="O16" s="3534">
        <v>13595.47</v>
      </c>
      <c r="P16" s="3533">
        <v>2018.32</v>
      </c>
      <c r="Q16" s="3533">
        <v>577</v>
      </c>
      <c r="R16" s="3533">
        <v>784</v>
      </c>
    </row>
    <row r="17" spans="1:18" ht="64.5" thickBot="1">
      <c r="A17" s="3532" t="s">
        <v>3104</v>
      </c>
      <c r="B17" s="3533" t="s">
        <v>3245</v>
      </c>
      <c r="C17" s="3233" t="s">
        <v>3285</v>
      </c>
      <c r="D17" s="3231" t="s">
        <v>3286</v>
      </c>
      <c r="E17" s="3232" t="s">
        <v>3229</v>
      </c>
      <c r="F17" s="3533"/>
      <c r="G17" s="3232" t="s">
        <v>2994</v>
      </c>
      <c r="H17" s="3533">
        <v>3.5</v>
      </c>
      <c r="I17" s="3533"/>
      <c r="J17" s="3533">
        <v>3.5</v>
      </c>
      <c r="K17" s="3232" t="s">
        <v>3258</v>
      </c>
      <c r="L17" s="3232" t="s">
        <v>3258</v>
      </c>
      <c r="M17" s="3232" t="s">
        <v>3230</v>
      </c>
      <c r="N17" s="3534">
        <v>8084.87</v>
      </c>
      <c r="O17" s="3534">
        <v>28297.05</v>
      </c>
      <c r="P17" s="3533">
        <v>2106.4</v>
      </c>
      <c r="Q17" s="3533">
        <v>602</v>
      </c>
      <c r="R17" s="3533">
        <v>1703</v>
      </c>
    </row>
    <row r="18" spans="1:18" ht="64.5" thickBot="1">
      <c r="A18" s="3532" t="s">
        <v>3104</v>
      </c>
      <c r="B18" s="3533" t="s">
        <v>3246</v>
      </c>
      <c r="C18" s="3233" t="s">
        <v>3287</v>
      </c>
      <c r="D18" s="3231" t="s">
        <v>3288</v>
      </c>
      <c r="E18" s="3232" t="s">
        <v>3229</v>
      </c>
      <c r="F18" s="3533" t="s">
        <v>951</v>
      </c>
      <c r="G18" s="3232" t="s">
        <v>2994</v>
      </c>
      <c r="H18" s="3533">
        <v>3.5</v>
      </c>
      <c r="I18" s="3533" t="s">
        <v>951</v>
      </c>
      <c r="J18" s="3533">
        <v>3.5</v>
      </c>
      <c r="K18" s="3232" t="s">
        <v>3258</v>
      </c>
      <c r="L18" s="3232" t="s">
        <v>3258</v>
      </c>
      <c r="M18" s="3232" t="s">
        <v>3230</v>
      </c>
      <c r="N18" s="3534">
        <v>27499.46</v>
      </c>
      <c r="O18" s="3534">
        <v>96248.11</v>
      </c>
      <c r="P18" s="3533">
        <v>2194.59</v>
      </c>
      <c r="Q18" s="3533">
        <v>627</v>
      </c>
      <c r="R18" s="3533">
        <v>6035</v>
      </c>
    </row>
    <row r="19" spans="1:18" ht="64.5" thickBot="1">
      <c r="A19" s="3532" t="s">
        <v>3104</v>
      </c>
      <c r="B19" s="3533" t="s">
        <v>3247</v>
      </c>
      <c r="C19" s="3233" t="s">
        <v>3289</v>
      </c>
      <c r="D19" s="3231" t="s">
        <v>3290</v>
      </c>
      <c r="E19" s="3232" t="s">
        <v>3229</v>
      </c>
      <c r="F19" s="3533" t="s">
        <v>951</v>
      </c>
      <c r="G19" s="3232" t="s">
        <v>2994</v>
      </c>
      <c r="H19" s="3533">
        <v>3.5</v>
      </c>
      <c r="I19" s="3533" t="s">
        <v>951</v>
      </c>
      <c r="J19" s="3533">
        <v>3.5</v>
      </c>
      <c r="K19" s="3232" t="s">
        <v>3258</v>
      </c>
      <c r="L19" s="3232" t="s">
        <v>3258</v>
      </c>
      <c r="M19" s="3232" t="s">
        <v>3230</v>
      </c>
      <c r="N19" s="3534">
        <v>7554.73</v>
      </c>
      <c r="O19" s="3534">
        <v>26441.56</v>
      </c>
      <c r="P19" s="3533">
        <v>2107.29</v>
      </c>
      <c r="Q19" s="3533">
        <v>602</v>
      </c>
      <c r="R19" s="3533">
        <v>1592</v>
      </c>
    </row>
    <row r="20" spans="1:18" ht="64.5" thickBot="1">
      <c r="A20" s="3532" t="s">
        <v>3104</v>
      </c>
      <c r="B20" s="3533" t="s">
        <v>3248</v>
      </c>
      <c r="C20" s="3233" t="s">
        <v>3291</v>
      </c>
      <c r="D20" s="3231" t="s">
        <v>3292</v>
      </c>
      <c r="E20" s="3232" t="s">
        <v>3229</v>
      </c>
      <c r="F20" s="3533"/>
      <c r="G20" s="3232" t="s">
        <v>2994</v>
      </c>
      <c r="H20" s="3533">
        <v>3.5</v>
      </c>
      <c r="I20" s="3533"/>
      <c r="J20" s="3533">
        <v>3.5</v>
      </c>
      <c r="K20" s="3232" t="s">
        <v>3258</v>
      </c>
      <c r="L20" s="3232" t="s">
        <v>3258</v>
      </c>
      <c r="M20" s="3232" t="s">
        <v>3230</v>
      </c>
      <c r="N20" s="3534">
        <v>39628.980000000003</v>
      </c>
      <c r="O20" s="3534">
        <v>138701.4</v>
      </c>
      <c r="P20" s="3533">
        <v>2240.0300000000002</v>
      </c>
      <c r="Q20" s="3533">
        <v>640</v>
      </c>
      <c r="R20" s="3533">
        <v>8877</v>
      </c>
    </row>
    <row r="21" spans="1:18" ht="14.25" thickBot="1">
      <c r="A21" s="3538" t="s">
        <v>24</v>
      </c>
      <c r="B21" s="3537"/>
      <c r="C21" s="3537"/>
      <c r="D21" s="3537"/>
      <c r="E21" s="3537"/>
      <c r="F21" s="3537"/>
      <c r="G21" s="3537"/>
      <c r="H21" s="3537"/>
      <c r="I21" s="3537"/>
      <c r="J21" s="3537"/>
      <c r="K21" s="3537"/>
      <c r="L21" s="3537"/>
      <c r="M21" s="3539"/>
      <c r="N21" s="3533">
        <v>316045.02</v>
      </c>
      <c r="O21" s="3533">
        <v>1106157.57</v>
      </c>
      <c r="P21" s="3533" t="s">
        <v>951</v>
      </c>
      <c r="Q21" s="3533">
        <v>7336</v>
      </c>
      <c r="R21" s="3533">
        <v>71017</v>
      </c>
    </row>
    <row r="22" spans="1:18" ht="14.25" thickBot="1">
      <c r="A22" s="3538" t="s">
        <v>2989</v>
      </c>
      <c r="B22" s="3537"/>
      <c r="C22" s="3537"/>
      <c r="D22" s="3537"/>
      <c r="E22" s="3537"/>
      <c r="F22" s="3537"/>
      <c r="G22" s="3537"/>
      <c r="H22" s="3537"/>
      <c r="I22" s="3537"/>
      <c r="J22" s="3537"/>
      <c r="K22" s="3537"/>
      <c r="L22" s="3537"/>
      <c r="M22" s="3537"/>
      <c r="N22" s="3537"/>
      <c r="O22" s="3537"/>
      <c r="P22" s="3537"/>
      <c r="Q22" s="3539"/>
      <c r="R22" s="3533"/>
    </row>
  </sheetData>
  <mergeCells count="15">
    <mergeCell ref="R1:R2"/>
    <mergeCell ref="A21:M21"/>
    <mergeCell ref="A22:Q22"/>
    <mergeCell ref="K1:K2"/>
    <mergeCell ref="L1:L2"/>
    <mergeCell ref="M1:M2"/>
    <mergeCell ref="N1:N2"/>
    <mergeCell ref="O1:O2"/>
    <mergeCell ref="Q1:Q2"/>
    <mergeCell ref="A1:A2"/>
    <mergeCell ref="B1:B2"/>
    <mergeCell ref="C1:C2"/>
    <mergeCell ref="D1:D2"/>
    <mergeCell ref="E1:G1"/>
    <mergeCell ref="H1:J1"/>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2040</v>
      </c>
      <c r="B1" s="3240"/>
      <c r="C1" s="3240"/>
      <c r="D1" s="3240"/>
      <c r="E1" s="3240"/>
      <c r="F1" s="3240"/>
      <c r="G1" s="3240"/>
      <c r="H1" s="3240"/>
      <c r="I1" s="3240"/>
      <c r="J1" s="3240"/>
      <c r="K1" s="3240"/>
      <c r="L1" s="3240"/>
      <c r="M1" s="3240"/>
      <c r="N1" s="3240"/>
      <c r="O1" s="3240"/>
      <c r="P1" s="3240"/>
      <c r="Q1" s="3240"/>
      <c r="R1" s="3240"/>
    </row>
    <row r="2" spans="1:18">
      <c r="A2" s="1807" t="s">
        <v>2042</v>
      </c>
      <c r="B2" s="1807"/>
      <c r="C2" s="1807"/>
      <c r="D2" s="1807"/>
      <c r="E2" s="1807"/>
      <c r="F2" s="1807"/>
      <c r="G2" s="1807"/>
      <c r="H2" s="1807"/>
      <c r="I2" s="1808"/>
      <c r="J2" s="1808"/>
      <c r="K2" s="1809" t="str">
        <f>"估价期日："&amp;TEXT(项目基本情况!D3,"yyyy年m月d日;;")</f>
        <v>估价期日：2018年10月29日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1" t="s">
        <v>2031</v>
      </c>
      <c r="B3" s="3241" t="s">
        <v>2733</v>
      </c>
      <c r="C3" s="3242" t="s">
        <v>2032</v>
      </c>
      <c r="D3" s="3241" t="s">
        <v>2737</v>
      </c>
      <c r="E3" s="3236" t="s">
        <v>2033</v>
      </c>
      <c r="F3" s="3236"/>
      <c r="G3" s="3236"/>
      <c r="H3" s="3236" t="s">
        <v>2034</v>
      </c>
      <c r="I3" s="3236"/>
      <c r="J3" s="3236"/>
      <c r="K3" s="3242" t="s">
        <v>2035</v>
      </c>
      <c r="L3" s="3242" t="s">
        <v>2036</v>
      </c>
      <c r="M3" s="3241" t="s">
        <v>2734</v>
      </c>
      <c r="N3" s="3243" t="str">
        <f>"（分摊）"&amp;项目基本情况!B16&amp;"国有建设用地使用权面积/㎡"</f>
        <v>（分摊）出让国有建设用地使用权面积/㎡</v>
      </c>
      <c r="O3" s="3241" t="s">
        <v>2065</v>
      </c>
      <c r="P3" s="3242" t="s">
        <v>2045</v>
      </c>
      <c r="Q3" s="3242" t="s">
        <v>2066</v>
      </c>
      <c r="R3" s="3242" t="s">
        <v>2037</v>
      </c>
    </row>
    <row r="4" spans="1:18" ht="36.75" customHeight="1">
      <c r="A4" s="3241"/>
      <c r="B4" s="3241"/>
      <c r="C4" s="3242"/>
      <c r="D4" s="3241"/>
      <c r="E4" s="2649" t="s">
        <v>2044</v>
      </c>
      <c r="F4" s="2649" t="s">
        <v>2746</v>
      </c>
      <c r="G4" s="2649" t="s">
        <v>2038</v>
      </c>
      <c r="H4" s="2649" t="s">
        <v>2039</v>
      </c>
      <c r="I4" s="2649" t="s">
        <v>2747</v>
      </c>
      <c r="J4" s="2649" t="s">
        <v>2038</v>
      </c>
      <c r="K4" s="3242"/>
      <c r="L4" s="3242"/>
      <c r="M4" s="3241"/>
      <c r="N4" s="3243"/>
      <c r="O4" s="3241"/>
      <c r="P4" s="3242"/>
      <c r="Q4" s="3242"/>
      <c r="R4" s="3242"/>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5768.8</v>
      </c>
      <c r="O5" s="1810">
        <f>项目基本情况!C21</f>
        <v>20190.8</v>
      </c>
      <c r="P5" s="1810">
        <f ca="1">结果表!E42</f>
        <v>3365</v>
      </c>
      <c r="Q5" s="1810">
        <f ca="1">结果表!D42</f>
        <v>961</v>
      </c>
      <c r="R5" s="1811">
        <f ca="1">结果表!C42</f>
        <v>1941</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812" t="str">
        <f>结果表!O39</f>
        <v>——</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812"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4" t="s">
        <v>2067</v>
      </c>
      <c r="B1" s="3244"/>
      <c r="C1" s="3244"/>
      <c r="D1" s="3244"/>
    </row>
    <row r="2" spans="1:4" ht="47.25" customHeight="1">
      <c r="A2" s="3248" t="str">
        <f>"1.权利限制："&amp;项目基本情况!L24&amp;"未设定租赁等其他他项权利。"</f>
        <v>1.权利限制：根据估价对象《不动产权证书》原件、《国有土地使用权》复印件，截至估价期日，估价对象抵押权未见登记。未设定租赁等其他他项权利。</v>
      </c>
      <c r="B2" s="3248"/>
      <c r="C2" s="3248"/>
      <c r="D2" s="3248"/>
    </row>
    <row r="3" spans="1:4" ht="48" customHeight="1">
      <c r="A3" s="32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7" t="s">
        <v>2068</v>
      </c>
      <c r="B5" s="3247"/>
      <c r="C5" s="3247"/>
      <c r="D5" s="3247"/>
    </row>
    <row r="6" spans="1:4">
      <c r="A6" s="3244" t="s">
        <v>2046</v>
      </c>
      <c r="B6" s="3244"/>
      <c r="C6" s="3244"/>
      <c r="D6" s="3244"/>
    </row>
    <row r="7" spans="1:4" ht="33" customHeight="1">
      <c r="A7" s="3244" t="s">
        <v>2577</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6"/>
      <c r="C11" s="3246"/>
      <c r="D11" s="3246"/>
    </row>
    <row r="12" spans="1:4" ht="168" customHeight="1">
      <c r="A12" s="3247" t="s">
        <v>2070</v>
      </c>
      <c r="B12" s="3247"/>
      <c r="C12" s="3247"/>
      <c r="D12" s="3247"/>
    </row>
    <row r="13" spans="1:4">
      <c r="A13" s="3245" t="s">
        <v>2748</v>
      </c>
      <c r="B13" s="3245"/>
      <c r="C13" s="3245"/>
      <c r="D13" s="3245"/>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2704</v>
      </c>
      <c r="B17" s="3244"/>
      <c r="C17" s="3244"/>
      <c r="D17" s="3244"/>
    </row>
    <row r="18" spans="1:4">
      <c r="A18" s="3244" t="s">
        <v>2696</v>
      </c>
      <c r="B18" s="3244"/>
      <c r="C18" s="3244"/>
      <c r="D18" s="3244"/>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44" t="s">
        <v>2701</v>
      </c>
      <c r="B23" s="3244"/>
      <c r="C23" s="3244"/>
      <c r="D23" s="3244"/>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56" t="s">
        <v>53</v>
      </c>
      <c r="B15" s="3257" t="s">
        <v>845</v>
      </c>
      <c r="C15" s="3253"/>
    </row>
    <row r="16" spans="1:7" ht="14.25">
      <c r="A16" s="3256"/>
      <c r="B16" s="3254" t="s">
        <v>54</v>
      </c>
      <c r="C16" s="1171" t="s">
        <v>53</v>
      </c>
    </row>
    <row r="17" spans="1:3" ht="14.25">
      <c r="A17" s="3256"/>
      <c r="B17" s="3254"/>
      <c r="C17" s="1171" t="s">
        <v>55</v>
      </c>
    </row>
    <row r="18" spans="1:3" ht="14.25">
      <c r="A18" s="3256"/>
      <c r="B18" s="3254"/>
      <c r="C18" s="1171" t="s">
        <v>56</v>
      </c>
    </row>
    <row r="19" spans="1:3" ht="14.25">
      <c r="A19" s="3256"/>
      <c r="B19" s="3252" t="s">
        <v>57</v>
      </c>
      <c r="C19" s="3253"/>
    </row>
    <row r="20" spans="1:3" ht="14.25">
      <c r="A20" s="1172" t="s">
        <v>58</v>
      </c>
      <c r="B20" s="1173"/>
      <c r="C20" s="1174"/>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5" t="s">
        <v>836</v>
      </c>
    </row>
    <row r="25" spans="1:3" ht="14.25">
      <c r="A25" s="3255"/>
      <c r="B25" s="3259"/>
      <c r="C25" s="1175" t="s">
        <v>837</v>
      </c>
    </row>
    <row r="26" spans="1:3" ht="14.25">
      <c r="A26" s="3255"/>
      <c r="B26" s="3259"/>
      <c r="C26" s="1175" t="s">
        <v>838</v>
      </c>
    </row>
    <row r="27" spans="1:3" ht="14.25">
      <c r="A27" s="3255"/>
      <c r="B27" s="3259"/>
      <c r="C27" s="1175" t="s">
        <v>839</v>
      </c>
    </row>
    <row r="28" spans="1:3" ht="14.25">
      <c r="A28" s="3255"/>
      <c r="B28" s="3259"/>
      <c r="C28" s="1175" t="s">
        <v>840</v>
      </c>
    </row>
    <row r="29" spans="1:3" ht="14.25">
      <c r="A29" s="3255"/>
      <c r="B29" s="3259"/>
      <c r="C29" s="1175" t="s">
        <v>841</v>
      </c>
    </row>
    <row r="30" spans="1:3" ht="14.25">
      <c r="A30" s="3255"/>
      <c r="B30" s="3259"/>
      <c r="C30" s="1175" t="s">
        <v>842</v>
      </c>
    </row>
    <row r="31" spans="1:3" ht="14.25">
      <c r="A31" s="3255"/>
      <c r="B31" s="3259"/>
      <c r="C31" s="1175" t="s">
        <v>843</v>
      </c>
    </row>
    <row r="32" spans="1:3" ht="14.25">
      <c r="A32" s="3255"/>
      <c r="B32" s="3259"/>
      <c r="C32" s="1175" t="s">
        <v>1646</v>
      </c>
    </row>
    <row r="33" spans="1:3" ht="14.25">
      <c r="A33" s="3255"/>
      <c r="B33" s="3249" t="s">
        <v>1652</v>
      </c>
      <c r="C33" s="1175" t="s">
        <v>1647</v>
      </c>
    </row>
    <row r="34" spans="1:3" ht="14.25">
      <c r="A34" s="3255"/>
      <c r="B34" s="3250"/>
      <c r="C34" s="1180" t="s">
        <v>1648</v>
      </c>
    </row>
    <row r="35" spans="1:3" ht="14.25">
      <c r="A35" s="3255"/>
      <c r="B35" s="3250"/>
      <c r="C35" s="1181" t="s">
        <v>1649</v>
      </c>
    </row>
    <row r="36" spans="1:3" ht="14.25">
      <c r="A36" s="3255"/>
      <c r="B36" s="3250"/>
      <c r="C36" s="1181" t="s">
        <v>1650</v>
      </c>
    </row>
    <row r="37" spans="1:3" ht="14.25">
      <c r="A37" s="3255"/>
      <c r="B37" s="3251"/>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43413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60" t="s">
        <v>1928</v>
      </c>
      <c r="B25" s="3260"/>
      <c r="C25" s="3260"/>
      <c r="D25" s="3260"/>
      <c r="E25" s="3260"/>
      <c r="F25" s="3260"/>
      <c r="G25" s="3260"/>
    </row>
    <row r="26" spans="1:7" ht="20.25" customHeight="1">
      <c r="A26" s="3261" t="s">
        <v>1929</v>
      </c>
      <c r="B26" s="3261"/>
      <c r="C26" s="3261"/>
      <c r="D26" s="3261" t="s">
        <v>1930</v>
      </c>
      <c r="E26" s="3261"/>
      <c r="F26" s="3261"/>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3113" t="s">
        <v>3205</v>
      </c>
      <c r="C20" s="1553"/>
    </row>
    <row r="21" spans="1:3">
      <c r="A21" s="8" t="s">
        <v>122</v>
      </c>
      <c r="B21" s="3113" t="s">
        <v>3207</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62"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7"/>
      <c r="E53" s="1767"/>
    </row>
    <row r="54" spans="1:5">
      <c r="A54" s="3262"/>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2"/>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2"/>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2"/>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145</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 (2)</vt:lpstr>
      <vt:lpstr>不动产收益法 (3)</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典型户型修正 (2)</vt:lpstr>
      <vt:lpstr>典型户型修正 (3)</vt:lpstr>
      <vt:lpstr>面积表</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'典型户型修正 (3)'!一修多修正项2</vt:lpstr>
      <vt:lpstr>一修多修正项2</vt:lpstr>
      <vt:lpstr>'典型户型修正 (2)'!一修多修正项3</vt:lpstr>
      <vt:lpstr>'典型户型修正 (3)'!一修多修正项3</vt:lpstr>
      <vt:lpstr>一修多修正项3</vt:lpstr>
      <vt:lpstr>'典型户型修正 (2)'!一修多修正项4</vt:lpstr>
      <vt:lpstr>'典型户型修正 (3)'!一修多修正项4</vt:lpstr>
      <vt:lpstr>一修多修正项4</vt:lpstr>
      <vt:lpstr>'典型户型修正 (2)'!一修多修正项5</vt:lpstr>
      <vt:lpstr>'典型户型修正 (3)'!一修多修正项5</vt:lpstr>
      <vt:lpstr>一修多修正项5</vt:lpstr>
      <vt:lpstr>'典型户型修正 (2)'!一修多修正项6</vt:lpstr>
      <vt:lpstr>'典型户型修正 (3)'!一修多修正项6</vt:lpstr>
      <vt:lpstr>一修多修正项6</vt:lpstr>
      <vt:lpstr>'典型户型修正 (2)'!一修多修正项7</vt:lpstr>
      <vt:lpstr>'典型户型修正 (3)'!一修多修正项7</vt:lpstr>
      <vt:lpstr>一修多修正项7</vt:lpstr>
      <vt:lpstr>'典型户型修正 (2)'!一修多修正项8</vt:lpstr>
      <vt:lpstr>'典型户型修正 (3)'!一修多修正项8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2018-11-02T07:09:53Z</cp:lastPrinted>
  <dcterms:created xsi:type="dcterms:W3CDTF">2015-07-13T07:17:23Z</dcterms:created>
  <dcterms:modified xsi:type="dcterms:W3CDTF">2018-11-09T13:07:25Z</dcterms:modified>
</cp:coreProperties>
</file>