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0800" windowHeight="96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 i="4" l="1"/>
  <c r="C28" i="9"/>
  <c r="D30" i="9"/>
  <c r="E17" i="1"/>
  <c r="E13" i="1" l="1"/>
  <c r="D5" i="9"/>
  <c r="V6" i="59" l="1"/>
  <c r="U6" i="59"/>
  <c r="T6" i="59"/>
  <c r="S6" i="59"/>
  <c r="AH5" i="59" l="1"/>
  <c r="AG5" i="59"/>
  <c r="AF5" i="59"/>
  <c r="AE5" i="59"/>
  <c r="AD5" i="59"/>
  <c r="Q5" i="59"/>
  <c r="P5" i="59"/>
  <c r="O5" i="59"/>
  <c r="N5" i="59"/>
  <c r="D29" i="43" l="1"/>
  <c r="C15" i="4"/>
  <c r="AH6" i="59" l="1"/>
  <c r="AG6" i="59"/>
  <c r="AE6" i="59"/>
  <c r="AF6" i="59" s="1"/>
  <c r="AD6" i="59"/>
  <c r="Q6" i="59"/>
  <c r="AB5" i="59" s="1"/>
  <c r="Q7" i="59"/>
  <c r="AB6" i="59"/>
  <c r="P6" i="59"/>
  <c r="P7" i="59"/>
  <c r="AA6" i="59" s="1"/>
  <c r="O6" i="59"/>
  <c r="Y5" i="59" s="1"/>
  <c r="Z5" i="59" s="1"/>
  <c r="O7" i="59"/>
  <c r="N6" i="59"/>
  <c r="X5" i="59" s="1"/>
  <c r="N7" i="59"/>
  <c r="F7" i="59"/>
  <c r="F6" i="59" s="1"/>
  <c r="F5" i="59" s="1"/>
  <c r="E7" i="59"/>
  <c r="E6" i="59" s="1"/>
  <c r="E5" i="59" s="1"/>
  <c r="C7" i="59"/>
  <c r="C6" i="59" s="1"/>
  <c r="C5" i="59" s="1"/>
  <c r="D5" i="59" s="1"/>
  <c r="B7" i="59"/>
  <c r="B6" i="59" s="1"/>
  <c r="B5" i="59" s="1"/>
  <c r="B2" i="48"/>
  <c r="F22" i="48" s="1"/>
  <c r="H22" i="48" s="1"/>
  <c r="H17" i="48"/>
  <c r="D18" i="48"/>
  <c r="O8" i="59"/>
  <c r="O9" i="59"/>
  <c r="Y8" i="59"/>
  <c r="Y9" i="59"/>
  <c r="Y7" i="59"/>
  <c r="N8" i="59"/>
  <c r="N9" i="59"/>
  <c r="X7" i="59"/>
  <c r="AH7" i="59"/>
  <c r="AG7" i="59"/>
  <c r="AE7" i="59"/>
  <c r="AF7" i="59"/>
  <c r="AD7" i="59"/>
  <c r="Q8" i="59"/>
  <c r="Q9" i="59"/>
  <c r="AB7" i="59"/>
  <c r="P8" i="59"/>
  <c r="P9" i="59"/>
  <c r="Z7" i="59"/>
  <c r="F9" i="59"/>
  <c r="F8" i="59"/>
  <c r="E9" i="59"/>
  <c r="E8" i="59"/>
  <c r="C9" i="59"/>
  <c r="C8" i="59"/>
  <c r="B9" i="59"/>
  <c r="B8" i="59"/>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J3" i="59"/>
  <c r="AE3" i="59" s="1"/>
  <c r="AF3" i="59" s="1"/>
  <c r="I3" i="59"/>
  <c r="AD3" i="59" s="1"/>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M48" i="15"/>
  <c r="B2" i="1"/>
  <c r="F30" i="1" s="1"/>
  <c r="B23" i="1"/>
  <c r="J50" i="15"/>
  <c r="J51" i="15"/>
  <c r="B25" i="1"/>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s="1"/>
  <c r="A14" i="54"/>
  <c r="B12" i="60" s="1"/>
  <c r="A19" i="55"/>
  <c r="A13" i="55"/>
  <c r="A1" i="52"/>
  <c r="A4" i="50"/>
  <c r="P16" i="59"/>
  <c r="O16" i="59"/>
  <c r="N16" i="59"/>
  <c r="Q16"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G3"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s="1"/>
  <c r="B68" i="60"/>
  <c r="D28" i="57"/>
  <c r="D29" i="57"/>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s="1"/>
  <c r="A119" i="57"/>
  <c r="A116" i="9"/>
  <c r="F113" i="57"/>
  <c r="A117" i="57"/>
  <c r="A130" i="57"/>
  <c r="A114" i="9"/>
  <c r="A127" i="9"/>
  <c r="A10" i="52" s="1"/>
  <c r="B66" i="60" s="1"/>
  <c r="F114" i="9"/>
  <c r="A129" i="9"/>
  <c r="A12" i="52" s="1"/>
  <c r="B67" i="60" s="1"/>
  <c r="F112" i="9"/>
  <c r="B45" i="50"/>
  <c r="B59" i="60" s="1"/>
  <c r="D2" i="52"/>
  <c r="B60" i="60"/>
  <c r="B18" i="50"/>
  <c r="B39" i="50"/>
  <c r="B15" i="50"/>
  <c r="B36" i="50"/>
  <c r="B10" i="50"/>
  <c r="B31" i="50"/>
  <c r="C6" i="50"/>
  <c r="A13" i="54"/>
  <c r="B51" i="60"/>
  <c r="B50" i="60"/>
  <c r="B47" i="60"/>
  <c r="B18" i="60"/>
  <c r="B16" i="60"/>
  <c r="B51" i="10"/>
  <c r="B49" i="60"/>
  <c r="A15" i="55"/>
  <c r="B45" i="60" s="1"/>
  <c r="A14" i="55"/>
  <c r="B44" i="60" s="1"/>
  <c r="B43" i="60"/>
  <c r="C10" i="50"/>
  <c r="B24" i="60" s="1"/>
  <c r="C7" i="50"/>
  <c r="C15" i="50" s="1"/>
  <c r="C18" i="50"/>
  <c r="B20" i="60"/>
  <c r="C35" i="50"/>
  <c r="C34" i="50"/>
  <c r="C33" i="50"/>
  <c r="C12" i="50"/>
  <c r="C13" i="50"/>
  <c r="B13"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c r="F33" i="15"/>
  <c r="F62" i="15"/>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s="1"/>
  <c r="G2" i="43"/>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F12" i="12"/>
  <c r="F13" i="12"/>
  <c r="F15" i="12"/>
  <c r="E14" i="12"/>
  <c r="E19" i="12"/>
  <c r="E20" i="12"/>
  <c r="E17" i="12"/>
  <c r="F22" i="12"/>
  <c r="F23" i="12"/>
  <c r="F24" i="12"/>
  <c r="C17" i="9"/>
  <c r="D17" i="9"/>
  <c r="I55" i="9"/>
  <c r="F55" i="9"/>
  <c r="O53" i="9" s="1"/>
  <c r="D89" i="9"/>
  <c r="C89" i="9" s="1"/>
  <c r="C87" i="9" s="1"/>
  <c r="E15" i="1"/>
  <c r="E19" i="11" s="1"/>
  <c r="E40" i="1"/>
  <c r="F34"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c r="H16" i="44"/>
  <c r="D17" i="43"/>
  <c r="I17" i="43"/>
  <c r="D108" i="9"/>
  <c r="F22" i="43"/>
  <c r="B56" i="60"/>
  <c r="G22" i="43"/>
  <c r="D22" i="43" s="1"/>
  <c r="C21" i="43" s="1"/>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36" i="57"/>
  <c r="F124" i="57" s="1"/>
  <c r="Y25" i="31"/>
  <c r="C35" i="57"/>
  <c r="D124" i="57" s="1"/>
  <c r="V25" i="31"/>
  <c r="A4" i="54"/>
  <c r="B6" i="60" s="1"/>
  <c r="L103" i="43"/>
  <c r="H102" i="43"/>
  <c r="D109" i="43"/>
  <c r="K107" i="43"/>
  <c r="C106" i="43"/>
  <c r="D3" i="21"/>
  <c r="M6" i="43"/>
  <c r="M5" i="43"/>
  <c r="F81" i="43"/>
  <c r="H85" i="43" s="1"/>
  <c r="H13" i="44"/>
  <c r="G59" i="40"/>
  <c r="C59" i="40" s="1"/>
  <c r="H11" i="44"/>
  <c r="A6" i="54"/>
  <c r="B7" i="60" s="1"/>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s="1"/>
  <c r="C24" i="43" s="1"/>
  <c r="H22" i="43"/>
  <c r="AI11" i="43"/>
  <c r="AI13" i="43" s="1"/>
  <c r="AG11" i="43"/>
  <c r="AG13" i="43" s="1"/>
  <c r="AE11" i="43"/>
  <c r="AE13" i="43" s="1"/>
  <c r="AC11" i="43"/>
  <c r="AC13" i="43" s="1"/>
  <c r="AA11" i="43"/>
  <c r="AA13" i="43" s="1"/>
  <c r="Y11" i="43"/>
  <c r="Y13" i="43" s="1"/>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s="1"/>
  <c r="D58" i="21" s="1"/>
  <c r="C7" i="33"/>
  <c r="C58" i="33" s="1"/>
  <c r="C7" i="37"/>
  <c r="C52" i="37"/>
  <c r="D52" i="37" s="1"/>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B117" i="43"/>
  <c r="C117" i="43"/>
  <c r="M109" i="43"/>
  <c r="I107" i="43"/>
  <c r="N106" i="43"/>
  <c r="J105" i="43"/>
  <c r="F104" i="43"/>
  <c r="G37" i="47"/>
  <c r="C23" i="43"/>
  <c r="G19" i="43"/>
  <c r="F36" i="43"/>
  <c r="C17" i="43"/>
  <c r="C16" i="43" s="1"/>
  <c r="F35" i="43"/>
  <c r="F37" i="43"/>
  <c r="F39" i="43"/>
  <c r="K17" i="43"/>
  <c r="G17" i="43" s="1"/>
  <c r="C7" i="34"/>
  <c r="C59" i="34"/>
  <c r="D59" i="34" s="1"/>
  <c r="E59" i="34" s="1"/>
  <c r="C7" i="36"/>
  <c r="C46" i="36"/>
  <c r="D46" i="36" s="1"/>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s="1"/>
  <c r="B116" i="43"/>
  <c r="C116" i="43" s="1"/>
  <c r="I106" i="43"/>
  <c r="E105" i="43"/>
  <c r="N104" i="43"/>
  <c r="F106" i="43"/>
  <c r="M12" i="43"/>
  <c r="M8" i="43"/>
  <c r="N7" i="43"/>
  <c r="F70" i="43" s="1"/>
  <c r="M3" i="43"/>
  <c r="M11" i="43"/>
  <c r="N8" i="43"/>
  <c r="H8" i="44"/>
  <c r="H12" i="44"/>
  <c r="C63" i="39"/>
  <c r="G64" i="39"/>
  <c r="C64" i="39"/>
  <c r="M85" i="43"/>
  <c r="N85" i="43"/>
  <c r="K85" i="43"/>
  <c r="J85" i="43"/>
  <c r="D85" i="43"/>
  <c r="M82" i="43"/>
  <c r="N82" i="43"/>
  <c r="K83" i="43"/>
  <c r="J83" i="43"/>
  <c r="D83"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C18" i="12"/>
  <c r="F34" i="11"/>
  <c r="E19" i="1"/>
  <c r="D20" i="1"/>
  <c r="D18" i="1"/>
  <c r="F50" i="11"/>
  <c r="F19" i="1"/>
  <c r="F18" i="1"/>
  <c r="C11" i="12" s="1"/>
  <c r="C15" i="12" s="1"/>
  <c r="D19" i="1"/>
  <c r="K87" i="43"/>
  <c r="J87" i="43"/>
  <c r="D87" i="43"/>
  <c r="C7" i="43"/>
  <c r="K106" i="9"/>
  <c r="A18" i="55"/>
  <c r="B48" i="60" s="1"/>
  <c r="O19" i="43"/>
  <c r="J22" i="43"/>
  <c r="M84" i="43"/>
  <c r="N84" i="43"/>
  <c r="K84" i="43"/>
  <c r="J84" i="43"/>
  <c r="D84" i="43"/>
  <c r="M81" i="43"/>
  <c r="N81" i="43"/>
  <c r="K81" i="43"/>
  <c r="J81" i="43"/>
  <c r="D81" i="43"/>
  <c r="M88" i="43"/>
  <c r="N88" i="43"/>
  <c r="K88" i="43"/>
  <c r="J88" i="43"/>
  <c r="D88" i="43"/>
  <c r="B2" i="31"/>
  <c r="C33" i="57" s="1"/>
  <c r="H124" i="57" s="1"/>
  <c r="I113" i="57"/>
  <c r="B40" i="1"/>
  <c r="M27" i="15" s="1"/>
  <c r="E81" i="43"/>
  <c r="B79" i="43"/>
  <c r="D117" i="57"/>
  <c r="D118" i="57"/>
  <c r="I114" i="57"/>
  <c r="D131" i="57" s="1"/>
  <c r="D133" i="57"/>
  <c r="D130" i="9"/>
  <c r="D13" i="52"/>
  <c r="D23" i="48"/>
  <c r="M46" i="9"/>
  <c r="H60" i="43"/>
  <c r="H66" i="43"/>
  <c r="H84" i="43"/>
  <c r="H9" i="44"/>
  <c r="H7" i="44"/>
  <c r="H10" i="44"/>
  <c r="N12" i="43"/>
  <c r="N4" i="43"/>
  <c r="M7" i="43"/>
  <c r="C6" i="43" s="1"/>
  <c r="N1" i="43"/>
  <c r="M10" i="43"/>
  <c r="M2" i="43"/>
  <c r="H15" i="44"/>
  <c r="H64" i="43"/>
  <c r="H87" i="43"/>
  <c r="H86" i="43"/>
  <c r="H61" i="43"/>
  <c r="H5" i="44"/>
  <c r="N10" i="43"/>
  <c r="N2" i="43"/>
  <c r="N11" i="43"/>
  <c r="N9" i="43"/>
  <c r="M4" i="43"/>
  <c r="N5" i="43"/>
  <c r="N3" i="43"/>
  <c r="M9" i="43"/>
  <c r="E17" i="43"/>
  <c r="N17" i="43"/>
  <c r="L17" i="43"/>
  <c r="O17" i="43"/>
  <c r="M17" i="43"/>
  <c r="J1" i="61"/>
  <c r="J52" i="15"/>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s="1"/>
  <c r="J62" i="57" s="1"/>
  <c r="M57" i="57"/>
  <c r="J56" i="9"/>
  <c r="J57" i="9" s="1"/>
  <c r="J59" i="9" s="1"/>
  <c r="J61" i="9" s="1"/>
  <c r="K57" i="57"/>
  <c r="F51" i="15"/>
  <c r="C6" i="15"/>
  <c r="F31" i="15"/>
  <c r="F60" i="15"/>
  <c r="M17" i="15"/>
  <c r="F11" i="59"/>
  <c r="F10" i="59"/>
  <c r="C11" i="59"/>
  <c r="C10" i="59"/>
  <c r="T10" i="59"/>
  <c r="X3" i="59"/>
  <c r="Y3" i="59"/>
  <c r="Z3" i="59"/>
  <c r="D11" i="59"/>
  <c r="H16" i="48"/>
  <c r="D15" i="48"/>
  <c r="D5" i="48"/>
  <c r="H5" i="48"/>
  <c r="B14" i="48"/>
  <c r="D14" i="48" s="1"/>
  <c r="B13" i="48"/>
  <c r="D13" i="48" s="1"/>
  <c r="F13" i="48"/>
  <c r="H13" i="48" s="1"/>
  <c r="F48" i="43"/>
  <c r="H51" i="43" s="1"/>
  <c r="G4" i="47"/>
  <c r="M60" i="15"/>
  <c r="L60" i="15"/>
  <c r="Q59" i="15" s="1"/>
  <c r="N60" i="15"/>
  <c r="S14" i="59"/>
  <c r="B13" i="59"/>
  <c r="B12" i="59"/>
  <c r="B11" i="59"/>
  <c r="B10" i="59"/>
  <c r="S10" i="59"/>
  <c r="V10" i="59"/>
  <c r="AC30" i="35"/>
  <c r="AB30" i="35"/>
  <c r="U30" i="35"/>
  <c r="D10" i="59"/>
  <c r="Q72" i="15"/>
  <c r="D9" i="59"/>
  <c r="I115" i="57"/>
  <c r="D132" i="57" s="1"/>
  <c r="I14" i="62" s="1"/>
  <c r="B8" i="62" s="1"/>
  <c r="D119" i="57"/>
  <c r="D8" i="59"/>
  <c r="I114" i="9"/>
  <c r="D129" i="9"/>
  <c r="D12" i="52" s="1"/>
  <c r="I112" i="9"/>
  <c r="D39" i="50" s="1"/>
  <c r="D40" i="50" s="1"/>
  <c r="D116" i="9"/>
  <c r="D114" i="9"/>
  <c r="D115" i="9"/>
  <c r="I113" i="9" s="1"/>
  <c r="D21" i="50"/>
  <c r="D22" i="50" s="1"/>
  <c r="B35" i="60" s="1"/>
  <c r="D42" i="50"/>
  <c r="D43" i="50" s="1"/>
  <c r="D18" i="50"/>
  <c r="B31" i="60" s="1"/>
  <c r="H15" i="48"/>
  <c r="F14" i="48"/>
  <c r="H14" i="48" s="1"/>
  <c r="D16" i="48"/>
  <c r="B8" i="48"/>
  <c r="D8" i="48" s="1"/>
  <c r="B7" i="48"/>
  <c r="D7" i="48" s="1"/>
  <c r="B10" i="48"/>
  <c r="D10" i="48" s="1"/>
  <c r="B11" i="48"/>
  <c r="D11" i="48" s="1"/>
  <c r="F21" i="48"/>
  <c r="H21" i="48" s="1"/>
  <c r="F5" i="61"/>
  <c r="E2" i="35"/>
  <c r="C20" i="57"/>
  <c r="E2" i="21"/>
  <c r="D3" i="61"/>
  <c r="F6" i="61"/>
  <c r="F7" i="61"/>
  <c r="D4" i="61"/>
  <c r="D20" i="57"/>
  <c r="F4" i="61"/>
  <c r="C19" i="57"/>
  <c r="D7" i="61"/>
  <c r="D6" i="61"/>
  <c r="D5" i="61"/>
  <c r="H23" i="31"/>
  <c r="E2" i="37"/>
  <c r="D19" i="57"/>
  <c r="E2" i="11"/>
  <c r="E2" i="34"/>
  <c r="F3" i="61"/>
  <c r="E2" i="36"/>
  <c r="E2" i="33"/>
  <c r="D19" i="50" l="1"/>
  <c r="B32" i="60" s="1"/>
  <c r="D127" i="9"/>
  <c r="D10" i="52" s="1"/>
  <c r="C3" i="4"/>
  <c r="B4" i="55" s="1"/>
  <c r="C24" i="12"/>
  <c r="C29" i="12" s="1"/>
  <c r="D28" i="12" s="1"/>
  <c r="C77" i="9"/>
  <c r="C74" i="9" s="1"/>
  <c r="C78" i="57"/>
  <c r="C75" i="57" s="1"/>
  <c r="B13" i="1"/>
  <c r="C13" i="12"/>
  <c r="B6" i="48"/>
  <c r="F7" i="48"/>
  <c r="H7" i="48" s="1"/>
  <c r="F8" i="48"/>
  <c r="H8" i="48" s="1"/>
  <c r="F10" i="48"/>
  <c r="H10" i="48" s="1"/>
  <c r="F9" i="48"/>
  <c r="H9" i="48" s="1"/>
  <c r="B4" i="48"/>
  <c r="D4" i="48" s="1"/>
  <c r="B9" i="48"/>
  <c r="D9" i="48" s="1"/>
  <c r="F4" i="48"/>
  <c r="H4" i="48" s="1"/>
  <c r="F11" i="48"/>
  <c r="H11" i="48" s="1"/>
  <c r="B22" i="48"/>
  <c r="D22" i="48" s="1"/>
  <c r="F6" i="48"/>
  <c r="H6" i="48" s="1"/>
  <c r="D7" i="59"/>
  <c r="AA7" i="59"/>
  <c r="AA5" i="59"/>
  <c r="X6" i="59"/>
  <c r="D6" i="59"/>
  <c r="M20" i="43" s="1"/>
  <c r="Y6" i="59"/>
  <c r="Z6" i="59" s="1"/>
  <c r="P23" i="43"/>
  <c r="P21" i="43"/>
  <c r="B71" i="39" s="1"/>
  <c r="P22" i="43"/>
  <c r="P25" i="43"/>
  <c r="P24" i="43"/>
  <c r="B66" i="40" s="1"/>
  <c r="H72" i="43"/>
  <c r="H76" i="43"/>
  <c r="H78" i="43"/>
  <c r="H75" i="43"/>
  <c r="H73" i="43"/>
  <c r="H71" i="43"/>
  <c r="G26" i="47"/>
  <c r="H48" i="43"/>
  <c r="H49" i="43"/>
  <c r="H55" i="43"/>
  <c r="H50" i="43"/>
  <c r="H54" i="43"/>
  <c r="H52" i="43"/>
  <c r="H53" i="43"/>
  <c r="H56" i="43"/>
  <c r="H88" i="43"/>
  <c r="H77" i="43"/>
  <c r="F63" i="15"/>
  <c r="C34" i="15"/>
  <c r="C63" i="15"/>
  <c r="F115" i="43"/>
  <c r="G115" i="43" s="1"/>
  <c r="H115" i="43" s="1"/>
  <c r="D113" i="43"/>
  <c r="C14" i="15"/>
  <c r="C19" i="11"/>
  <c r="C23" i="12"/>
  <c r="D5" i="43"/>
  <c r="C5" i="43"/>
  <c r="H67" i="43"/>
  <c r="H59" i="43"/>
  <c r="H65" i="43"/>
  <c r="H70" i="43"/>
  <c r="H74" i="43"/>
  <c r="C92" i="9"/>
  <c r="C94" i="9"/>
  <c r="C95" i="57"/>
  <c r="C93" i="57"/>
  <c r="D69" i="57"/>
  <c r="F31" i="12"/>
  <c r="C31" i="12" s="1"/>
  <c r="F48" i="9"/>
  <c r="O52" i="9" s="1"/>
  <c r="F30" i="11"/>
  <c r="F49" i="57"/>
  <c r="O53" i="57" s="1"/>
  <c r="F55" i="57"/>
  <c r="F54" i="9"/>
  <c r="F53" i="9"/>
  <c r="M18" i="15"/>
  <c r="F54" i="57"/>
  <c r="F52" i="9"/>
  <c r="F32" i="15"/>
  <c r="F61" i="15" s="1"/>
  <c r="F28" i="15"/>
  <c r="C28" i="15" s="1"/>
  <c r="F53" i="57"/>
  <c r="D68" i="9"/>
  <c r="C21" i="11"/>
  <c r="C29" i="11" s="1"/>
  <c r="D27" i="11" s="1"/>
  <c r="C50" i="15"/>
  <c r="J18" i="15"/>
  <c r="B33" i="60"/>
  <c r="C36" i="11"/>
  <c r="C38" i="11"/>
  <c r="C35" i="11"/>
  <c r="C12" i="12"/>
  <c r="C16" i="12" s="1"/>
  <c r="C21" i="12" s="1"/>
  <c r="C22" i="12" s="1"/>
  <c r="C30" i="12" s="1"/>
  <c r="C28" i="12" s="1"/>
  <c r="C16" i="15"/>
  <c r="C110" i="9"/>
  <c r="H107" i="9" s="1"/>
  <c r="C109" i="9"/>
  <c r="H106" i="9" s="1"/>
  <c r="C111" i="9"/>
  <c r="H108" i="9" s="1"/>
  <c r="H105" i="9"/>
  <c r="D41" i="50"/>
  <c r="B63" i="60" s="1"/>
  <c r="D130" i="57"/>
  <c r="H14" i="62" s="1"/>
  <c r="B7" i="62" s="1"/>
  <c r="C7" i="62" s="1"/>
  <c r="C21" i="50"/>
  <c r="D7" i="62"/>
  <c r="I103" i="57"/>
  <c r="D109" i="57"/>
  <c r="D115" i="57" s="1"/>
  <c r="C106" i="57"/>
  <c r="H125" i="57"/>
  <c r="C107" i="57"/>
  <c r="D110" i="57"/>
  <c r="I104" i="57"/>
  <c r="D20" i="50"/>
  <c r="D128" i="9"/>
  <c r="D11" i="52" s="1"/>
  <c r="D125" i="57"/>
  <c r="E124" i="57"/>
  <c r="G124" i="57"/>
  <c r="F125" i="57"/>
  <c r="D120" i="57"/>
  <c r="I116" i="57" s="1"/>
  <c r="C14" i="50"/>
  <c r="C8" i="62"/>
  <c r="D8" i="62"/>
  <c r="G48" i="35"/>
  <c r="H48" i="35" s="1"/>
  <c r="I48" i="35" s="1"/>
  <c r="J48" i="35" s="1"/>
  <c r="K48" i="35" s="1"/>
  <c r="L48" i="35" s="1"/>
  <c r="M48" i="35" s="1"/>
  <c r="N48" i="35" s="1"/>
  <c r="O48" i="35" s="1"/>
  <c r="H7" i="35"/>
  <c r="F59" i="34"/>
  <c r="E46" i="36"/>
  <c r="F46" i="36" s="1"/>
  <c r="G46" i="36" s="1"/>
  <c r="H46" i="36" s="1"/>
  <c r="I46" i="36" s="1"/>
  <c r="J46" i="36" s="1"/>
  <c r="K46" i="36" s="1"/>
  <c r="L46" i="36" s="1"/>
  <c r="M46" i="36" s="1"/>
  <c r="N46" i="36" s="1"/>
  <c r="O46" i="36" s="1"/>
  <c r="E58" i="21"/>
  <c r="F58" i="21" s="1"/>
  <c r="G58" i="21" s="1"/>
  <c r="H58" i="21" s="1"/>
  <c r="I58" i="21" s="1"/>
  <c r="J58" i="21" s="1"/>
  <c r="K58" i="21" s="1"/>
  <c r="L58" i="21" s="1"/>
  <c r="M58" i="21" s="1"/>
  <c r="N58" i="21" s="1"/>
  <c r="O58" i="21" s="1"/>
  <c r="F7" i="21"/>
  <c r="H7" i="21"/>
  <c r="D63" i="40"/>
  <c r="C65" i="40"/>
  <c r="H7" i="37"/>
  <c r="E52" i="37"/>
  <c r="F52" i="37" s="1"/>
  <c r="G52" i="37" s="1"/>
  <c r="H52" i="37" s="1"/>
  <c r="I52" i="37" s="1"/>
  <c r="J52" i="37" s="1"/>
  <c r="K52" i="37" s="1"/>
  <c r="L52" i="37" s="1"/>
  <c r="M52" i="37" s="1"/>
  <c r="N52" i="37" s="1"/>
  <c r="O52" i="37" s="1"/>
  <c r="J7" i="37"/>
  <c r="D58" i="33"/>
  <c r="C70" i="39"/>
  <c r="D68" i="39"/>
  <c r="I55" i="15"/>
  <c r="C32" i="15"/>
  <c r="J7" i="35"/>
  <c r="F7" i="35"/>
  <c r="K1" i="61"/>
  <c r="C102" i="57"/>
  <c r="G19" i="57"/>
  <c r="D22" i="57"/>
  <c r="D102" i="57"/>
  <c r="I1" i="61"/>
  <c r="B30" i="1" s="1"/>
  <c r="E20" i="43"/>
  <c r="G20" i="57"/>
  <c r="C104" i="57" s="1"/>
  <c r="C103" i="57"/>
  <c r="D103" i="57"/>
  <c r="G1" i="61"/>
  <c r="B53" i="60" l="1"/>
  <c r="D6" i="48"/>
  <c r="E3" i="4"/>
  <c r="B5" i="55" s="1"/>
  <c r="L49" i="15"/>
  <c r="I20" i="43"/>
  <c r="B14" i="1"/>
  <c r="C19" i="43"/>
  <c r="C18" i="15"/>
  <c r="C15" i="15"/>
  <c r="C19" i="15" s="1"/>
  <c r="C20" i="15" s="1"/>
  <c r="C26" i="15" s="1"/>
  <c r="C30" i="11"/>
  <c r="C48" i="11"/>
  <c r="C33" i="11"/>
  <c r="C39" i="11" s="1"/>
  <c r="C46" i="11" s="1"/>
  <c r="C45" i="11" s="1"/>
  <c r="C105" i="57"/>
  <c r="D116" i="57"/>
  <c r="I112" i="57" s="1"/>
  <c r="D129" i="57" s="1"/>
  <c r="M49" i="57"/>
  <c r="I111" i="57"/>
  <c r="D46" i="57"/>
  <c r="AC7" i="35"/>
  <c r="V38" i="35" s="1"/>
  <c r="I38" i="35" s="1"/>
  <c r="W7" i="35"/>
  <c r="E58" i="33"/>
  <c r="W7" i="37"/>
  <c r="AC7" i="37"/>
  <c r="V42" i="37" s="1"/>
  <c r="I42" i="37" s="1"/>
  <c r="U7" i="37"/>
  <c r="AB7" i="37"/>
  <c r="T42" i="37" s="1"/>
  <c r="G42" i="37" s="1"/>
  <c r="U7" i="21"/>
  <c r="AB7" i="21"/>
  <c r="T48" i="21" s="1"/>
  <c r="G48" i="21" s="1"/>
  <c r="H7" i="36"/>
  <c r="S7" i="35"/>
  <c r="AA7" i="35"/>
  <c r="R38" i="35" s="1"/>
  <c r="E68" i="39"/>
  <c r="D70" i="39"/>
  <c r="F7" i="37"/>
  <c r="D65" i="40"/>
  <c r="E63" i="40"/>
  <c r="AA7" i="21"/>
  <c r="R48" i="21" s="1"/>
  <c r="S7" i="21"/>
  <c r="J7" i="21"/>
  <c r="J7" i="36"/>
  <c r="F7" i="36"/>
  <c r="G59" i="34"/>
  <c r="AB7" i="35"/>
  <c r="T38" i="35" s="1"/>
  <c r="G38" i="35" s="1"/>
  <c r="U7" i="35"/>
  <c r="E27" i="1"/>
  <c r="F11" i="15"/>
  <c r="M11" i="15"/>
  <c r="J10" i="15" s="1"/>
  <c r="J5" i="15" s="1"/>
  <c r="P28" i="43"/>
  <c r="M28" i="43"/>
  <c r="O28" i="43"/>
  <c r="G20" i="43" s="1"/>
  <c r="N28" i="43"/>
  <c r="B55" i="60" l="1"/>
  <c r="D128" i="57"/>
  <c r="M50" i="57"/>
  <c r="B18" i="49"/>
  <c r="H10" i="39"/>
  <c r="H10" i="40"/>
  <c r="F10" i="40"/>
  <c r="J10" i="40"/>
  <c r="F10" i="39"/>
  <c r="J10" i="39"/>
  <c r="J58" i="15"/>
  <c r="J56" i="15" s="1"/>
  <c r="J59" i="15" s="1"/>
  <c r="Q48" i="15" s="1"/>
  <c r="L59" i="15"/>
  <c r="J54" i="15"/>
  <c r="L57" i="15"/>
  <c r="E41" i="43"/>
  <c r="C41" i="43" s="1"/>
  <c r="C20" i="43"/>
  <c r="C79" i="57"/>
  <c r="C74" i="57" s="1"/>
  <c r="C86" i="57"/>
  <c r="C94" i="57"/>
  <c r="C87" i="57" s="1"/>
  <c r="C96" i="57" s="1"/>
  <c r="D53" i="57"/>
  <c r="D54" i="57"/>
  <c r="D49" i="57" s="1"/>
  <c r="M53" i="57" s="1"/>
  <c r="C73" i="57"/>
  <c r="D56" i="57"/>
  <c r="M54" i="57" s="1"/>
  <c r="C65" i="57"/>
  <c r="C64" i="57" s="1"/>
  <c r="C68" i="57" s="1"/>
  <c r="C69" i="57" s="1"/>
  <c r="D55" i="57" s="1"/>
  <c r="AC7" i="21"/>
  <c r="V48" i="21" s="1"/>
  <c r="I48" i="21" s="1"/>
  <c r="W7" i="21"/>
  <c r="E48" i="21"/>
  <c r="R49" i="21"/>
  <c r="G43" i="35"/>
  <c r="H43" i="35" s="1"/>
  <c r="G42" i="35"/>
  <c r="H42" i="35" s="1"/>
  <c r="H59" i="34"/>
  <c r="AC7" i="36"/>
  <c r="V36" i="36" s="1"/>
  <c r="I36" i="36" s="1"/>
  <c r="W7" i="36"/>
  <c r="E65" i="40"/>
  <c r="F63" i="40"/>
  <c r="S7" i="37"/>
  <c r="AA7" i="37"/>
  <c r="R42" i="37" s="1"/>
  <c r="R39" i="35"/>
  <c r="E38" i="35"/>
  <c r="G52" i="21"/>
  <c r="H52" i="21" s="1"/>
  <c r="G53" i="21"/>
  <c r="H53" i="21" s="1"/>
  <c r="F58" i="33"/>
  <c r="AA7" i="36"/>
  <c r="R36" i="36" s="1"/>
  <c r="S7" i="36"/>
  <c r="F68" i="39"/>
  <c r="E70" i="39"/>
  <c r="AB7" i="36"/>
  <c r="T36" i="36" s="1"/>
  <c r="G36" i="36" s="1"/>
  <c r="U7" i="36"/>
  <c r="G46" i="37"/>
  <c r="H46" i="37" s="1"/>
  <c r="G47" i="37"/>
  <c r="H47" i="37" s="1"/>
  <c r="I46" i="37"/>
  <c r="J46" i="37" s="1"/>
  <c r="I42" i="35"/>
  <c r="J42" i="35" s="1"/>
  <c r="I43" i="35"/>
  <c r="J43" i="35" s="1"/>
  <c r="C54" i="15"/>
  <c r="C49" i="15" s="1"/>
  <c r="C10" i="15"/>
  <c r="C5" i="15" s="1"/>
  <c r="J26" i="15"/>
  <c r="J24" i="15"/>
  <c r="F24" i="15"/>
  <c r="F22" i="11"/>
  <c r="F25" i="12"/>
  <c r="B4" i="60" l="1"/>
  <c r="L66" i="57"/>
  <c r="M66" i="57" s="1"/>
  <c r="L69" i="57"/>
  <c r="M69" i="57" s="1"/>
  <c r="L65" i="57"/>
  <c r="M65" i="57" s="1"/>
  <c r="L68" i="57"/>
  <c r="M68" i="57" s="1"/>
  <c r="L64" i="57"/>
  <c r="M64" i="57" s="1"/>
  <c r="M70" i="57" s="1"/>
  <c r="N70" i="57" s="1"/>
  <c r="L67" i="57"/>
  <c r="M67" i="57" s="1"/>
  <c r="B33" i="1"/>
  <c r="F41" i="15" s="1"/>
  <c r="F70" i="15" s="1"/>
  <c r="Q50" i="15"/>
  <c r="AA10" i="39"/>
  <c r="S10" i="39"/>
  <c r="S10" i="40"/>
  <c r="AA10" i="40"/>
  <c r="AB10" i="39"/>
  <c r="U10" i="39"/>
  <c r="J29" i="15"/>
  <c r="Q71" i="15"/>
  <c r="Q58" i="15"/>
  <c r="AC10" i="39"/>
  <c r="W10" i="39"/>
  <c r="W10" i="40"/>
  <c r="AC10" i="40"/>
  <c r="AB10" i="40"/>
  <c r="U10" i="40"/>
  <c r="T6" i="43"/>
  <c r="V6" i="43" s="1"/>
  <c r="T14" i="43"/>
  <c r="V14" i="43" s="1"/>
  <c r="T8" i="43"/>
  <c r="V8" i="43" s="1"/>
  <c r="C35" i="43"/>
  <c r="C36" i="43"/>
  <c r="C33" i="43"/>
  <c r="T4" i="43"/>
  <c r="V4" i="43" s="1"/>
  <c r="T16" i="43"/>
  <c r="V16" i="43" s="1"/>
  <c r="T7" i="43"/>
  <c r="V7" i="43" s="1"/>
  <c r="T13" i="43"/>
  <c r="V13" i="43" s="1"/>
  <c r="T11" i="43"/>
  <c r="V11" i="43" s="1"/>
  <c r="C37" i="43"/>
  <c r="C29" i="43"/>
  <c r="T9" i="43"/>
  <c r="V9" i="43" s="1"/>
  <c r="T10" i="43"/>
  <c r="V10" i="43" s="1"/>
  <c r="T5" i="43"/>
  <c r="V5" i="43" s="1"/>
  <c r="T12" i="43"/>
  <c r="V12" i="43" s="1"/>
  <c r="T2" i="43"/>
  <c r="V2" i="43" s="1"/>
  <c r="C34" i="43"/>
  <c r="T15" i="43"/>
  <c r="V15" i="43" s="1"/>
  <c r="T3" i="43"/>
  <c r="V3" i="43" s="1"/>
  <c r="C39" i="43"/>
  <c r="C38" i="43"/>
  <c r="C80" i="57"/>
  <c r="C81" i="57" s="1"/>
  <c r="E81" i="57" s="1"/>
  <c r="E82" i="57" s="1"/>
  <c r="C97" i="57"/>
  <c r="E97" i="57" s="1"/>
  <c r="E98" i="57" s="1"/>
  <c r="C98" i="57"/>
  <c r="D59" i="57" s="1"/>
  <c r="D57" i="57" s="1"/>
  <c r="M55" i="57" s="1"/>
  <c r="N58" i="57" s="1"/>
  <c r="G58" i="33"/>
  <c r="C39" i="35"/>
  <c r="C38" i="35"/>
  <c r="I40" i="36"/>
  <c r="J40" i="36" s="1"/>
  <c r="C49" i="21"/>
  <c r="B2" i="21" s="1"/>
  <c r="B3" i="21" s="1"/>
  <c r="C48" i="21"/>
  <c r="G41" i="36"/>
  <c r="H41" i="36" s="1"/>
  <c r="G40" i="36"/>
  <c r="H40" i="36" s="1"/>
  <c r="F70" i="39"/>
  <c r="G68" i="39"/>
  <c r="R37" i="36"/>
  <c r="E36" i="36"/>
  <c r="E43" i="35"/>
  <c r="F43" i="35" s="1"/>
  <c r="E42" i="35"/>
  <c r="F42" i="35" s="1"/>
  <c r="R43" i="37"/>
  <c r="E42" i="37"/>
  <c r="G63" i="40"/>
  <c r="F65" i="40"/>
  <c r="I59" i="34"/>
  <c r="E52" i="21"/>
  <c r="F52" i="21" s="1"/>
  <c r="E53" i="21"/>
  <c r="F53" i="21" s="1"/>
  <c r="I52" i="21"/>
  <c r="J52" i="21" s="1"/>
  <c r="I53" i="21"/>
  <c r="J53" i="21" s="1"/>
  <c r="C38" i="15"/>
  <c r="C27" i="12"/>
  <c r="C25" i="12" s="1"/>
  <c r="C26" i="12"/>
  <c r="D25" i="12" s="1"/>
  <c r="C23" i="15"/>
  <c r="C24" i="15"/>
  <c r="C43" i="11"/>
  <c r="C42" i="11"/>
  <c r="C26" i="11"/>
  <c r="D22" i="11" s="1"/>
  <c r="C24" i="11"/>
  <c r="C44" i="11"/>
  <c r="D41" i="11" s="1"/>
  <c r="C61" i="15"/>
  <c r="C67" i="15"/>
  <c r="E39" i="43" l="1"/>
  <c r="G39" i="43"/>
  <c r="I39" i="43" s="1"/>
  <c r="G37" i="43"/>
  <c r="I37" i="43" s="1"/>
  <c r="E37" i="43"/>
  <c r="E33" i="43"/>
  <c r="G33" i="43"/>
  <c r="I33" i="43" s="1"/>
  <c r="G35" i="43"/>
  <c r="I35" i="43" s="1"/>
  <c r="E35" i="43"/>
  <c r="G38" i="43"/>
  <c r="I38" i="43" s="1"/>
  <c r="E38" i="43"/>
  <c r="E34" i="43"/>
  <c r="G34" i="43"/>
  <c r="I34" i="43" s="1"/>
  <c r="E29" i="43"/>
  <c r="C6" i="11" s="1"/>
  <c r="C7" i="11" s="1"/>
  <c r="C5" i="11" s="1"/>
  <c r="C30" i="43"/>
  <c r="E30" i="43" s="1"/>
  <c r="E36" i="43"/>
  <c r="G36" i="43"/>
  <c r="I36" i="43" s="1"/>
  <c r="C82" i="57"/>
  <c r="N59" i="57"/>
  <c r="P58" i="57"/>
  <c r="N60" i="57"/>
  <c r="J59" i="34"/>
  <c r="K59" i="34" s="1"/>
  <c r="L59" i="34" s="1"/>
  <c r="M59" i="34" s="1"/>
  <c r="N59" i="34" s="1"/>
  <c r="O59" i="34" s="1"/>
  <c r="H7" i="34"/>
  <c r="F7" i="34"/>
  <c r="H63" i="40"/>
  <c r="G65" i="40"/>
  <c r="C43" i="37"/>
  <c r="B2" i="37" s="1"/>
  <c r="B3" i="37" s="1"/>
  <c r="C42" i="37"/>
  <c r="C36" i="36"/>
  <c r="C37" i="36"/>
  <c r="B2" i="36" s="1"/>
  <c r="B3" i="36" s="1"/>
  <c r="C29" i="15"/>
  <c r="C33" i="15" s="1"/>
  <c r="C31" i="15" s="1"/>
  <c r="J7" i="34"/>
  <c r="E46" i="37"/>
  <c r="F46" i="37" s="1"/>
  <c r="E47" i="37"/>
  <c r="F47" i="37" s="1"/>
  <c r="I47" i="37"/>
  <c r="J47" i="37" s="1"/>
  <c r="E40" i="36"/>
  <c r="F40" i="36" s="1"/>
  <c r="E41" i="36"/>
  <c r="F41" i="36" s="1"/>
  <c r="G70" i="39"/>
  <c r="H68" i="39"/>
  <c r="I41" i="36"/>
  <c r="J41" i="36" s="1"/>
  <c r="H58" i="33"/>
  <c r="B3" i="35"/>
  <c r="B2" i="35"/>
  <c r="C32" i="12"/>
  <c r="B2" i="12" s="1"/>
  <c r="C41" i="11"/>
  <c r="C49" i="11" s="1"/>
  <c r="C51" i="11" s="1"/>
  <c r="J19" i="15" l="1"/>
  <c r="J17" i="15" s="1"/>
  <c r="C20" i="11"/>
  <c r="C23" i="11"/>
  <c r="C27" i="43"/>
  <c r="C26" i="43"/>
  <c r="B2" i="43" s="1"/>
  <c r="C36" i="15"/>
  <c r="J14" i="15"/>
  <c r="J22" i="15" s="1"/>
  <c r="C58" i="15"/>
  <c r="C65" i="15" s="1"/>
  <c r="Q47" i="15"/>
  <c r="J60" i="15"/>
  <c r="J61" i="15" s="1"/>
  <c r="Q46" i="15" s="1"/>
  <c r="C13" i="15"/>
  <c r="C57" i="15" s="1"/>
  <c r="C66" i="15" s="1"/>
  <c r="N61" i="57"/>
  <c r="N62" i="57"/>
  <c r="B3" i="12"/>
  <c r="I58" i="33"/>
  <c r="I68" i="39"/>
  <c r="H70" i="39"/>
  <c r="I63" i="40"/>
  <c r="H65" i="40"/>
  <c r="AB7" i="34"/>
  <c r="T49" i="34" s="1"/>
  <c r="G49" i="34" s="1"/>
  <c r="U7" i="34"/>
  <c r="AC7" i="34"/>
  <c r="V49" i="34" s="1"/>
  <c r="I49" i="34" s="1"/>
  <c r="W7" i="34"/>
  <c r="AA7" i="34"/>
  <c r="R49" i="34" s="1"/>
  <c r="S7" i="34"/>
  <c r="L47" i="15"/>
  <c r="J13" i="15"/>
  <c r="J23" i="15" s="1"/>
  <c r="C62" i="15"/>
  <c r="C60" i="15" s="1"/>
  <c r="C28" i="11" l="1"/>
  <c r="C27" i="11" s="1"/>
  <c r="C25" i="11"/>
  <c r="C22" i="11" s="1"/>
  <c r="J34" i="15"/>
  <c r="C37" i="15"/>
  <c r="C30" i="15" s="1"/>
  <c r="C39" i="15" s="1"/>
  <c r="C40" i="15" s="1"/>
  <c r="Q68" i="15"/>
  <c r="B3" i="43"/>
  <c r="J16" i="15"/>
  <c r="J25" i="15" s="1"/>
  <c r="C59" i="15"/>
  <c r="C68" i="15" s="1"/>
  <c r="C69" i="15" s="1"/>
  <c r="C72" i="15" s="1"/>
  <c r="E49" i="34"/>
  <c r="R50" i="34"/>
  <c r="I53" i="34"/>
  <c r="J53" i="34" s="1"/>
  <c r="I54" i="34"/>
  <c r="J54" i="34" s="1"/>
  <c r="G53" i="34"/>
  <c r="H53" i="34" s="1"/>
  <c r="G54" i="34"/>
  <c r="H54" i="34" s="1"/>
  <c r="I65" i="40"/>
  <c r="J63" i="40"/>
  <c r="I70" i="39"/>
  <c r="J68" i="39"/>
  <c r="J58" i="33"/>
  <c r="C31" i="11" l="1"/>
  <c r="C52" i="11" s="1"/>
  <c r="C56" i="11" s="1"/>
  <c r="C57" i="11" s="1"/>
  <c r="C47" i="15"/>
  <c r="Q67" i="15"/>
  <c r="J38" i="15"/>
  <c r="J39" i="15" s="1"/>
  <c r="Q66" i="15"/>
  <c r="K68" i="39"/>
  <c r="J70" i="39"/>
  <c r="K63" i="40"/>
  <c r="J65" i="40"/>
  <c r="C50" i="34"/>
  <c r="B2" i="34" s="1"/>
  <c r="B3" i="34" s="1"/>
  <c r="C49" i="34"/>
  <c r="K58" i="33"/>
  <c r="E53" i="34"/>
  <c r="F53" i="34" s="1"/>
  <c r="E54" i="34"/>
  <c r="F54" i="34" s="1"/>
  <c r="Q45" i="15"/>
  <c r="Q51" i="15" s="1"/>
  <c r="Q54" i="15"/>
  <c r="B3" i="15"/>
  <c r="L52" i="15"/>
  <c r="C43" i="15"/>
  <c r="B2" i="15"/>
  <c r="Q63" i="15"/>
  <c r="J41" i="15"/>
  <c r="D19" i="9"/>
  <c r="D20" i="9"/>
  <c r="B2" i="11" l="1"/>
  <c r="B3" i="11"/>
  <c r="D102" i="9"/>
  <c r="D101" i="9"/>
  <c r="L58" i="33"/>
  <c r="K65" i="40"/>
  <c r="L63" i="40"/>
  <c r="K70" i="39"/>
  <c r="L68" i="39"/>
  <c r="J42" i="15"/>
  <c r="D35" i="9"/>
  <c r="L58" i="15"/>
  <c r="L61" i="15" s="1"/>
  <c r="Q65" i="15"/>
  <c r="C20" i="9"/>
  <c r="C19" i="9"/>
  <c r="C101" i="9" l="1"/>
  <c r="D22" i="9"/>
  <c r="G19" i="9"/>
  <c r="K20" i="9" s="1"/>
  <c r="K21" i="9" s="1"/>
  <c r="C102" i="9"/>
  <c r="G20" i="9"/>
  <c r="C32" i="9" s="1"/>
  <c r="L70" i="39"/>
  <c r="M68" i="39"/>
  <c r="L65" i="40"/>
  <c r="M63" i="40"/>
  <c r="M58" i="33"/>
  <c r="N58" i="33" s="1"/>
  <c r="O58" i="33" s="1"/>
  <c r="J7" i="33"/>
  <c r="Q64" i="15"/>
  <c r="Q73" i="15" s="1"/>
  <c r="Q55" i="15"/>
  <c r="Q60" i="15" s="1"/>
  <c r="D34" i="9"/>
  <c r="C35" i="9"/>
  <c r="C34" i="9" s="1"/>
  <c r="AC7" i="33" l="1"/>
  <c r="V48" i="33" s="1"/>
  <c r="I48" i="33" s="1"/>
  <c r="W7" i="33"/>
  <c r="M65" i="40"/>
  <c r="N63" i="40"/>
  <c r="M70" i="39"/>
  <c r="N68" i="39"/>
  <c r="H7" i="33"/>
  <c r="F7" i="33"/>
  <c r="AA7" i="33" l="1"/>
  <c r="R48" i="33" s="1"/>
  <c r="S7" i="33"/>
  <c r="N70" i="39"/>
  <c r="O68" i="39"/>
  <c r="O70" i="39" s="1"/>
  <c r="O63" i="40"/>
  <c r="O65" i="40" s="1"/>
  <c r="N65" i="40"/>
  <c r="U7" i="33"/>
  <c r="AB7" i="33"/>
  <c r="T48" i="33" s="1"/>
  <c r="G48" i="33" s="1"/>
  <c r="I52" i="33"/>
  <c r="J52" i="33" s="1"/>
  <c r="G52" i="33" l="1"/>
  <c r="H52" i="33" s="1"/>
  <c r="G53" i="33"/>
  <c r="H53" i="33" s="1"/>
  <c r="J7" i="39"/>
  <c r="H7" i="39"/>
  <c r="F7" i="39"/>
  <c r="F7" i="40"/>
  <c r="H7" i="40"/>
  <c r="J7" i="40"/>
  <c r="R49" i="33"/>
  <c r="E48" i="33"/>
  <c r="E52" i="33" l="1"/>
  <c r="F52" i="33" s="1"/>
  <c r="E53" i="33"/>
  <c r="F53" i="33" s="1"/>
  <c r="I53" i="33"/>
  <c r="J53" i="33" s="1"/>
  <c r="W7" i="40"/>
  <c r="AC7" i="40"/>
  <c r="V42" i="40" s="1"/>
  <c r="I42" i="40" s="1"/>
  <c r="AA7" i="40"/>
  <c r="R42" i="40" s="1"/>
  <c r="S7" i="40"/>
  <c r="AB7" i="39"/>
  <c r="T47" i="39" s="1"/>
  <c r="G47" i="39" s="1"/>
  <c r="U7" i="39"/>
  <c r="C48" i="33"/>
  <c r="C49" i="33"/>
  <c r="B2" i="33" s="1"/>
  <c r="B3" i="33" s="1"/>
  <c r="U7" i="40"/>
  <c r="AB7" i="40"/>
  <c r="T42" i="40" s="1"/>
  <c r="G42" i="40" s="1"/>
  <c r="AA7" i="39"/>
  <c r="R47" i="39" s="1"/>
  <c r="S7" i="39"/>
  <c r="W7" i="39"/>
  <c r="AC7" i="39"/>
  <c r="V47" i="39" s="1"/>
  <c r="I47" i="39" s="1"/>
  <c r="G47" i="40" l="1"/>
  <c r="H47" i="40" s="1"/>
  <c r="G46" i="40"/>
  <c r="H46" i="40" s="1"/>
  <c r="R48" i="39"/>
  <c r="E47" i="39"/>
  <c r="G52" i="39"/>
  <c r="H52" i="39" s="1"/>
  <c r="G51" i="39"/>
  <c r="H51" i="39" s="1"/>
  <c r="E42" i="40"/>
  <c r="I47" i="40" s="1"/>
  <c r="J47" i="40" s="1"/>
  <c r="R43" i="40"/>
  <c r="I51" i="39"/>
  <c r="J51" i="39" s="1"/>
  <c r="I52" i="39"/>
  <c r="J52" i="39" s="1"/>
  <c r="I46" i="40"/>
  <c r="J46" i="40" s="1"/>
  <c r="C42" i="40" l="1"/>
  <c r="C43" i="40"/>
  <c r="E52" i="39"/>
  <c r="F52" i="39" s="1"/>
  <c r="E51" i="39"/>
  <c r="F51" i="39" s="1"/>
  <c r="E46" i="40"/>
  <c r="F46" i="40" s="1"/>
  <c r="E47" i="40"/>
  <c r="F47" i="40" s="1"/>
  <c r="C47" i="39"/>
  <c r="C48" i="39"/>
  <c r="B62" i="39" l="1"/>
  <c r="F62" i="39" s="1"/>
  <c r="B64" i="39"/>
  <c r="F64" i="39" s="1"/>
  <c r="B58" i="39"/>
  <c r="F58" i="39" s="1"/>
  <c r="B60" i="39"/>
  <c r="F60" i="39" s="1"/>
  <c r="B59" i="39"/>
  <c r="F59" i="39" s="1"/>
  <c r="B61" i="39"/>
  <c r="F61" i="39" s="1"/>
  <c r="B63" i="39"/>
  <c r="F63" i="39" s="1"/>
  <c r="B57" i="39"/>
  <c r="F57" i="39" s="1"/>
  <c r="B65" i="39"/>
  <c r="F65" i="39" s="1"/>
  <c r="B56" i="39"/>
  <c r="F56" i="39" s="1"/>
  <c r="F66" i="39" s="1"/>
  <c r="B2" i="39" s="1"/>
  <c r="B3" i="39" s="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E121" i="9"/>
  <c r="E4" i="52" s="1"/>
  <c r="I121" i="9"/>
  <c r="C104" i="9" s="1"/>
  <c r="G121" i="9"/>
  <c r="F121" i="9" s="1"/>
  <c r="B38" i="60" l="1"/>
  <c r="D121" i="9"/>
  <c r="D4" i="52" s="1"/>
  <c r="H121" i="9"/>
  <c r="F122" i="9"/>
  <c r="F5" i="52" s="1"/>
  <c r="F4" i="52"/>
  <c r="G4" i="52"/>
  <c r="I102" i="9"/>
  <c r="D107" i="9"/>
  <c r="I4" i="52"/>
  <c r="D122" i="9"/>
  <c r="D5" i="52" s="1"/>
  <c r="I103" i="9"/>
  <c r="H4" i="52" l="1"/>
  <c r="D14" i="62"/>
  <c r="B39" i="60"/>
  <c r="B41" i="60"/>
  <c r="B40" i="60"/>
  <c r="B42" i="60"/>
  <c r="B37" i="60"/>
  <c r="C103" i="9"/>
  <c r="H122" i="9"/>
  <c r="H5" i="52" s="1"/>
  <c r="D106" i="9"/>
  <c r="D112" i="9" s="1"/>
  <c r="D117" i="9" s="1"/>
  <c r="D30" i="50"/>
  <c r="D9" i="50"/>
  <c r="D7" i="50"/>
  <c r="D28" i="50"/>
  <c r="D29" i="50" s="1"/>
  <c r="I110" i="9"/>
  <c r="M49" i="9" s="1"/>
  <c r="M48" i="9"/>
  <c r="D45" i="9"/>
  <c r="D113" i="9"/>
  <c r="F14" i="62" l="1"/>
  <c r="B5" i="62"/>
  <c r="E14" i="62"/>
  <c r="B21" i="60"/>
  <c r="L67" i="9"/>
  <c r="M67" i="9" s="1"/>
  <c r="L68" i="9"/>
  <c r="M68" i="9" s="1"/>
  <c r="L66" i="9"/>
  <c r="M66" i="9" s="1"/>
  <c r="L65" i="9"/>
  <c r="M65" i="9" s="1"/>
  <c r="L63" i="9"/>
  <c r="M63" i="9" s="1"/>
  <c r="L64" i="9"/>
  <c r="M64" i="9" s="1"/>
  <c r="I111" i="9"/>
  <c r="D38" i="50"/>
  <c r="D44" i="50"/>
  <c r="I115" i="9"/>
  <c r="D23" i="50" s="1"/>
  <c r="D52" i="9"/>
  <c r="D55" i="9"/>
  <c r="M53" i="9" s="1"/>
  <c r="C93" i="9"/>
  <c r="C86" i="9" s="1"/>
  <c r="D59" i="9"/>
  <c r="M55" i="9" s="1"/>
  <c r="C64" i="9"/>
  <c r="C63" i="9" s="1"/>
  <c r="C67" i="9" s="1"/>
  <c r="C68" i="9" s="1"/>
  <c r="D54" i="9" s="1"/>
  <c r="C78" i="9"/>
  <c r="C73" i="9" s="1"/>
  <c r="C85" i="9"/>
  <c r="C95" i="9" s="1"/>
  <c r="D53" i="9"/>
  <c r="D48" i="9" s="1"/>
  <c r="M52" i="9" s="1"/>
  <c r="C72" i="9"/>
  <c r="D125" i="9"/>
  <c r="D15" i="50"/>
  <c r="D36" i="50"/>
  <c r="D37" i="50" s="1"/>
  <c r="B19" i="60"/>
  <c r="D8" i="50"/>
  <c r="C5" i="62" l="1"/>
  <c r="D5" i="62"/>
  <c r="D8" i="52"/>
  <c r="G14" i="62"/>
  <c r="B6" i="62" s="1"/>
  <c r="B34" i="60"/>
  <c r="B62" i="60"/>
  <c r="B22" i="60"/>
  <c r="M69" i="9"/>
  <c r="N69" i="9" s="1"/>
  <c r="C79" i="9"/>
  <c r="B29" i="60"/>
  <c r="D16" i="50"/>
  <c r="C96" i="9"/>
  <c r="E96" i="9" s="1"/>
  <c r="E97" i="9" s="1"/>
  <c r="D17" i="50"/>
  <c r="D126" i="9"/>
  <c r="D9" i="52" s="1"/>
  <c r="D6" i="62" l="1"/>
  <c r="C6" i="62"/>
  <c r="B30" i="60"/>
  <c r="C97" i="9"/>
  <c r="D58" i="9" s="1"/>
  <c r="D56" i="9" s="1"/>
  <c r="M54" i="9" s="1"/>
  <c r="N57" i="9" s="1"/>
  <c r="N58" i="9" s="1"/>
  <c r="C80" i="9"/>
  <c r="E80" i="9" s="1"/>
  <c r="E81" i="9" s="1"/>
  <c r="P57" i="9" l="1"/>
  <c r="N59" i="9"/>
  <c r="N60" i="9" s="1"/>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<sst xmlns="http://schemas.openxmlformats.org/spreadsheetml/2006/main" count="6789" uniqueCount="2868">
  <si>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</si>
  <si>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</si>
  <si>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</si>
  <si>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</si>
  <si>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</si>
  <si>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</si>
  <si>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</si>
  <si>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</si>
  <si>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</si>
  <si>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</si>
  <si>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</si>
  <si>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</si>
  <si>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</si>
  <si>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</si>
  <si>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</si>
  <si>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</si>
  <si>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</si>
  <si>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</si>
  <si>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</si>
  <si>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</si>
  <si>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</si>
  <si>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</si>
  <si>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</si>
  <si>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</si>
  <si>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</si>
  <si>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</si>
  <si>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</si>
  <si>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</si>
  <si>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</si>
  <si>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</si>
  <si>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</si>
  <si>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</si>
  <si>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</si>
  <si>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</si>
  <si>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</si>
  <si>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</si>
  <si>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</si>
  <si>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</si>
  <si>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</si>
  <si>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</si>
  <si>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</si>
  <si>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</si>
  <si>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</si>
  <si>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</si>
  <si>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</si>
  <si>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</si>
  <si>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</si>
  <si>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</si>
  <si>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</si>
  <si>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</si>
  <si>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</si>
  <si>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</si>
  <si>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</si>
  <si>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</si>
  <si>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</si>
  <si>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</si>
  <si>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</si>
  <si>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</si>
  <si>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</si>
  <si>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</si>
  <si>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</si>
  <si>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</si>
  <si>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</si>
  <si>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</si>
  <si>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</si>
  <si>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</si>
  <si>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</si>
  <si>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</si>
  <si>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</si>
  <si>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</si>
  <si>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</si>
  <si>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</si>
  <si>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</si>
  <si>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</si>
  <si>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</si>
  <si>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</si>
  <si>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</si>
  <si>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</si>
  <si>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</si>
  <si>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</si>
  <si>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</si>
  <si>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</si>
  <si>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</si>
  <si>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</si>
  <si>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</si>
  <si>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</si>
  <si>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</si>
  <si>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</si>
  <si>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</si>
  <si>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</si>
  <si>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</si>
  <si>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</si>
  <si>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</si>
  <si>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</si>
  <si>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</si>
  <si>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</si>
  <si>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</si>
  <si>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</si>
  <si>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</si>
  <si>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</si>
  <si>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</si>
  <si>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</si>
  <si>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</si>
  <si>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</si>
  <si>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</si>
  <si>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</si>
  <si>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</si>
  <si>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</si>
  <si>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</si>
  <si>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</si>
  <si>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</si>
  <si>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</si>
  <si>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</si>
  <si>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</si>
  <si>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</si>
  <si>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</si>
  <si>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</si>
  <si>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</si>
  <si>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</si>
  <si>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</si>
  <si>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</si>
  <si>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</si>
  <si>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</si>
  <si>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</si>
  <si>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</si>
  <si>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</si>
  <si>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</si>
  <si>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</si>
  <si>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</si>
  <si>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</si>
  <si>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</si>
  <si>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</si>
  <si>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</si>
  <si>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</si>
  <si>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</si>
  <si>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</si>
  <si>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</si>
  <si>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</si>
  <si>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</si>
  <si>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</si>
  <si>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</si>
  <si>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</si>
  <si>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</si>
  <si>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</si>
  <si>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</si>
  <si>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</si>
  <si>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</si>
  <si>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</si>
  <si>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</si>
  <si>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</si>
  <si>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</si>
  <si>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</si>
  <si>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</si>
  <si>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</si>
  <si>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</si>
  <si>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</si>
  <si>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</si>
  <si>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</si>
  <si>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</si>
  <si>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</si>
  <si>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</si>
  <si>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</si>
  <si>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</si>
  <si>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</si>
  <si>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</si>
  <si>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</si>
  <si>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</si>
  <si>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</si>
  <si>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</si>
  <si>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</si>
  <si>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</si>
  <si>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</si>
  <si>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</si>
  <si>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</si>
  <si>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</si>
  <si>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</si>
  <si>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</si>
  <si>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</si>
  <si>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</si>
  <si>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</si>
  <si>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</si>
  <si>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</si>
  <si>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</si>
  <si>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</si>
  <si>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</si>
  <si>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</si>
  <si>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</si>
  <si>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</si>
  <si>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</si>
  <si>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</si>
  <si>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</si>
  <si>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</si>
  <si>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</si>
  <si>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</si>
  <si>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</si>
  <si>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</si>
  <si>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</si>
  <si>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</si>
  <si>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</si>
  <si>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</si>
  <si>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</si>
  <si>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</si>
  <si>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</si>
  <si>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</si>
  <si>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</si>
  <si>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</si>
  <si>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</si>
  <si>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</si>
  <si>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</si>
  <si>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</si>
  <si>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</si>
  <si>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</si>
  <si>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</si>
  <si>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</si>
  <si>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</si>
  <si>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</si>
  <si>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</si>
  <si>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</si>
  <si>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</si>
  <si>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</si>
  <si>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</si>
  <si>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</si>
  <si>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</si>
  <si>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</si>
  <si>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</si>
  <si>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</si>
  <si>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</si>
  <si>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</si>
  <si>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</si>
  <si>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</si>
  <si>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</si>
  <si>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</si>
  <si>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</si>
  <si>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</si>
  <si>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</si>
  <si>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</si>
  <si>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</si>
  <si>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</si>
  <si>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</si>
  <si>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</si>
  <si>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</si>
  <si>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</si>
  <si>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</si>
  <si>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</si>
  <si>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</si>
  <si>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</si>
  <si>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</si>
  <si>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</si>
  <si>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</si>
  <si>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</si>
  <si>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</si>
  <si>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</si>
  <si>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</si>
  <si>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</si>
  <si>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</si>
  <si>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</si>
  <si>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</si>
  <si>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</si>
  <si>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</si>
  <si>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</si>
  <si>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</si>
  <si>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</si>
  <si>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</si>
  <si>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</si>
  <si>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</si>
  <si>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</si>
  <si>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</si>
  <si>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</si>
  <si>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</si>
  <si>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</si>
  <si>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</si>
  <si>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</si>
  <si>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</si>
  <si>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</si>
  <si>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</si>
  <si>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</si>
  <si>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</si>
  <si>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</si>
  <si>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</si>
  <si>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</si>
  <si>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</si>
  <si>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</si>
  <si>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</si>
  <si>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</si>
  <si>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</si>
  <si>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</si>
  <si>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</si>
  <si>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</si>
  <si>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</si>
  <si>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</si>
  <si>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</si>
  <si>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</si>
  <si>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</si>
  <si>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</si>
  <si>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</si>
  <si>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</si>
  <si>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</si>
  <si>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</si>
  <si>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</si>
  <si>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</si>
  <si>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</si>
  <si>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</si>
  <si>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</si>
  <si>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</si>
  <si>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</si>
  <si>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</si>
  <si>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</si>
  <si>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</si>
  <si>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</si>
  <si>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</si>
  <si>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</si>
  <si>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</si>
  <si>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</si>
  <si>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</si>
  <si>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</si>
  <si>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</si>
  <si>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</si>
  <si>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</si>
  <si>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</si>
  <si>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</si>
  <si>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</si>
  <si>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</si>
  <si>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</si>
  <si>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</si>
  <si>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</si>
  <si>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</si>
  <si>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</si>
  <si>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</si>
  <si>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</si>
  <si>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</si>
  <si>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</si>
  <si>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</si>
  <si>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</si>
  <si>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</si>
  <si>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</si>
  <si>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</si>
  <si>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</si>
  <si>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</si>
  <si>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</si>
  <si>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</si>
  <si>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</si>
  <si>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</si>
  <si>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</si>
  <si>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</si>
  <si>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</si>
  <si>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</si>
  <si>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</si>
  <si>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</si>
  <si>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</si>
  <si>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</si>
  <si>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</si>
  <si>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</si>
  <si>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</si>
  <si>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</si>
  <si>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</si>
  <si>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</si>
  <si>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</si>
  <si>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</si>
  <si>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</si>
  <si>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</si>
  <si>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</si>
  <si>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</si>
  <si>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</si>
  <si>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</si>
  <si>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</si>
  <si>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</si>
  <si>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</si>
  <si>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</si>
  <si>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</si>
  <si>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</si>
  <si>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</si>
  <si>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</si>
  <si>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</si>
  <si>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</si>
  <si>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</si>
  <si>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</si>
  <si>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</si>
  <si>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</si>
  <si>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</si>
  <si>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</si>
  <si>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</si>
  <si>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</si>
  <si>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</si>
  <si>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</si>
  <si>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</si>
  <si>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</si>
  <si>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</si>
  <si>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</si>
  <si>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</si>
  <si>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</si>
  <si>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</si>
  <si>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</si>
  <si>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</si>
  <si>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</si>
  <si>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</si>
  <si>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</si>
  <si>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</si>
  <si>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</si>
  <si>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</si>
  <si>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</si>
  <si>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</si>
  <si>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</si>
  <si>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</si>
  <si>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</si>
  <si>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</si>
  <si>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</si>
  <si>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</si>
  <si>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</si>
  <si>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</si>
  <si>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</si>
  <si>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</si>
  <si>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</si>
  <si>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</si>
  <si>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</si>
  <si>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</si>
  <si>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</si>
  <si>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</si>
  <si>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</si>
  <si>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</si>
  <si>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</si>
  <si>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</si>
  <si>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</si>
  <si>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</si>
  <si>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</si>
  <si>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</si>
  <si>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</si>
  <si>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</si>
  <si>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</si>
  <si>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</si>
  <si>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</si>
  <si>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</si>
  <si>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</si>
  <si>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</si>
  <si>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</si>
  <si>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</si>
  <si>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</si>
  <si>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</si>
  <si>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</si>
  <si>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</si>
  <si>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</si>
  <si>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</si>
  <si>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</si>
  <si>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</si>
  <si>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</si>
  <si>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</si>
  <si>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</si>
  <si>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</si>
  <si>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</si>
  <si>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</si>
  <si>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</si>
  <si>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</si>
  <si>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</si>
  <si>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</si>
  <si>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</si>
  <si>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</si>
  <si>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</si>
  <si>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</si>
  <si>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</si>
  <si>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</si>
  <si>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</si>
  <si>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</si>
  <si>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</si>
  <si>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</si>
  <si>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</si>
  <si>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</si>
  <si>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</si>
  <si>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</si>
  <si>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</si>
  <si>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</si>
  <si>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</si>
  <si>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</si>
  <si>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</si>
  <si>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</si>
  <si>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</si>
  <si>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</si>
  <si>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</si>
  <si>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</si>
  <si>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</si>
  <si>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</si>
  <si>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</si>
  <si>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</si>
  <si>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</si>
  <si>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</si>
  <si>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</si>
  <si>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</si>
  <si>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</si>
  <si>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</si>
  <si>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</si>
  <si>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</si>
  <si>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</si>
  <si>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</si>
  <si>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</si>
  <si>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</si>
  <si>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</si>
  <si>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</si>
  <si>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</si>
  <si>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</si>
  <si>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</si>
  <si>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</si>
  <si>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</si>
  <si>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</si>
  <si>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</si>
  <si>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</si>
  <si>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</si>
  <si>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</si>
  <si>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</si>
  <si>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</si>
  <si>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</si>
  <si>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</si>
  <si>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</si>
  <si>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</si>
  <si>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</si>
  <si>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</si>
  <si>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</si>
  <si>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</si>
  <si>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</si>
  <si>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</si>
  <si>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</si>
  <si>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</si>
  <si>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</si>
  <si>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</si>
  <si>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</si>
  <si>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</si>
  <si>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</si>
  <si>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</si>
  <si>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</si>
  <si>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</si>
  <si>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</si>
  <si>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</si>
  <si>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</si>
  <si>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</si>
  <si>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</si>
  <si>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</si>
  <si>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</si>
  <si>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</si>
  <si>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</si>
  <si>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</si>
  <si>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</si>
  <si>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</si>
  <si>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</si>
  <si>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</si>
  <si>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</si>
  <si>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</si>
  <si>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</si>
  <si>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</si>
  <si>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</si>
  <si>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</si>
  <si>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</si>
  <si>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</si>
  <si>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</si>
  <si>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</si>
  <si>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</si>
  <si>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</si>
  <si>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</si>
  <si>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</si>
  <si>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</si>
  <si>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</si>
  <si>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</si>
  <si>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</si>
  <si>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</si>
  <si>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</si>
  <si>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</si>
  <si>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</si>
  <si>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</si>
  <si>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</si>
  <si>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</si>
  <si>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</si>
  <si>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</si>
  <si>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</si>
  <si>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</si>
  <si>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</si>
  <si>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</si>
  <si>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</si>
  <si>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</si>
  <si>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</si>
  <si>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</si>
  <si>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</si>
  <si>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</si>
  <si>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</si>
  <si>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</si>
  <si>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</si>
  <si>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</si>
  <si>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</si>
  <si>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</si>
  <si>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</si>
  <si>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</si>
  <si>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</si>
  <si>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</si>
  <si>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</si>
  <si>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</si>
  <si>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</si>
  <si>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</si>
  <si>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</si>
  <si>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</si>
  <si>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</si>
  <si>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</si>
  <si>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</si>
  <si>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</si>
  <si>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</si>
  <si>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</si>
  <si>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</si>
  <si>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</si>
  <si>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</si>
  <si>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</si>
  <si>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</si>
  <si>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</si>
  <si>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</si>
  <si>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</si>
  <si>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</si>
  <si>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</si>
  <si>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</si>
  <si>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</si>
  <si>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</si>
  <si>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</si>
  <si>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</si>
  <si>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</si>
  <si>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</si>
  <si>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</si>
  <si>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</si>
  <si>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</si>
  <si>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</si>
  <si>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</si>
  <si>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</si>
  <si>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</si>
  <si>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</si>
  <si>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</si>
  <si>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</si>
  <si>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</si>
  <si>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</si>
  <si>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</si>
  <si>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</si>
  <si>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</si>
  <si>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</si>
  <si>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</si>
  <si>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</si>
  <si>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</si>
  <si>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</si>
  <si>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</si>
  <si>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</si>
  <si>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</si>
  <si>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</si>
  <si>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</si>
  <si>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</si>
  <si>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</si>
  <si>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</si>
  <si>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</si>
  <si>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</si>
  <si>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</si>
  <si>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</si>
  <si>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</si>
  <si>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</si>
  <si>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</si>
  <si>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</si>
  <si>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</si>
  <si>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</si>
  <si>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</si>
  <si>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</si>
  <si>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</si>
  <si>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</si>
  <si>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</si>
  <si>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</si>
  <si>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</si>
  <si>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</si>
  <si>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</si>
  <si>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</si>
  <si>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</si>
  <si>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</si>
  <si>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</si>
  <si>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</si>
  <si>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</si>
  <si>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</si>
  <si>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</si>
  <si>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</si>
  <si>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</si>
  <si>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</si>
  <si>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</si>
  <si>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</si>
  <si>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</si>
  <si>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</si>
  <si>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</si>
  <si>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</si>
  <si>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</si>
  <si>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</si>
  <si>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</si>
  <si>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</si>
  <si>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</si>
  <si>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</si>
  <si>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</si>
  <si>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</si>
  <si>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</si>
  <si>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</si>
  <si>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</si>
  <si>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</si>
  <si>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</si>
  <si>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</si>
  <si>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</si>
  <si>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</si>
  <si>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</si>
  <si>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</si>
  <si>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</si>
  <si>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</si>
  <si>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</si>
  <si>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</si>
  <si>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</si>
  <si>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</si>
  <si>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</si>
  <si>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</si>
  <si>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</si>
  <si>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</si>
  <si>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</si>
  <si>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</si>
  <si>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</si>
  <si>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</si>
  <si>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</si>
  <si>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</si>
  <si>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</si>
  <si>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</si>
  <si>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</si>
  <si>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</si>
  <si>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</si>
  <si>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</si>
  <si>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</si>
  <si>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</si>
  <si>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</si>
  <si>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</si>
  <si>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</si>
  <si>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</si>
  <si>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</si>
  <si>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</si>
  <si>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</si>
  <si>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</si>
  <si>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</si>
  <si>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</si>
  <si>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</si>
  <si>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</si>
  <si>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</si>
  <si>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</si>
  <si>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</si>
  <si>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</si>
  <si>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</si>
  <si>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</si>
  <si>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</si>
  <si>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</si>
  <si>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</si>
  <si>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</si>
  <si>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</si>
  <si>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</si>
  <si>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</si>
  <si>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</si>
  <si>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</si>
  <si>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</si>
  <si>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</si>
  <si>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</si>
  <si>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</si>
  <si>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</si>
  <si>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</si>
  <si>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</si>
  <si>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</si>
  <si>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</si>
  <si>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</si>
  <si>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</si>
  <si>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</si>
  <si>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</si>
  <si>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</si>
  <si>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</si>
  <si>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</si>
  <si>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</si>
  <si>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</si>
  <si>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</si>
  <si>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</si>
  <si>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</si>
  <si>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</si>
  <si>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</si>
  <si>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</si>
  <si>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</si>
  <si>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</si>
  <si>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</si>
  <si>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</si>
  <si>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</si>
  <si>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</si>
  <si>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</si>
  <si>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</si>
  <si>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</si>
  <si>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</si>
  <si>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</si>
  <si>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</si>
  <si>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</si>
  <si>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</si>
  <si>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</si>
  <si>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</si>
  <si>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</si>
  <si>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</si>
  <si>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</si>
  <si>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</si>
  <si>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</si>
  <si>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</si>
  <si>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</si>
  <si>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</si>
  <si>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</si>
  <si>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</si>
  <si>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</si>
  <si>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</si>
  <si>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</si>
  <si>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</si>
  <si>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</si>
  <si>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</si>
  <si>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</si>
  <si>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</si>
  <si>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</si>
  <si>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</si>
  <si>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</si>
  <si>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</si>
  <si>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</si>
  <si>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</si>
  <si>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</si>
  <si>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</si>
  <si>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</si>
  <si>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</si>
  <si>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</si>
  <si>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</si>
  <si>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</si>
  <si>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</si>
  <si>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</si>
  <si>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</si>
  <si>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</si>
  <si>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</si>
  <si>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</si>
  <si>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</si>
  <si>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</si>
  <si>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</si>
  <si>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</si>
  <si>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</si>
  <si>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</si>
  <si>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</si>
  <si>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</si>
  <si>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</si>
  <si>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</si>
  <si>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</si>
  <si>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</si>
  <si>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</si>
  <si>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</si>
  <si>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</si>
  <si>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</si>
  <si>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</si>
  <si>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</si>
  <si>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</si>
  <si>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</si>
  <si>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</si>
  <si>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</si>
  <si>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</si>
  <si>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</si>
  <si>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</si>
  <si>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</si>
  <si>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</si>
  <si>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</si>
  <si>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</si>
  <si>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</si>
  <si>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</si>
  <si>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</si>
  <si>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</si>
  <si>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</si>
  <si>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</si>
  <si>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</si>
  <si>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</si>
  <si>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</si>
  <si>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</si>
  <si>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</si>
  <si>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</si>
  <si>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</si>
  <si>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</si>
  <si>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</si>
  <si>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</si>
  <si>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</si>
  <si>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</si>
  <si>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</si>
  <si>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</si>
  <si>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</si>
  <si>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</si>
  <si>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</si>
  <si>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</si>
  <si>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</si>
  <si>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</si>
  <si>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</si>
  <si>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</si>
  <si>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</si>
  <si>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</si>
  <si>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</si>
  <si>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</si>
  <si>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</si>
  <si>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</si>
  <si>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</si>
  <si>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</si>
  <si>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</si>
  <si>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</si>
  <si>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</si>
  <si>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</si>
  <si>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</si>
  <si>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</si>
  <si>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</si>
  <si>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</si>
  <si>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</si>
  <si>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</si>
  <si>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</si>
  <si>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</si>
  <si>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</si>
  <si>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</si>
  <si>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</si>
  <si>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</si>
  <si>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</si>
  <si>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</si>
  <si>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</si>
  <si>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</si>
  <si>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</si>
  <si>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</si>
  <si>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</si>
  <si>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</si>
  <si>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</si>
  <si>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</si>
  <si>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</si>
  <si>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</si>
  <si>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</si>
  <si>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</si>
  <si>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</si>
  <si>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</si>
  <si>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</si>
  <si>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</si>
  <si>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</si>
  <si>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</si>
  <si>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</si>
  <si>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</si>
  <si>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</si>
  <si>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</si>
  <si>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</si>
  <si>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</si>
  <si>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</si>
  <si>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</si>
  <si>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</si>
  <si>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</si>
  <si>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</si>
  <si>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</si>
  <si>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</si>
  <si>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</si>
  <si>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</si>
  <si>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</si>
  <si>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</si>
  <si>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</si>
  <si>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</si>
  <si>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</si>
  <si>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</si>
  <si>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</si>
  <si>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</si>
  <si>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</si>
  <si>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</si>
  <si>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</si>
  <si>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</si>
  <si>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</si>
  <si>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</si>
  <si>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</si>
  <si>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</si>
  <si>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</si>
  <si>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</si>
  <si>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</si>
  <si>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</si>
  <si>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</si>
  <si>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</si>
  <si>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</si>
  <si>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</si>
  <si>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</si>
  <si>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</si>
  <si>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</si>
  <si>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</si>
  <si>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</si>
  <si>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</si>
  <si>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</si>
  <si>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</si>
  <si>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</si>
  <si>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</si>
  <si>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</si>
  <si>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</si>
  <si>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</si>
  <si>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</si>
  <si>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</si>
  <si>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</si>
  <si>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</si>
  <si>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</si>
  <si>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</si>
  <si>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</si>
  <si>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</si>
  <si>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</si>
  <si>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</si>
  <si>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</si>
  <si>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</si>
  <si>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</si>
  <si>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</si>
  <si>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</si>
  <si>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</si>
  <si>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</si>
  <si>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</si>
  <si>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</si>
  <si>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</si>
  <si>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</si>
  <si>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</si>
  <si>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</si>
  <si>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</si>
  <si>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</si>
  <si>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</si>
  <si>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</si>
  <si>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</si>
  <si>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</si>
  <si>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</si>
  <si>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</si>
  <si>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</si>
  <si>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</si>
  <si>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</si>
  <si>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</si>
  <si>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</si>
  <si>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</si>
  <si>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</si>
  <si>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</si>
  <si>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</si>
  <si>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</si>
  <si>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</si>
  <si>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</si>
  <si>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</si>
  <si>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</si>
  <si>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</si>
  <si>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</si>
  <si>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</si>
  <si>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</si>
  <si>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</si>
  <si>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</si>
  <si>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</si>
  <si>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</si>
  <si>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</si>
  <si>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</si>
  <si>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</si>
  <si>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</si>
  <si>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</si>
  <si>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</si>
  <si>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</si>
  <si>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</si>
  <si>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</si>
  <si>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</si>
  <si>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</si>
  <si>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</si>
  <si>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</si>
  <si>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</si>
  <si>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</si>
  <si>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</si>
  <si>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</si>
  <si>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</si>
  <si>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</si>
  <si>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</si>
  <si>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</si>
  <si>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</si>
  <si>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</si>
  <si>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</si>
  <si>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</si>
  <si>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</si>
  <si>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</si>
  <si>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</si>
  <si>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</si>
  <si>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</si>
  <si>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</si>
  <si>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</si>
  <si>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</si>
  <si>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</si>
  <si>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</si>
  <si>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</si>
  <si>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</si>
  <si>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</si>
  <si>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</si>
  <si>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</si>
  <si>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</si>
  <si>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</si>
  <si>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</si>
  <si>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</si>
  <si>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</si>
  <si>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</si>
  <si>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</si>
  <si>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</si>
  <si>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</si>
  <si>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</si>
  <si>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</si>
  <si>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</si>
  <si>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</si>
  <si>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</si>
  <si>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</si>
  <si>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</si>
  <si>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</si>
  <si>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</si>
  <si>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</si>
  <si>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</si>
  <si>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</si>
  <si>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</si>
  <si>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</si>
  <si>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</si>
  <si>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</si>
  <si>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</si>
  <si>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</si>
  <si>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</si>
  <si>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</si>
  <si>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</si>
  <si>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</si>
  <si>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</si>
  <si>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</si>
  <si>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</si>
  <si>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</si>
  <si>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</si>
  <si>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</si>
  <si>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</si>
  <si>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</si>
  <si>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</si>
  <si>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</si>
  <si>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</si>
  <si>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</si>
  <si>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</si>
  <si>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</si>
  <si>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</si>
  <si>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</si>
  <si>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</si>
  <si>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</si>
  <si>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</si>
  <si>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</si>
  <si>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</si>
  <si>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</si>
  <si>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</si>
  <si>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</si>
  <si>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</si>
  <si>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</si>
  <si>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</si>
  <si>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</si>
  <si>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</si>
  <si>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</si>
  <si>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</si>
  <si>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</si>
  <si>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</si>
  <si>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</si>
  <si>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</si>
  <si>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</si>
  <si>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</si>
  <si>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</si>
  <si>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</si>
  <si>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</si>
  <si>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</si>
  <si>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</si>
  <si>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</si>
  <si>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</si>
  <si>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</si>
  <si>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</si>
  <si>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</si>
  <si>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</si>
  <si>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</si>
  <si>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</si>
  <si>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</si>
  <si>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</si>
  <si>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</si>
  <si>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</si>
  <si>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</si>
  <si>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</si>
  <si>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</si>
  <si>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</si>
  <si>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</si>
  <si>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</si>
  <si>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</si>
  <si>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</si>
  <si>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</si>
  <si>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</si>
  <si>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</si>
  <si>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</si>
  <si>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</si>
  <si>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</si>
  <si>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</si>
  <si>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</si>
  <si>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</si>
  <si>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</si>
  <si>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</si>
  <si>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</si>
  <si>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</si>
  <si>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</si>
  <si>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</si>
  <si>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</si>
  <si>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</si>
  <si>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</si>
  <si>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</si>
  <si>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</si>
  <si>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</si>
  <si>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</si>
  <si>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</si>
  <si>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</si>
  <si>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</si>
  <si>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</si>
  <si>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</si>
  <si>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</si>
  <si>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</si>
  <si>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</si>
  <si>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</si>
  <si>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</si>
  <si>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</si>
  <si>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</si>
  <si>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</si>
  <si>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</si>
  <si>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</si>
  <si>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</si>
  <si>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</si>
  <si>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</si>
  <si>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</si>
  <si>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</si>
  <si>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</si>
  <si>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</si>
  <si>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</si>
  <si>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</si>
  <si>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</si>
  <si>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</si>
  <si>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</si>
  <si>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</si>
  <si>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</si>
  <si>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</si>
  <si>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</si>
  <si>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</si>
  <si>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</si>
  <si>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</si>
  <si>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</si>
  <si>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</si>
  <si>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</si>
  <si>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</si>
  <si>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</si>
  <si>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</si>
  <si>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</si>
  <si>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</si>
  <si>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</si>
  <si>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</si>
  <si>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</si>
  <si>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</si>
  <si>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</si>
  <si>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</si>
  <si>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</si>
  <si>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</si>
  <si>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</si>
  <si>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</si>
  <si>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</si>
  <si>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</si>
  <si>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</si>
  <si>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</si>
  <si>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</si>
  <si>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</si>
  <si>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</si>
  <si>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</si>
  <si>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</si>
  <si>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</si>
  <si>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</si>
  <si>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</si>
  <si>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</si>
  <si>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</si>
  <si>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</si>
  <si>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</si>
  <si>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</si>
  <si>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</si>
  <si>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</si>
  <si>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</si>
  <si>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</si>
  <si>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</si>
  <si>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</si>
  <si>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</si>
  <si>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</si>
  <si>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</si>
  <si>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</si>
  <si>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</si>
  <si>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</si>
  <si>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</si>
  <si>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</si>
  <si>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</si>
  <si>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</si>
  <si>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</si>
  <si>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</si>
  <si>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</si>
  <si>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</si>
  <si>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</si>
  <si>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</si>
  <si>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</si>
  <si>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</si>
  <si>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</si>
  <si>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</si>
  <si>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</si>
  <si>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</si>
  <si>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</si>
  <si>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</si>
  <si>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</si>
  <si>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</si>
  <si>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</si>
  <si>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</si>
  <si>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</si>
  <si>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</si>
  <si>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</si>
  <si>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</si>
  <si>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</si>
  <si>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</si>
  <si>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</si>
  <si>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</si>
  <si>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</si>
  <si>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</si>
  <si>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</si>
  <si>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</si>
  <si>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</si>
  <si>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</si>
  <si>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</si>
  <si>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</si>
  <si>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</si>
  <si>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</si>
  <si>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</si>
  <si>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</si>
  <si>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</si>
  <si>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</si>
  <si>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</si>
  <si>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</si>
  <si>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</si>
  <si>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</si>
  <si>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</si>
  <si>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</si>
  <si>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</si>
  <si>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</si>
  <si>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</si>
  <si>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</si>
  <si>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</si>
  <si>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</si>
  <si>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</si>
  <si>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</si>
  <si>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</si>
  <si>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</si>
  <si>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</si>
  <si>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</si>
  <si>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</si>
  <si>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</si>
  <si>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</si>
  <si>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</si>
  <si>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</si>
  <si>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</si>
  <si>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</si>
  <si>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</si>
  <si>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</si>
  <si>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</si>
  <si>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</si>
  <si>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</si>
  <si>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</si>
  <si>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</si>
  <si>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</si>
  <si>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</si>
  <si>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</si>
  <si>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</si>
  <si>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</si>
  <si>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</si>
  <si>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</si>
  <si>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</si>
  <si>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</si>
  <si>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</si>
  <si>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</si>
  <si>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</si>
  <si>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</si>
  <si>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</si>
  <si>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</si>
  <si>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</si>
  <si>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</si>
  <si>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</si>
  <si>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</si>
  <si>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</si>
  <si>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</si>
  <si>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</si>
  <si>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</si>
  <si>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</si>
  <si>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</si>
  <si>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</si>
  <si>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</si>
  <si>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</si>
  <si>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</si>
  <si>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</si>
  <si>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</si>
  <si>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</si>
  <si>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</si>
  <si>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</si>
  <si>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</si>
  <si>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</si>
  <si>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</si>
  <si>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</si>
  <si>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</si>
  <si>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</si>
  <si>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</si>
  <si>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</si>
  <si>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</si>
  <si>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</si>
  <si>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</si>
  <si>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</si>
  <si>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</si>
  <si>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</si>
  <si>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</si>
  <si>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</si>
  <si>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</si>
  <si>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</si>
  <si>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</si>
  <si>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</si>
  <si>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</si>
  <si>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</si>
  <si>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</si>
  <si>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</si>
  <si>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</si>
  <si>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</si>
  <si>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</si>
  <si>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</si>
  <si>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</si>
  <si>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</si>
  <si>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</si>
  <si>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</si>
  <si>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</si>
  <si>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</si>
  <si>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</si>
  <si>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</si>
  <si>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</si>
  <si>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</si>
  <si>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</si>
  <si>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</si>
  <si>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</si>
  <si>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</si>
  <si>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</si>
  <si>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</si>
  <si>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</si>
  <si>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</si>
  <si>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</si>
  <si>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</si>
  <si>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</si>
  <si>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</si>
  <si>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</si>
  <si>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</si>
  <si>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</si>
  <si>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</si>
  <si>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</si>
  <si>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</si>
  <si>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</si>
  <si>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</si>
  <si>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</si>
  <si>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</si>
  <si>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</si>
  <si>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</si>
  <si>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</si>
  <si>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</si>
  <si>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</si>
  <si>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</si>
  <si>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</si>
  <si>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</si>
  <si>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</si>
  <si>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</si>
  <si>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</si>
  <si>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</si>
  <si>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</si>
  <si>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</si>
  <si>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</si>
  <si>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</si>
  <si>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</si>
  <si>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</si>
  <si>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</si>
  <si>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</si>
  <si>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</si>
  <si>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</si>
  <si>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</si>
  <si>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</si>
  <si>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</si>
  <si>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</si>
  <si>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</si>
  <si>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</si>
  <si>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</si>
  <si>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</si>
  <si>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</si>
  <si>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</si>
  <si>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</si>
  <si>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</si>
  <si>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</si>
  <si>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</si>
  <si>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</si>
  <si>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</si>
  <si>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</si>
  <si>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</si>
  <si>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</si>
  <si>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</si>
  <si>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</si>
  <si>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</si>
  <si>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</si>
  <si>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</si>
  <si>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</si>
  <si>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</si>
  <si>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</si>
  <si>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</si>
  <si>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</si>
  <si>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</si>
  <si>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</si>
  <si>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</si>
  <si>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</si>
  <si>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</si>
  <si>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</si>
  <si>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</si>
  <si>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</si>
  <si>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</si>
  <si>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</si>
  <si>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</si>
  <si>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</si>
  <si>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</si>
  <si>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</si>
  <si>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</si>
  <si>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</si>
  <si>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</si>
  <si>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</si>
  <si>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</si>
  <si>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</si>
  <si>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</si>
  <si>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</si>
  <si>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</si>
  <si>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</si>
  <si>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</si>
  <si>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</si>
  <si>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</si>
  <si>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</si>
  <si>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</si>
  <si>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</si>
  <si>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</si>
  <si>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</si>
  <si>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</si>
  <si>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</si>
  <si>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</si>
  <si>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</si>
  <si>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</si>
  <si>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</si>
  <si>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</si>
  <si>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</si>
  <si>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</si>
  <si>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</si>
  <si>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</si>
  <si>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</si>
  <si>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</si>
  <si>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</si>
  <si>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</si>
  <si>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</si>
  <si>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</si>
  <si>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</si>
  <si>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</si>
  <si>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</si>
  <si>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</si>
  <si>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</si>
  <si>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</si>
  <si>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</si>
  <si>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</si>
  <si>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</si>
  <si>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</si>
  <si>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</si>
  <si>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</si>
  <si>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</si>
  <si>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</si>
  <si>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</si>
  <si>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</si>
  <si>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</si>
  <si>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</si>
  <si>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</si>
  <si>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</si>
  <si>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</si>
  <si>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</si>
  <si>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</si>
  <si>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</si>
  <si>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</si>
  <si>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</si>
  <si>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</si>
  <si>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</si>
  <si>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</si>
  <si>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</si>
  <si>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</si>
  <si>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</si>
  <si>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</si>
  <si>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</si>
  <si>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</si>
  <si>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</si>
  <si>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</si>
  <si>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</si>
  <si>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</si>
  <si>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</si>
  <si>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</si>
  <si>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</si>
  <si>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</si>
  <si>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</si>
  <si>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</si>
  <si>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</si>
  <si>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</si>
  <si>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</si>
  <si>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</si>
  <si>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</si>
  <si>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</si>
  <si>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</si>
  <si>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</si>
  <si>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</si>
  <si>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</si>
  <si>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</si>
  <si>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</si>
  <si>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</si>
  <si>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</si>
  <si>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</si>
  <si>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</si>
  <si>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</si>
  <si>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</si>
  <si>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</si>
  <si>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</si>
  <si>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</si>
  <si>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</si>
  <si>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</si>
  <si>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</si>
  <si>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</si>
  <si>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</si>
  <si>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</si>
  <si>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</si>
  <si>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</si>
  <si>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</si>
  <si>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</si>
  <si>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</si>
  <si>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</si>
  <si>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</si>
  <si>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</si>
  <si>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</si>
  <si>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</si>
  <si>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</si>
  <si>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</si>
  <si>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</si>
  <si>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</si>
  <si>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</si>
  <si>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</si>
  <si>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</si>
  <si>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</si>
  <si>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</si>
  <si>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</si>
  <si>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</si>
  <si>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</si>
  <si>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</si>
  <si>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</si>
  <si>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</si>
  <si>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</si>
  <si>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</si>
  <si>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</si>
  <si>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</si>
  <si>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</si>
  <si>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</si>
  <si>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</si>
  <si>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</si>
  <si>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</si>
  <si>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</si>
  <si>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</si>
  <si>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</si>
  <si>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</si>
  <si>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</si>
  <si>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</si>
  <si>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</si>
  <si>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</si>
  <si>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</si>
  <si>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</si>
  <si>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</si>
  <si>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</si>
  <si>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</si>
  <si>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</si>
  <si>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</si>
  <si>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</si>
  <si>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</si>
  <si>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</si>
  <si>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</si>
  <si>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</si>
  <si>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</si>
  <si>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</si>
  <si>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</si>
  <si>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</si>
  <si>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</si>
  <si>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</si>
  <si>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</si>
  <si>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</si>
  <si>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</si>
  <si>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</si>
  <si>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</si>
  <si>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</si>
  <si>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</si>
  <si>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</si>
  <si>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</si>
  <si>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</si>
  <si>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</si>
  <si>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</si>
  <si>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</si>
  <si>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</si>
  <si>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</si>
  <si>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</si>
  <si>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</si>
  <si>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</si>
  <si>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</si>
  <si>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</si>
  <si>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</si>
  <si>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</si>
  <si>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</si>
  <si>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</si>
  <si>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</si>
  <si>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</si>
  <si>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</si>
  <si>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</si>
  <si>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</si>
  <si>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</si>
  <si>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</si>
  <si>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</si>
  <si>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</si>
  <si>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</si>
  <si>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</si>
  <si>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</si>
  <si>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</si>
  <si>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</si>
  <si>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</si>
  <si>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</si>
  <si>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</si>
  <si>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</si>
  <si>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</si>
  <si>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</si>
  <si>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</si>
  <si>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</si>
  <si>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</si>
  <si>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</si>
  <si>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</si>
  <si>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</si>
  <si>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</si>
  <si>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</si>
  <si>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</si>
  <si>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</si>
  <si>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</si>
  <si>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</si>
  <si>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</si>
  <si>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</si>
  <si>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</si>
  <si>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</si>
  <si>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</si>
  <si>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</si>
  <si>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</si>
  <si>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</si>
  <si>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</si>
  <si>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</si>
  <si>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</si>
  <si>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</si>
  <si>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</si>
  <si>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</si>
  <si>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</si>
  <si>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</si>
  <si>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</si>
  <si>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</si>
  <si>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</si>
  <si>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</si>
  <si>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</si>
  <si>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</si>
  <si>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</si>
  <si>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</si>
  <si>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</si>
  <si>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</si>
  <si>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</si>
  <si>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</si>
  <si>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</si>
  <si>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</si>
  <si>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</si>
  <si>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</si>
  <si>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</si>
  <si>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</si>
  <si>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</si>
  <si>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</si>
  <si>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</si>
  <si>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</si>
  <si>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</si>
  <si>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</si>
  <si>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</si>
  <si>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</si>
  <si>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</si>
  <si>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</si>
  <si>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</si>
  <si>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</si>
  <si>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</si>
  <si>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</si>
  <si>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</si>
  <si>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</si>
  <si>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</si>
  <si>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</si>
  <si>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</si>
  <si>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</si>
  <si>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</si>
  <si>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</si>
  <si>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</si>
  <si>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</si>
  <si>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</si>
  <si>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</si>
  <si>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</si>
  <si>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</si>
  <si>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</si>
  <si>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</si>
  <si>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</si>
  <si>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</si>
  <si>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</si>
  <si>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</si>
  <si>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</si>
  <si>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</si>
  <si>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</si>
  <si>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</si>
  <si>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</si>
  <si>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</si>
  <si>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</si>
  <si>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</si>
  <si>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</si>
  <si>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</si>
  <si>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</si>
  <si>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</si>
  <si>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</si>
  <si>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</si>
  <si>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</si>
  <si>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</si>
  <si>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</si>
  <si>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</si>
  <si>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</si>
  <si>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</si>
  <si>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</si>
  <si>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</si>
  <si>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</si>
  <si>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</si>
  <si>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</si>
  <si>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</si>
  <si>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</si>
  <si>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</si>
  <si>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</si>
  <si>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</si>
  <si>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</si>
  <si>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</si>
  <si>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</si>
  <si>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</si>
  <si>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</si>
  <si>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</si>
  <si>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</si>
  <si>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</si>
  <si>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</si>
  <si>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</si>
  <si>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</si>
  <si>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</si>
  <si>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</si>
  <si>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</si>
  <si>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</si>
  <si>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</si>
  <si>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</si>
  <si>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</si>
  <si>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</si>
  <si>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</si>
  <si>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</si>
  <si>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</si>
  <si>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</si>
  <si>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</si>
  <si>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</si>
  <si>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</si>
  <si>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</si>
  <si>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</si>
  <si>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</si>
  <si>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</si>
  <si>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</si>
  <si>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</si>
  <si>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</si>
  <si>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</si>
  <si>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</si>
  <si>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</si>
  <si>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</si>
  <si>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</si>
  <si>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</si>
  <si>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</si>
  <si>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</si>
  <si>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</si>
  <si>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</si>
  <si>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</si>
  <si>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</si>
  <si>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</si>
  <si>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</si>
  <si>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</si>
  <si>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</si>
  <si>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</si>
  <si>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</si>
  <si>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</si>
  <si>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</si>
  <si>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</si>
  <si>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</si>
  <si>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</si>
  <si>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</si>
  <si>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</si>
  <si>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</si>
  <si>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</si>
  <si>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</si>
  <si>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</si>
  <si>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</si>
  <si>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</si>
  <si>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</si>
  <si>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</si>
  <si>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</si>
  <si>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</si>
  <si>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</si>
  <si>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</si>
  <si>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</si>
  <si>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</si>
  <si>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</si>
  <si>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</si>
  <si>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</si>
  <si>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</si>
  <si>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</si>
  <si>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</si>
  <si>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</si>
  <si>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</si>
  <si>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</si>
  <si>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</si>
  <si>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</si>
  <si>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</si>
  <si>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</si>
  <si>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</si>
  <si>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</si>
  <si>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</si>
  <si>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</si>
  <si>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</si>
  <si>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</si>
  <si>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</si>
  <si>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</si>
  <si>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</si>
  <si>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</si>
  <si>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</si>
  <si>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</si>
  <si>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</si>
  <si>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</si>
  <si>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</si>
  <si>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</si>
  <si>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</si>
  <si>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</si>
  <si>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</si>
  <si>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</si>
  <si>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</si>
  <si>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</si>
  <si>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</si>
  <si>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</si>
  <si>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</si>
  <si>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</si>
  <si>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</si>
  <si>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</si>
  <si>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</si>
  <si>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</si>
  <si>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</si>
  <si>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</si>
  <si>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</si>
  <si>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</si>
  <si>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</si>
  <si>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</si>
  <si>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</si>
  <si>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</si>
  <si>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</si>
  <si>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</si>
  <si>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</si>
  <si>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</si>
  <si>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</si>
  <si>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</si>
  <si>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</si>
  <si>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</si>
  <si>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</si>
  <si>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</si>
  <si>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</si>
  <si>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</si>
  <si>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</si>
  <si>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</si>
  <si>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</si>
  <si>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</si>
  <si>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</si>
  <si>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</si>
  <si>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</si>
  <si>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</si>
  <si>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</si>
  <si>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</si>
  <si>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</si>
  <si>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</si>
  <si>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</si>
  <si>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</si>
  <si>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</si>
  <si>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</si>
  <si>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</si>
  <si>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</si>
  <si>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</si>
  <si>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</si>
  <si>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</si>
  <si>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</si>
  <si>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</si>
  <si>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</si>
  <si>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</si>
  <si>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</si>
  <si>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</si>
  <si>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</si>
  <si>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</si>
  <si>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</si>
  <si>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</si>
  <si>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</si>
  <si>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</si>
  <si>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</si>
  <si>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</si>
  <si>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</si>
  <si>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</si>
  <si>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</si>
  <si>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</si>
  <si>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</si>
  <si>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</si>
  <si>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</si>
  <si>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</si>
  <si>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</si>
  <si>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</si>
  <si>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</si>
  <si>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</si>
  <si>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</si>
  <si>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</si>
  <si>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</si>
  <si>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</si>
  <si>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</si>
  <si>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</si>
  <si>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</si>
  <si>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</si>
  <si>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</si>
  <si>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</si>
  <si>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</si>
  <si>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</si>
  <si>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</si>
  <si>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</si>
  <si>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</si>
  <si>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</si>
  <si>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</si>
  <si>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</si>
  <si>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</si>
  <si>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</si>
  <si>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</si>
  <si>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</si>
  <si>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</si>
  <si>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</si>
  <si>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</si>
  <si>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</si>
  <si>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</si>
  <si>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</si>
  <si>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</si>
  <si>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</si>
  <si>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</si>
  <si>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</si>
  <si>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</si>
  <si>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</si>
  <si>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</si>
  <si>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</si>
  <si>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</si>
  <si>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</si>
  <si>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</si>
  <si>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</si>
  <si>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</si>
  <si>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</si>
  <si>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</si>
  <si>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</si>
  <si>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</si>
  <si>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</si>
  <si>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</si>
  <si>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</si>
  <si>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</si>
  <si>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</si>
  <si>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</si>
  <si>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</si>
  <si>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</si>
  <si>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</si>
  <si>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</si>
  <si>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</si>
  <si>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</si>
  <si>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</si>
  <si>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</si>
  <si>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</si>
  <si>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</si>
  <si>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</si>
  <si>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</si>
  <si>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</si>
  <si>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</si>
  <si>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</si>
  <si>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</si>
  <si>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</si>
  <si>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</si>
  <si>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</si>
  <si>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</si>
  <si>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</si>
  <si>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</si>
  <si>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</si>
  <si>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</si>
  <si>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</si>
  <si>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</si>
  <si>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</si>
  <si>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</si>
  <si>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</si>
  <si>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</si>
  <si>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</si>
  <si>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</si>
  <si>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</si>
  <si>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</si>
  <si>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</si>
  <si>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</si>
  <si>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</si>
  <si>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</si>
  <si>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</si>
  <si>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</si>
  <si>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</si>
  <si>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</si>
  <si>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</si>
  <si>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</si>
  <si>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</si>
  <si>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</si>
  <si>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</si>
  <si>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</si>
  <si>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</si>
  <si>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</si>
  <si>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</si>
  <si>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</si>
  <si>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</si>
  <si>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</si>
  <si>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</si>
  <si>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</si>
  <si>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</si>
  <si>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</si>
  <si>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</si>
  <si>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</si>
  <si>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</si>
  <si>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</si>
  <si>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</si>
  <si>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</si>
  <si>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</si>
  <si>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</si>
  <si>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</si>
  <si>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</si>
  <si>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</si>
  <si>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</si>
  <si>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</si>
  <si>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</si>
  <si>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</si>
  <si>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</si>
  <si>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</si>
  <si>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</si>
  <si>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</si>
  <si>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</si>
  <si>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</si>
  <si>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</si>
  <si>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</si>
  <si>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</si>
  <si>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</si>
  <si>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</si>
  <si>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</si>
  <si>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</si>
  <si>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</si>
  <si>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</si>
  <si>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</si>
  <si>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</si>
  <si>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</si>
  <si>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</si>
  <si>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</si>
  <si>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</si>
  <si>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</si>
  <si>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</si>
  <si>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</si>
  <si>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</si>
  <si>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</si>
  <si>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</si>
  <si>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</si>
  <si>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</si>
  <si>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</si>
  <si>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</si>
  <si>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</si>
  <si>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</si>
  <si>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</si>
  <si>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</si>
  <si>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</si>
  <si>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</si>
  <si>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</si>
  <si>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</si>
  <si>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</si>
  <si>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</si>
  <si>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</si>
  <si>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</si>
  <si>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</si>
  <si>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</si>
  <si>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</si>
  <si>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</si>
  <si>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</si>
  <si>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</si>
  <si>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</si>
  <si>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</si>
  <si>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</si>
  <si>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</si>
  <si>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</si>
  <si>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</si>
  <si>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</si>
  <si>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</si>
  <si>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</si>
  <si>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</si>
  <si>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</si>
  <si>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</si>
  <si>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</si>
  <si>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</si>
  <si>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</si>
  <si>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</si>
  <si>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</si>
  <si>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</si>
  <si>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</si>
  <si>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</si>
  <si>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</si>
  <si>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</si>
  <si>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</si>
  <si>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</si>
  <si>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</si>
  <si>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</si>
  <si>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</si>
  <si>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</si>
  <si>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</si>
  <si>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</si>
  <si>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</si>
  <si>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</si>
  <si>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</si>
  <si>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</si>
  <si>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</si>
  <si>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</si>
  <si>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</si>
  <si>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</si>
  <si>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</si>
  <si>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</si>
  <si>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</si>
  <si>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</si>
  <si>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</si>
  <si>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</si>
  <si>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</si>
  <si>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</si>
  <si>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</si>
  <si>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</si>
  <si>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</si>
  <si>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</si>
  <si>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</si>
  <si>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</si>
  <si>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</si>
  <si>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</si>
  <si>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</si>
  <si>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</si>
  <si>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</si>
  <si>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</si>
  <si>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</si>
  <si>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</si>
  <si>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</si>
  <si>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</si>
  <si>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</si>
  <si>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</si>
  <si>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</si>
  <si>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</si>
  <si>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</si>
  <si>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</si>
  <si>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</si>
  <si>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</si>
  <si>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</si>
  <si>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</si>
  <si>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</si>
  <si>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</si>
  <si>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</si>
  <si>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</si>
  <si>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</si>
  <si>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</si>
  <si>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</si>
  <si>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</si>
  <si>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</si>
  <si>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</si>
  <si>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</si>
  <si>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</si>
  <si>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</si>
  <si>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</si>
  <si>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</si>
  <si>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</si>
  <si>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</si>
  <si>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</si>
  <si>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</si>
  <si>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</si>
  <si>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</si>
  <si>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</si>
  <si>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</si>
  <si>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</si>
  <si>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</si>
  <si>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</si>
  <si>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</si>
  <si>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</si>
  <si>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</si>
  <si>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</si>
  <si>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</si>
  <si>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</si>
  <si>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</si>
  <si>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</si>
  <si>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</si>
  <si>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</si>
  <si>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</si>
  <si>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</si>
  <si>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</si>
  <si>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</si>
  <si>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</si>
  <si>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</si>
  <si>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</si>
  <si>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</si>
  <si>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</si>
  <si>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</si>
  <si>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</si>
  <si>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</si>
  <si>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</si>
  <si>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</si>
  <si>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</si>
  <si>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</si>
  <si>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</si>
  <si>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</si>
  <si>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</si>
  <si>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</si>
  <si>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</si>
  <si>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</si>
  <si>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</si>
  <si>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</si>
  <si>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</si>
  <si>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</si>
  <si>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</si>
  <si>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</si>
  <si>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</si>
  <si>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</si>
  <si>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</si>
  <si>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</si>
  <si>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</si>
  <si>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</si>
  <si>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</si>
  <si>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</si>
  <si>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</si>
  <si>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</si>
  <si>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</si>
  <si>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</si>
  <si>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</si>
  <si>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</si>
  <si>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</si>
  <si>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</si>
  <si>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</si>
  <si>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</si>
  <si>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</si>
  <si>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</si>
  <si>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</si>
  <si>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</si>
  <si>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</si>
  <si>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</si>
  <si>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</si>
  <si>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</si>
  <si>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</si>
  <si>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</si>
  <si>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</si>
  <si>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</si>
  <si>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</si>
  <si>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</si>
  <si>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</si>
  <si>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</si>
  <si>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</si>
  <si>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</si>
  <si>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</si>
  <si>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</si>
  <si>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</si>
  <si>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</si>
  <si>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</si>
  <si>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</si>
  <si>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</si>
  <si>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</si>
  <si>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</si>
  <si>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</si>
  <si>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</si>
  <si>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</si>
  <si>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</si>
  <si>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</si>
  <si>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</si>
  <si>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</si>
  <si>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</si>
  <si>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</si>
  <si>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</si>
  <si>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</si>
  <si>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</si>
  <si>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</si>
  <si>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</si>
  <si>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</si>
  <si>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</si>
  <si>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</si>
  <si>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</si>
  <si>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</si>
  <si>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</si>
  <si>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</si>
  <si>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</si>
  <si>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</si>
  <si>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</si>
  <si>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</si>
  <si>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</si>
  <si>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</si>
  <si>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</si>
  <si>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</si>
  <si>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</si>
  <si>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</si>
  <si>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</si>
  <si>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</si>
  <si>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</si>
  <si>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</si>
  <si>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</si>
  <si>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</si>
  <si>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</si>
  <si>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</si>
  <si>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</si>
  <si>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</si>
  <si>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</si>
  <si>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</si>
  <si>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</si>
  <si>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</si>
  <si>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</si>
  <si>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</si>
  <si>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</si>
  <si>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</si>
  <si>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</si>
  <si>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</si>
  <si>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</si>
  <si>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</si>
  <si>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</si>
  <si>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</si>
  <si>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</si>
  <si>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</si>
  <si>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</si>
  <si>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</si>
  <si>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</si>
  <si>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</si>
  <si>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</si>
  <si>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</si>
  <si>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</si>
  <si>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</si>
  <si>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</si>
  <si>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</si>
  <si>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</si>
  <si>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</si>
  <si>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</si>
  <si>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</si>
  <si>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</si>
  <si>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</si>
  <si>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</si>
  <si>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</si>
  <si>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</si>
  <si>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</si>
  <si>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</si>
  <si>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</si>
  <si>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</si>
  <si>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</si>
  <si>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</si>
  <si>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</si>
  <si>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</si>
  <si>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</si>
  <si>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</si>
  <si>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</si>
  <si>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</si>
  <si>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</si>
  <si>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</si>
  <si>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</si>
  <si>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</si>
  <si>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</si>
  <si>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</si>
  <si>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</si>
  <si>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</si>
  <si>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</si>
  <si>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</si>
  <si>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</si>
  <si>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</si>
  <si>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</si>
  <si>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</si>
  <si>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</si>
  <si>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</si>
  <si>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</si>
  <si>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</si>
  <si>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</si>
  <si>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</si>
  <si>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</si>
  <si>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</si>
  <si>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</si>
  <si>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</si>
  <si>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</si>
  <si>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</si>
  <si>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</si>
  <si>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</si>
  <si>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</si>
  <si>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</si>
  <si>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</si>
  <si>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</si>
  <si>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</si>
  <si>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</si>
  <si>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</si>
  <si>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</si>
  <si>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</si>
  <si>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</si>
  <si>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</si>
  <si>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</si>
  <si>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</si>
  <si>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</si>
  <si>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</si>
  <si>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</si>
  <si>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</si>
  <si>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</si>
  <si>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</si>
  <si>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</si>
  <si>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</si>
  <si>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</si>
  <si>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</si>
  <si>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</si>
  <si>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</si>
  <si>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</si>
  <si>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</si>
  <si>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</si>
  <si>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</si>
  <si>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</si>
  <si>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</si>
  <si>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</si>
  <si>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</si>
  <si>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</si>
  <si>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</si>
  <si>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</si>
  <si>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</si>
  <si>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</si>
  <si>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</si>
  <si>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</si>
  <si>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</si>
  <si>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</si>
  <si>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</si>
  <si>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</si>
  <si>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</si>
  <si>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</si>
  <si>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</si>
  <si>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</si>
  <si>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</si>
  <si>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</si>
  <si>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</si>
  <si>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</si>
  <si>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</si>
  <si>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</si>
  <si>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</si>
  <si>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</si>
  <si>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</si>
  <si>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</si>
  <si>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</si>
  <si>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</si>
  <si>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</si>
  <si>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</si>
  <si>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</si>
  <si>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</si>
  <si>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</si>
  <si>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</si>
  <si>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</si>
  <si>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</si>
  <si>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</si>
  <si>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</si>
  <si>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</si>
  <si>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</si>
  <si>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</si>
  <si>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</si>
  <si>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</si>
  <si>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</si>
  <si>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</si>
  <si>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</si>
  <si>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</si>
  <si>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</si>
  <si>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</si>
  <si>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</si>
  <si>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</si>
  <si>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</si>
  <si>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</si>
  <si>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</si>
  <si>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</si>
  <si>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</si>
  <si>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</si>
  <si>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</si>
  <si>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</si>
  <si>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</si>
  <si>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</si>
  <si>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</si>
  <si>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</si>
  <si>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</si>
  <si>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</si>
  <si>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</si>
  <si>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</si>
  <si>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</si>
  <si>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</si>
  <si>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</si>
  <si>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</si>
  <si>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</si>
  <si>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</si>
  <si>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</si>
  <si>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</si>
  <si>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</si>
  <si>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</si>
  <si>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</si>
  <si>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</si>
  <si>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</si>
  <si>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</si>
  <si>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</si>
  <si>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</si>
  <si>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</si>
  <si>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</si>
  <si>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</si>
  <si>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</si>
  <si>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</si>
  <si>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</si>
  <si>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</si>
  <si>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</si>
  <si>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</si>
  <si>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</si>
  <si>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</si>
  <si>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</si>
  <si>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</si>
  <si>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</si>
  <si>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</si>
  <si>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</si>
  <si>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</si>
  <si>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</si>
  <si>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</si>
  <si>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</si>
  <si>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</si>
  <si>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</si>
  <si>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</si>
  <si>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</si>
  <si>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</si>
  <si>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</si>
  <si>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</si>
  <si>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</si>
  <si>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</si>
  <si>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</si>
  <si>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</si>
  <si>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</si>
  <si>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</si>
  <si>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</si>
  <si>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</si>
  <si>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</si>
  <si>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</si>
  <si>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</si>
  <si>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</si>
  <si>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</si>
  <si>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</si>
  <si>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</si>
  <si>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</si>
  <si>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</si>
  <si>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</si>
  <si>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</si>
  <si>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</si>
  <si>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</si>
  <si>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</si>
  <si>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</si>
  <si>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</si>
  <si>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</si>
  <si>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</si>
  <si>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</si>
  <si>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</si>
  <si>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</si>
  <si>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</si>
  <si>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</si>
  <si>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</si>
  <si>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</si>
  <si>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</si>
  <si>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</si>
  <si>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</si>
  <si>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</si>
  <si>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</si>
  <si>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</si>
  <si>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</si>
  <si>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</si>
  <si>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</si>
  <si>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</si>
  <si>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</si>
  <si>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</si>
  <si>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</si>
  <si>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</si>
  <si>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</si>
  <si>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</si>
  <si>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</si>
  <si>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</si>
  <si>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</si>
  <si>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</si>
  <si>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</si>
  <si>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</si>
  <si>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</si>
  <si>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</si>
  <si>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</si>
  <si>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</si>
  <si>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</si>
  <si>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</si>
  <si>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</si>
  <si>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</si>
  <si>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</si>
  <si>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</si>
  <si>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</si>
  <si>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</si>
  <si>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</si>
  <si>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</si>
  <si>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</si>
  <si>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</si>
  <si>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</si>
  <si>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</si>
  <si>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</si>
  <si>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</si>
  <si>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</si>
  <si>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</si>
  <si>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</si>
  <si>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</si>
  <si>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</si>
  <si>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</si>
  <si>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</si>
  <si>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</si>
  <si>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</si>
  <si>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</si>
  <si>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</si>
  <si>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</si>
  <si>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</si>
  <si>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</si>
  <si>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</si>
  <si>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</si>
  <si>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</si>
  <si>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</si>
  <si>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</si>
  <si>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</si>
  <si>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</si>
  <si>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</si>
  <si>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</si>
  <si>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</si>
  <si>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</si>
  <si>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</si>
  <si>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</si>
  <si>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</si>
  <si>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</si>
  <si>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</si>
  <si>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</si>
  <si>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</si>
  <si>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</si>
  <si>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</si>
  <si>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</si>
  <si>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</si>
  <si>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</si>
  <si>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</si>
  <si>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</si>
  <si>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</si>
  <si>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</si>
  <si>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</si>
  <si>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</si>
  <si>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</si>
  <si>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</si>
  <si>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</si>
  <si>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</si>
  <si>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</si>
  <si>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</si>
  <si>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</si>
  <si>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</si>
  <si>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</si>
  <si>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</si>
  <si>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</si>
  <si>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</si>
  <si>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</si>
  <si>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</si>
  <si>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</si>
  <si>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</si>
  <si>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</si>
  <si>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</si>
  <si>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</si>
  <si>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</si>
  <si>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</si>
  <si>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</si>
  <si>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</si>
  <si>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</si>
  <si>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</si>
  <si>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</si>
  <si>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</si>
  <si>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</si>
  <si>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</si>
  <si>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</si>
  <si>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</si>
  <si>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</si>
  <si>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</si>
  <si>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</si>
  <si>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</si>
  <si>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</si>
  <si>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</si>
  <si>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</si>
  <si>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</si>
  <si>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</si>
  <si>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</si>
  <si>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</si>
  <si>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</si>
  <si>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</si>
  <si>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</si>
  <si>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</si>
  <si>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</si>
  <si>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</si>
  <si>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</si>
  <si>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</si>
  <si>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</si>
  <si>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</si>
  <si>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</si>
  <si>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</si>
  <si>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</si>
  <si>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</si>
  <si>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</si>
  <si>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</si>
  <si>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</si>
  <si>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</si>
  <si>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</si>
  <si>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</si>
  <si>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</si>
  <si>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</si>
  <si>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</si>
  <si>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</si>
  <si>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</si>
  <si>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</si>
  <si>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</si>
  <si>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</si>
  <si>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</si>
  <si>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</si>
  <si>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</si>
  <si>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</si>
  <si>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</si>
  <si>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</si>
  <si>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</si>
  <si>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</si>
  <si>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</si>
  <si>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</si>
  <si>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</si>
  <si>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</si>
  <si>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</si>
  <si>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</si>
  <si>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</si>
  <si>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</si>
  <si>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</si>
  <si>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</si>
  <si>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</si>
  <si>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</si>
  <si>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北京市</t>
  </si>
  <si>
    <t>企业</t>
  </si>
  <si>
    <t>与房产证证载一致</t>
  </si>
  <si>
    <t>抵押</t>
  </si>
  <si>
    <t>房地产抵押价值</t>
  </si>
  <si>
    <t>未核对原件</t>
  </si>
  <si>
    <t>元</t>
  </si>
  <si>
    <t>楼面单价</t>
  </si>
  <si>
    <t>住宅</t>
  </si>
  <si>
    <t>无租约</t>
  </si>
  <si>
    <t>收益法</t>
  </si>
  <si>
    <t>居住用地（指二类居住用地）</t>
  </si>
  <si>
    <t>估价对象</t>
  </si>
  <si>
    <t>与级别开发程度一致</t>
  </si>
  <si>
    <t>有</t>
  </si>
  <si>
    <t>无</t>
  </si>
  <si>
    <t>1000米以外</t>
  </si>
  <si>
    <t>Ⅶ-通1</t>
  </si>
  <si>
    <t>2020-1</t>
    <phoneticPr fontId="4" type="noConversion"/>
  </si>
  <si>
    <t>2020-2</t>
    <phoneticPr fontId="146" type="noConversion"/>
  </si>
  <si>
    <t>成本法</t>
  </si>
  <si>
    <t>未包含在土地购买价格中</t>
  </si>
  <si>
    <t>已包含在土地取得成本中</t>
  </si>
  <si>
    <t>修复费</t>
    <phoneticPr fontId="8" type="noConversion"/>
  </si>
  <si>
    <t>陈颖</t>
  </si>
  <si>
    <t>叶凌</t>
  </si>
  <si>
    <r>
      <rPr>
        <sz val="10"/>
        <color indexed="8"/>
        <rFont val="宋体"/>
        <family val="3"/>
        <charset val="134"/>
      </rPr>
      <t>北京市通州区枫露苑一区甲</t>
    </r>
    <r>
      <rPr>
        <sz val="10"/>
        <color indexed="8"/>
        <rFont val="Arial"/>
        <family val="2"/>
      </rPr>
      <t>1</t>
    </r>
    <r>
      <rPr>
        <sz val="10"/>
        <color indexed="8"/>
        <rFont val="宋体"/>
        <family val="3"/>
        <charset val="134"/>
      </rPr>
      <t>号楼</t>
    </r>
    <r>
      <rPr>
        <sz val="10"/>
        <color indexed="8"/>
        <rFont val="Arial"/>
        <family val="2"/>
      </rPr>
      <t>1</t>
    </r>
    <r>
      <rPr>
        <sz val="10"/>
        <color indexed="8"/>
        <rFont val="宋体"/>
        <family val="3"/>
        <charset val="134"/>
      </rPr>
      <t>至</t>
    </r>
    <r>
      <rPr>
        <sz val="10"/>
        <color indexed="8"/>
        <rFont val="Arial"/>
        <family val="2"/>
      </rPr>
      <t>4</t>
    </r>
    <r>
      <rPr>
        <sz val="10"/>
        <color indexed="8"/>
        <rFont val="宋体"/>
        <family val="3"/>
        <charset val="134"/>
      </rPr>
      <t>层甲</t>
    </r>
    <r>
      <rPr>
        <sz val="10"/>
        <color indexed="8"/>
        <rFont val="Arial"/>
        <family val="2"/>
      </rPr>
      <t>1</t>
    </r>
    <r>
      <rPr>
        <sz val="10"/>
        <color indexed="8"/>
        <rFont val="宋体"/>
        <family val="3"/>
        <charset val="134"/>
      </rPr>
      <t>号楼</t>
    </r>
    <phoneticPr fontId="7" type="noConversion"/>
  </si>
  <si>
    <t>住宅</t>
    <phoneticPr fontId="7" type="noConversion"/>
  </si>
  <si>
    <t>否</t>
  </si>
  <si>
    <t>复印件</t>
  </si>
  <si>
    <r>
      <rPr>
        <sz val="10"/>
        <color indexed="8"/>
        <rFont val="宋体"/>
        <family val="3"/>
        <charset val="134"/>
      </rPr>
      <t>京（</t>
    </r>
    <r>
      <rPr>
        <sz val="10"/>
        <color indexed="8"/>
        <rFont val="Arial"/>
        <family val="2"/>
      </rPr>
      <t>2019</t>
    </r>
    <r>
      <rPr>
        <sz val="10"/>
        <color indexed="8"/>
        <rFont val="宋体"/>
        <family val="3"/>
        <charset val="134"/>
      </rPr>
      <t>）通不动产权第</t>
    </r>
    <r>
      <rPr>
        <sz val="10"/>
        <color indexed="8"/>
        <rFont val="Arial"/>
        <family val="2"/>
      </rPr>
      <t>0007979</t>
    </r>
    <r>
      <rPr>
        <sz val="10"/>
        <color indexed="8"/>
        <rFont val="宋体"/>
        <family val="3"/>
        <charset val="134"/>
      </rPr>
      <t>号</t>
    </r>
    <phoneticPr fontId="7" type="noConversion"/>
  </si>
  <si>
    <r>
      <rPr>
        <sz val="10"/>
        <color indexed="8"/>
        <rFont val="宋体"/>
        <family val="3"/>
        <charset val="134"/>
      </rPr>
      <t>北京市通州区枫露苑一区甲</t>
    </r>
    <r>
      <rPr>
        <sz val="10"/>
        <color indexed="8"/>
        <rFont val="Arial"/>
        <family val="2"/>
      </rPr>
      <t>1</t>
    </r>
    <r>
      <rPr>
        <sz val="10"/>
        <color indexed="8"/>
        <rFont val="宋体"/>
        <family val="3"/>
        <charset val="134"/>
      </rPr>
      <t>号楼</t>
    </r>
    <r>
      <rPr>
        <sz val="10"/>
        <color indexed="8"/>
        <rFont val="Arial"/>
        <family val="2"/>
      </rPr>
      <t>1</t>
    </r>
    <r>
      <rPr>
        <sz val="10"/>
        <color indexed="8"/>
        <rFont val="宋体"/>
        <family val="3"/>
        <charset val="134"/>
      </rPr>
      <t>至</t>
    </r>
    <r>
      <rPr>
        <sz val="10"/>
        <color indexed="8"/>
        <rFont val="Arial"/>
        <family val="2"/>
      </rPr>
      <t>4</t>
    </r>
    <r>
      <rPr>
        <sz val="10"/>
        <color indexed="8"/>
        <rFont val="宋体"/>
        <family val="3"/>
        <charset val="134"/>
      </rPr>
      <t>层甲</t>
    </r>
    <r>
      <rPr>
        <sz val="10"/>
        <color indexed="8"/>
        <rFont val="Arial"/>
        <family val="2"/>
      </rPr>
      <t>1</t>
    </r>
    <r>
      <rPr>
        <sz val="10"/>
        <color indexed="8"/>
        <rFont val="宋体"/>
        <family val="3"/>
        <charset val="134"/>
      </rPr>
      <t>号楼</t>
    </r>
    <phoneticPr fontId="7" type="noConversion"/>
  </si>
  <si>
    <t>单独所有</t>
    <phoneticPr fontId="7" type="noConversion"/>
  </si>
  <si>
    <t>110112005001GB00783F00020001</t>
    <phoneticPr fontId="7" type="noConversion"/>
  </si>
  <si>
    <t>通州区</t>
    <phoneticPr fontId="7" type="noConversion"/>
  </si>
  <si>
    <r>
      <t>1993-6-15</t>
    </r>
    <r>
      <rPr>
        <sz val="10"/>
        <color indexed="8"/>
        <rFont val="宋体"/>
        <family val="3"/>
        <charset val="134"/>
      </rPr>
      <t>起</t>
    </r>
    <r>
      <rPr>
        <sz val="10"/>
        <color indexed="8"/>
        <rFont val="Arial"/>
        <family val="2"/>
      </rPr>
      <t>2063-6-14</t>
    </r>
    <r>
      <rPr>
        <sz val="10"/>
        <color indexed="8"/>
        <rFont val="宋体"/>
        <family val="3"/>
        <charset val="134"/>
      </rPr>
      <t>止</t>
    </r>
    <phoneticPr fontId="7" type="noConversion"/>
  </si>
  <si>
    <t xml:space="preserve"> 2020-1-0240</t>
    <phoneticPr fontId="7" type="noConversion"/>
  </si>
  <si>
    <t>北京先科中电电力技术设备有限公司</t>
    <phoneticPr fontId="7" type="noConversion"/>
  </si>
  <si>
    <t>北京银行华安支行</t>
    <phoneticPr fontId="7" type="noConversion"/>
  </si>
  <si>
    <t>北京银行华安支行</t>
    <phoneticPr fontId="7"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</si>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</sst>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3" borderId="134" xfId="11" applyFont="1" applyFill="1" applyBorder="1" applyAlignment="1" applyProtection="1">
      <alignment horizontal="center" vertical="center" wrapText="1"/>
    </xf>
    <xf numFmtId="0" fontId="150" fillId="13" borderId="138" xfId="11" applyFont="1" applyFill="1" applyBorder="1" applyAlignment="1" applyProtection="1">
      <alignment horizontal="center" vertical="center" wrapText="1"/>
    </xf>
    <xf numFmtId="0" fontId="119" fillId="0" borderId="7" xfId="0" applyFont="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447191</xdr:colOff>
      <xdr:row>24</xdr:row>
      <xdr:rowOff>37581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876191" cy="4152381"/>
        </a:xfrm>
        <a:prstGeom prst="rect">
          <a:avLst/>
        </a:prstGeom>
      </xdr:spPr>
    </xdr:pic>
    <xdr:clientData/>
  </xdr:twoCellAnchor>
  <xdr:twoCellAnchor editAs="oneCell">
    <xdr:from>
      <xdr:col>5</xdr:col>
      <xdr:colOff>504825</xdr:colOff>
      <xdr:row>0</xdr:row>
      <xdr:rowOff>0</xdr:rowOff>
    </xdr:from>
    <xdr:to>
      <xdr:col>10</xdr:col>
      <xdr:colOff>475825</xdr:colOff>
      <xdr:row>20</xdr:row>
      <xdr:rowOff>18619</xdr:rowOff>
    </xdr:to>
    <xdr:pic>
      <xdr:nvPicPr>
        <xdr:cNvPr id="3" name="图片 2"/>
        <xdr:cNvPicPr>
          <a:picLocks noChangeAspect="1"/>
        </xdr:cNvPicPr>
      </xdr:nvPicPr>
      <xdr:blipFill>
        <a:blip xmlns:r="http://schemas.openxmlformats.org/officeDocument/2006/relationships" r:embed="rId2"/>
        <a:stretch>
          <a:fillRect/>
        </a:stretch>
      </xdr:blipFill>
      <xdr:spPr>
        <a:xfrm>
          <a:off x="3933825" y="0"/>
          <a:ext cx="3400000" cy="3447619"/>
        </a:xfrm>
        <a:prstGeom prst="rect">
          <a:avLst/>
        </a:prstGeom>
      </xdr:spPr>
    </xdr:pic>
    <xdr:clientData/>
  </xdr:twoCellAnchor>
  <xdr:twoCellAnchor editAs="oneCell">
    <xdr:from>
      <xdr:col>0</xdr:col>
      <xdr:colOff>0</xdr:colOff>
      <xdr:row>25</xdr:row>
      <xdr:rowOff>0</xdr:rowOff>
    </xdr:from>
    <xdr:to>
      <xdr:col>13</xdr:col>
      <xdr:colOff>579839</xdr:colOff>
      <xdr:row>58</xdr:row>
      <xdr:rowOff>142150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286250"/>
          <a:ext cx="9495239" cy="5800000"/>
        </a:xfrm>
        <a:prstGeom prst="rect">
          <a:avLst/>
        </a:prstGeom>
      </xdr:spPr>
    </xdr:pic>
    <xdr:clientData/>
  </xdr:twoCellAnchor>
  <xdr:twoCellAnchor editAs="oneCell">
    <xdr:from>
      <xdr:col>14</xdr:col>
      <xdr:colOff>457200</xdr:colOff>
      <xdr:row>3</xdr:row>
      <xdr:rowOff>142875</xdr:rowOff>
    </xdr:from>
    <xdr:to>
      <xdr:col>27</xdr:col>
      <xdr:colOff>541801</xdr:colOff>
      <xdr:row>41</xdr:row>
      <xdr:rowOff>56347</xdr:rowOff>
    </xdr:to>
    <xdr:pic>
      <xdr:nvPicPr>
        <xdr:cNvPr id="5" name="图片 4"/>
        <xdr:cNvPicPr>
          <a:picLocks noChangeAspect="1"/>
        </xdr:cNvPicPr>
      </xdr:nvPicPr>
      <xdr:blipFill>
        <a:blip xmlns:r="http://schemas.openxmlformats.org/officeDocument/2006/relationships" r:embed="rId4"/>
        <a:stretch>
          <a:fillRect/>
        </a:stretch>
      </xdr:blipFill>
      <xdr:spPr>
        <a:xfrm>
          <a:off x="10058400" y="657225"/>
          <a:ext cx="9000001" cy="64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C10" sqref="C10:D1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北京市北京市通州区枫露苑一区甲1号楼1至4层甲1号楼房地产抵押价值预评估</v>
      </c>
    </row>
    <row r="3" spans="1:2" s="1697" customFormat="1">
      <c r="A3" s="1698" t="s">
        <v>1103</v>
      </c>
      <c r="B3" s="1683" t="str">
        <f>'预评函-封皮'!B12</f>
        <v>北京银行华安支行</v>
      </c>
    </row>
    <row r="4" spans="1:2" s="1697" customFormat="1">
      <c r="A4" s="1698" t="s">
        <v>1104</v>
      </c>
      <c r="B4" s="1683" t="str">
        <f ca="1">'预评函-封皮'!B18</f>
        <v>陈颖（注册号:1120060040）、叶凌（注册号:1119970111)</v>
      </c>
    </row>
    <row r="5" spans="1:2" s="1695" customFormat="1" ht="15.75" thickBot="1">
      <c r="A5" s="1699" t="s">
        <v>1105</v>
      </c>
      <c r="B5" s="1684" t="str">
        <f>'预评函-封皮'!B21</f>
        <v>康正预评字 2020-1-0240号</v>
      </c>
    </row>
    <row r="6" spans="1:2" s="1697" customFormat="1" ht="15.75" thickTop="1">
      <c r="A6" s="1698" t="s">
        <v>1106</v>
      </c>
      <c r="B6" s="1682" t="str">
        <f>'预评函-1'!A4</f>
        <v>受您的委托，我公司对北京市北京市通州区枫露苑一区甲1号楼1至4层甲1号楼房地产进行了预评估。</v>
      </c>
    </row>
    <row r="7" spans="1:2">
      <c r="A7" s="1698" t="s">
        <v>1107</v>
      </c>
      <c r="B7" s="1685" t="str">
        <f>'预评函-1'!A6</f>
        <v>估价对象为北京市北京市通州区枫露苑一区甲1号楼1至4层甲1号楼房地产，为北京先科中电电力技术设备有限公司所有。根据《不动产权证书》[京（2019）通不动产权第0007979号]，估价对象建筑面积为3600.5平方米，（分摊）出让国有建设用地使用权面积为1441.8平方米。估价对象用途为。</v>
      </c>
    </row>
    <row r="8" spans="1:2">
      <c r="A8" s="1698" t="s">
        <v>1108</v>
      </c>
      <c r="B8" s="1685" t="str">
        <f>'预评函-1'!A8</f>
        <v>北京先科中电电力技术设备有限公司拟使用北京市北京市通州区枫露苑一区甲1号楼1至4层甲1号楼房地产作为抵押担保物，向北京银行华安支行办理贷款手续。北京银行华安支行特委托北京康正宏基房地产评估有限公司对上述抵押物进行评估。本次评估为确定房地产抵押贷款额度提供参考依据而评估房地产抵押价值。</v>
      </c>
    </row>
    <row r="9" spans="1:2">
      <c r="A9" s="1698" t="s">
        <v>1109</v>
      </c>
      <c r="B9" s="1685" t="str">
        <f>'预评函-1'!A10</f>
        <v>2020年5月14日（评估专业人员实地查勘之日）</v>
      </c>
    </row>
    <row r="10" spans="1:2">
      <c r="A10" s="1698" t="s">
        <v>1110</v>
      </c>
      <c r="B10" s="1685" t="str">
        <f>'预评函-1'!A13</f>
        <v>本次估价的“房地产价值”是指在正常市场情况下，在价值时点2020年5月14日，估价对象规划用途为，假定未设立法定优先受偿款下的房地产市场价值。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1115</v>
      </c>
      <c r="B15" s="1686" t="str">
        <f>'预评函-1'!A18</f>
        <v>本次评估采用的主估价方法为成本法和收益法。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北京市北京市通州区枫露苑一区甲1号楼1至4层甲1号楼房地产</v>
      </c>
    </row>
    <row r="18" spans="1:2">
      <c r="A18" s="1698" t="s">
        <v>1118</v>
      </c>
      <c r="B18" s="1685">
        <f>'预评函-2（1）'!C6</f>
        <v>3600.5</v>
      </c>
    </row>
    <row r="19" spans="1:2">
      <c r="A19" s="1698" t="s">
        <v>1119</v>
      </c>
      <c r="B19" s="1685">
        <f ca="1">'预评函-2（1）'!D7</f>
        <v>106405577</v>
      </c>
    </row>
    <row r="20" spans="1:2">
      <c r="A20" s="1698" t="s">
        <v>1157</v>
      </c>
      <c r="B20" s="1685" t="str">
        <f>'预评函-2（1）'!C7</f>
        <v>总价（元）</v>
      </c>
    </row>
    <row r="21" spans="1:2">
      <c r="A21" s="1698" t="s">
        <v>1120</v>
      </c>
      <c r="B21" s="1685">
        <f ca="1">'预评函-2（1）'!D9</f>
        <v>29553</v>
      </c>
    </row>
    <row r="22" spans="1:2">
      <c r="A22" s="1698" t="s">
        <v>1121</v>
      </c>
      <c r="B22" s="1685" t="str">
        <f ca="1">'预评函-2（1）'!D8</f>
        <v>壹亿零陆佰肆拾万伍仟伍佰柒拾柒元整</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106405577</v>
      </c>
    </row>
    <row r="30" spans="1:2">
      <c r="A30" s="1698" t="s">
        <v>1127</v>
      </c>
      <c r="B30" s="1685" t="str">
        <f ca="1">'预评函-2（1）'!D16</f>
        <v>壹亿零陆佰肆拾万伍仟伍佰柒拾柒元整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1441.8</v>
      </c>
    </row>
    <row r="37" spans="1:2">
      <c r="A37" s="1698" t="s">
        <v>1134</v>
      </c>
      <c r="B37" s="1685">
        <f ca="1">'预评函-2（2）'!D4</f>
        <v>98426869</v>
      </c>
    </row>
    <row r="38" spans="1:2">
      <c r="A38" s="1698" t="s">
        <v>1135</v>
      </c>
      <c r="B38" s="1685">
        <f ca="1">'预评函-2（2）'!E4</f>
        <v>27337</v>
      </c>
    </row>
    <row r="39" spans="1:2">
      <c r="A39" s="1698" t="s">
        <v>1136</v>
      </c>
      <c r="B39" s="1685" t="str">
        <f ca="1">'预评函-2（2）'!D5</f>
        <v>玖仟捌佰肆拾贰万陆仟捌佰陆拾玖元整</v>
      </c>
    </row>
    <row r="40" spans="1:2">
      <c r="A40" s="1698" t="s">
        <v>1137</v>
      </c>
      <c r="B40" s="1685">
        <f ca="1">'预评函-2（2）'!F4</f>
        <v>7978708</v>
      </c>
    </row>
    <row r="41" spans="1:2">
      <c r="A41" s="1698" t="s">
        <v>1138</v>
      </c>
      <c r="B41" s="1685">
        <f ca="1">'预评函-2（2）'!G4</f>
        <v>2216</v>
      </c>
    </row>
    <row r="42" spans="1:2" s="1695" customFormat="1" ht="15.75" thickBot="1">
      <c r="A42" s="1699" t="s">
        <v>1139</v>
      </c>
      <c r="B42" s="1687" t="str">
        <f ca="1">'预评函-2（2）'!F5</f>
        <v>柒佰玖拾柒万捌仟柒佰零捌元整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根据估价对象《不动产权证书》复印件、，截至价值时点，估价对象抵押权未见登记。</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陈颖</v>
      </c>
    </row>
    <row r="53" spans="1:2">
      <c r="A53" s="1698" t="s">
        <v>1149</v>
      </c>
      <c r="B53" s="1685">
        <f ca="1">'预评函-3'!B4</f>
        <v>1120060040</v>
      </c>
    </row>
    <row r="54" spans="1:2">
      <c r="A54" s="1698" t="s">
        <v>1150</v>
      </c>
      <c r="B54" s="1689" t="str">
        <f>'预评函-3'!A5</f>
        <v>叶凌</v>
      </c>
    </row>
    <row r="55" spans="1:2" s="1695" customFormat="1" ht="15.75" thickBot="1">
      <c r="A55" s="1699" t="s">
        <v>1151</v>
      </c>
      <c r="B55" s="1687">
        <f ca="1">'预评函-3'!B5</f>
        <v>1119970111</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f ca="1">'预评函-2（1）'!D38</f>
        <v>29553</v>
      </c>
    </row>
    <row r="63" spans="1:2" s="1697" customFormat="1" ht="28.5">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0" sqref="C10:D1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北京市北京市通州区枫露苑一区甲1号楼1至4层甲1号楼房地产抵押价值预评估</v>
      </c>
      <c r="C1" s="1059"/>
      <c r="D1" s="1991"/>
      <c r="E1" s="1059"/>
      <c r="F1" s="1992" t="s">
        <v>1537</v>
      </c>
      <c r="G1" s="1678" t="s">
        <v>2863</v>
      </c>
      <c r="I1" s="1016" t="str">
        <f>IF(B6="北京市","北京市",C6)&amp;IF(E12="房屋所有权证",B28,E28)&amp;"房地产"</f>
        <v>北京市北京市通州区枫露苑一区甲1号楼1至4层甲1号楼房地产</v>
      </c>
    </row>
    <row r="2" spans="1:10" ht="13.5" thickTop="1">
      <c r="A2" s="1993" t="s">
        <v>1538</v>
      </c>
      <c r="B2" s="1084">
        <f>D2</f>
        <v>43965</v>
      </c>
      <c r="C2" s="1994" t="s">
        <v>1539</v>
      </c>
      <c r="D2" s="1084">
        <v>43965</v>
      </c>
      <c r="E2" s="1060"/>
      <c r="F2" s="1060"/>
      <c r="G2" s="1679"/>
      <c r="H2" s="1016"/>
    </row>
    <row r="3" spans="1:10" ht="13.5" thickBot="1">
      <c r="A3" s="1995" t="s">
        <v>1540</v>
      </c>
      <c r="B3" s="1996" t="s">
        <v>2851</v>
      </c>
      <c r="C3" s="1061">
        <f ca="1">SUMIF(注册房地产估价师,B3,估价师及机构信息!B3:B24)</f>
        <v>1120060040</v>
      </c>
      <c r="D3" s="1996" t="s">
        <v>2852</v>
      </c>
      <c r="E3" s="1062">
        <f ca="1">SUMIF(注册房地产估价师,D3,估价师及机构信息!B3:B24)</f>
        <v>1119970111</v>
      </c>
      <c r="F3" s="1063"/>
      <c r="G3" s="1680"/>
      <c r="H3" s="1016"/>
    </row>
    <row r="4" spans="1:10" ht="13.5" customHeight="1" thickTop="1">
      <c r="A4" s="1997" t="s">
        <v>1541</v>
      </c>
      <c r="B4" s="2752" t="s">
        <v>2866</v>
      </c>
      <c r="C4" s="1998" t="s">
        <v>1542</v>
      </c>
      <c r="D4" s="1999" t="s">
        <v>2830</v>
      </c>
      <c r="E4" s="1060"/>
      <c r="F4" s="1060"/>
      <c r="G4" s="1679"/>
    </row>
    <row r="5" spans="1:10">
      <c r="A5" s="2000" t="s">
        <v>1543</v>
      </c>
      <c r="B5" s="2751" t="s">
        <v>2865</v>
      </c>
      <c r="C5" s="2001" t="s">
        <v>1544</v>
      </c>
      <c r="D5" s="2002" t="s">
        <v>2831</v>
      </c>
      <c r="E5" s="2003" t="s">
        <v>1545</v>
      </c>
      <c r="F5" s="2004" t="s">
        <v>2831</v>
      </c>
      <c r="G5" s="2005"/>
      <c r="I5" s="1016" t="str">
        <f>IF(C16="否","截至估价时点，估价对象抵押权未见登记。","截至价值时点，估价对象已设定抵押。")</f>
        <v>截至估价时点，估价对象抵押权未见登记。</v>
      </c>
    </row>
    <row r="6" spans="1:10">
      <c r="A6" s="2006" t="s">
        <v>1546</v>
      </c>
      <c r="B6" s="2007" t="s">
        <v>2827</v>
      </c>
      <c r="C6" s="2008" t="s">
        <v>2815</v>
      </c>
      <c r="D6" s="2009" t="s">
        <v>1547</v>
      </c>
      <c r="E6" s="1018"/>
      <c r="F6" s="1017"/>
      <c r="G6" s="1070"/>
      <c r="I6" s="1066" t="str">
        <f>IF(COUNTIF(B5,"*上海银行*"),"上海银行","")</f>
        <v/>
      </c>
    </row>
    <row r="7" spans="1:10" ht="36.75" thickBot="1">
      <c r="A7" s="1995" t="s">
        <v>1548</v>
      </c>
      <c r="B7" s="2010" t="s">
        <v>2828</v>
      </c>
      <c r="C7" s="2011" t="str">
        <f>IF(B7="自然人","姓名","名称")</f>
        <v>名称</v>
      </c>
      <c r="D7" s="2755" t="s">
        <v>2864</v>
      </c>
      <c r="E7" s="1064"/>
      <c r="F7" s="1063"/>
      <c r="G7" s="1680"/>
    </row>
    <row r="8" spans="1:10" ht="13.5" thickTop="1">
      <c r="A8" s="2816" t="s">
        <v>1549</v>
      </c>
      <c r="B8" s="2012" t="s">
        <v>1550</v>
      </c>
      <c r="C8" s="2828" t="s">
        <v>2858</v>
      </c>
      <c r="D8" s="2829"/>
      <c r="E8" s="2013" t="s">
        <v>1551</v>
      </c>
      <c r="F8" s="2014" t="s">
        <v>1552</v>
      </c>
      <c r="G8" s="690" t="str">
        <f>C6</f>
        <v>XX</v>
      </c>
    </row>
    <row r="9" spans="1:10" ht="25.5">
      <c r="A9" s="2816"/>
      <c r="B9" s="344" t="s">
        <v>1553</v>
      </c>
      <c r="C9" s="2751" t="s">
        <v>2854</v>
      </c>
      <c r="D9" s="2015" t="s">
        <v>2829</v>
      </c>
      <c r="E9" s="1006" t="s">
        <v>1554</v>
      </c>
      <c r="F9" s="992" t="s">
        <v>483</v>
      </c>
      <c r="G9" s="1008"/>
    </row>
    <row r="10" spans="1:10" ht="13.5" thickBot="1">
      <c r="A10" s="2816"/>
      <c r="B10" s="344" t="s">
        <v>1555</v>
      </c>
      <c r="C10" s="2830"/>
      <c r="D10" s="2831"/>
      <c r="E10" s="2016" t="s">
        <v>1556</v>
      </c>
      <c r="F10" s="1009" t="s">
        <v>2844</v>
      </c>
      <c r="G10" s="1010"/>
    </row>
    <row r="11" spans="1:10" ht="13.5" thickBot="1">
      <c r="A11" s="2816"/>
      <c r="B11" s="2017" t="s">
        <v>1557</v>
      </c>
      <c r="C11" s="2832"/>
      <c r="D11" s="2833"/>
      <c r="E11" s="1018"/>
      <c r="F11" s="1017"/>
      <c r="G11" s="1070"/>
    </row>
    <row r="12" spans="1:10" ht="24.75" thickBot="1">
      <c r="A12" s="2819" t="s">
        <v>1558</v>
      </c>
      <c r="B12" s="2018" t="s">
        <v>1559</v>
      </c>
      <c r="C12" s="1012">
        <v>3600.5</v>
      </c>
      <c r="D12" s="2018" t="s">
        <v>1560</v>
      </c>
      <c r="E12" s="2019" t="s">
        <v>1561</v>
      </c>
      <c r="F12" s="2020" t="s">
        <v>1562</v>
      </c>
      <c r="G12" s="1070"/>
    </row>
    <row r="13" spans="1:10" ht="21" customHeight="1" thickBot="1">
      <c r="A13" s="2820"/>
      <c r="B13" s="2021" t="s">
        <v>1563</v>
      </c>
      <c r="C13" s="1013">
        <v>1441.8</v>
      </c>
      <c r="D13" s="2021" t="s">
        <v>1564</v>
      </c>
      <c r="E13" s="2022" t="s">
        <v>1561</v>
      </c>
      <c r="F13" s="1017"/>
      <c r="G13" s="1070"/>
      <c r="I13" s="2806" t="s">
        <v>1565</v>
      </c>
      <c r="J13" s="2023"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4"/>
      <c r="B14" s="2025" t="s">
        <v>1566</v>
      </c>
      <c r="C14" s="2026"/>
      <c r="D14" s="1017"/>
      <c r="E14" s="1017"/>
      <c r="F14" s="1017"/>
      <c r="G14" s="1070"/>
      <c r="I14" s="2806"/>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1567</v>
      </c>
      <c r="C15" s="1065">
        <f>ROUND(C12/C13,2)</f>
        <v>2.5</v>
      </c>
      <c r="D15" s="1063"/>
      <c r="E15" s="1063"/>
      <c r="F15" s="1063"/>
      <c r="G15" s="1680"/>
      <c r="I15" s="2806"/>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1568</v>
      </c>
      <c r="B16" s="2029" t="s">
        <v>1569</v>
      </c>
      <c r="C16" s="2030" t="s">
        <v>2855</v>
      </c>
      <c r="D16" s="2031" t="s">
        <v>1570</v>
      </c>
      <c r="E16" s="2032" t="s">
        <v>2855</v>
      </c>
      <c r="F16" s="2033" t="str">
        <f>IF(AND(C16="是",E16="否"),"是否提供他项权证或相关说明","")</f>
        <v/>
      </c>
      <c r="G16" s="2032" t="s">
        <v>2814</v>
      </c>
      <c r="I16" s="1067"/>
      <c r="J16" s="1016"/>
    </row>
    <row r="17" spans="1:15" ht="13.5" customHeight="1">
      <c r="A17" s="2034" t="s">
        <v>1571</v>
      </c>
      <c r="B17" s="2834" t="s">
        <v>1572</v>
      </c>
      <c r="C17" s="2835"/>
      <c r="D17" s="2836" t="s">
        <v>1573</v>
      </c>
      <c r="E17" s="2837"/>
      <c r="F17" s="2035" t="s">
        <v>1574</v>
      </c>
      <c r="G17" s="2036"/>
      <c r="J17" s="1016"/>
    </row>
    <row r="18" spans="1:15" ht="24">
      <c r="A18" s="2034"/>
      <c r="B18" s="2037" t="s">
        <v>1575</v>
      </c>
      <c r="C18" s="2005" t="s">
        <v>2856</v>
      </c>
      <c r="D18" s="2038" t="s">
        <v>1576</v>
      </c>
      <c r="E18" s="2039" t="s">
        <v>1577</v>
      </c>
      <c r="F18" s="2040"/>
      <c r="G18" s="1864"/>
      <c r="H18" s="1016"/>
      <c r="J18" s="1016"/>
    </row>
    <row r="19" spans="1:15" ht="21.75" customHeight="1" thickBot="1">
      <c r="A19" s="2034"/>
      <c r="B19" s="2041"/>
      <c r="C19" s="2022"/>
      <c r="D19" s="2042"/>
      <c r="E19" s="1017"/>
      <c r="F19" s="1017"/>
      <c r="G19" s="1864"/>
    </row>
    <row r="20" spans="1:15">
      <c r="A20" s="2043" t="s">
        <v>1578</v>
      </c>
      <c r="B20" s="2044" t="s">
        <v>1579</v>
      </c>
      <c r="C20" s="2045"/>
      <c r="D20" s="2046" t="s">
        <v>1579</v>
      </c>
      <c r="E20" s="2045"/>
      <c r="F20" s="1017"/>
      <c r="G20" s="1864"/>
    </row>
    <row r="21" spans="1:15">
      <c r="A21" s="2047"/>
      <c r="B21" s="2048" t="s">
        <v>1580</v>
      </c>
      <c r="C21" s="2049"/>
      <c r="D21" s="2034" t="s">
        <v>1580</v>
      </c>
      <c r="E21" s="2050"/>
      <c r="F21" s="1017"/>
      <c r="G21" s="1864"/>
    </row>
    <row r="22" spans="1:15">
      <c r="A22" s="2047"/>
      <c r="B22" s="2051" t="s">
        <v>1581</v>
      </c>
      <c r="C22" s="2052"/>
      <c r="D22" s="2051" t="s">
        <v>1581</v>
      </c>
      <c r="E22" s="2050"/>
      <c r="F22" s="1017"/>
      <c r="G22" s="1864"/>
    </row>
    <row r="23" spans="1:15" s="1862" customFormat="1" ht="21" thickBot="1">
      <c r="A23" s="2053"/>
      <c r="B23" s="2054" t="s">
        <v>1582</v>
      </c>
      <c r="C23" s="2055"/>
      <c r="D23" s="2054" t="s">
        <v>1583</v>
      </c>
      <c r="E23" s="2056"/>
      <c r="F23" s="1017"/>
      <c r="G23" s="1864"/>
      <c r="H23" s="2057"/>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58" t="s">
        <v>1585</v>
      </c>
      <c r="C25" s="991"/>
      <c r="D25" s="1011"/>
      <c r="E25" s="1014" t="s">
        <v>1586</v>
      </c>
      <c r="F25" s="991"/>
      <c r="G25" s="2059" t="s">
        <v>1587</v>
      </c>
      <c r="L25" s="1078"/>
      <c r="M25" s="1078"/>
      <c r="O25" s="1079"/>
    </row>
    <row r="26" spans="1:15" s="1077" customFormat="1" ht="13.5" thickBot="1">
      <c r="A26" s="991"/>
      <c r="B26" s="1085"/>
      <c r="C26" s="991"/>
      <c r="D26" s="1011"/>
      <c r="E26" s="1085" t="s">
        <v>2832</v>
      </c>
      <c r="F26" s="991"/>
      <c r="G26" s="1681"/>
      <c r="L26" s="1078"/>
      <c r="M26" s="1078"/>
      <c r="O26" s="1079"/>
    </row>
    <row r="27" spans="1:15" ht="25.5">
      <c r="A27" s="1003" t="s">
        <v>1588</v>
      </c>
      <c r="B27" s="1000"/>
      <c r="C27" s="2822" t="s">
        <v>1588</v>
      </c>
      <c r="D27" s="2823"/>
      <c r="E27" s="1000" t="s">
        <v>2857</v>
      </c>
      <c r="F27" s="1007" t="s">
        <v>1588</v>
      </c>
      <c r="G27" s="1000"/>
      <c r="I27" s="1067"/>
      <c r="K27" s="1067"/>
    </row>
    <row r="28" spans="1:15" ht="37.5">
      <c r="A28" s="1004" t="s">
        <v>1589</v>
      </c>
      <c r="B28" s="974"/>
      <c r="C28" s="2824" t="s">
        <v>1590</v>
      </c>
      <c r="D28" s="2825"/>
      <c r="E28" s="974" t="s">
        <v>2853</v>
      </c>
      <c r="F28" s="1889" t="s">
        <v>1590</v>
      </c>
      <c r="G28" s="974"/>
      <c r="I28" s="1067"/>
      <c r="K28" s="1067"/>
    </row>
    <row r="29" spans="1:15">
      <c r="A29" s="1004" t="s">
        <v>1591</v>
      </c>
      <c r="B29" s="974"/>
      <c r="C29" s="2824" t="s">
        <v>1591</v>
      </c>
      <c r="D29" s="2825"/>
      <c r="E29" s="2753" t="s">
        <v>2859</v>
      </c>
      <c r="F29" s="1889" t="s">
        <v>1592</v>
      </c>
      <c r="G29" s="974"/>
      <c r="I29" s="1067"/>
      <c r="K29" s="1067"/>
    </row>
    <row r="30" spans="1:15" ht="25.5">
      <c r="A30" s="1004" t="s">
        <v>1593</v>
      </c>
      <c r="B30" s="974"/>
      <c r="C30" s="2813" t="s">
        <v>1594</v>
      </c>
      <c r="D30" s="2060"/>
      <c r="E30" s="1019" t="s">
        <v>2860</v>
      </c>
      <c r="F30" s="1889" t="s">
        <v>1595</v>
      </c>
      <c r="G30" s="974"/>
    </row>
    <row r="31" spans="1:15">
      <c r="A31" s="1004" t="s">
        <v>1596</v>
      </c>
      <c r="B31" s="974"/>
      <c r="C31" s="2814"/>
      <c r="D31" s="1888" t="s">
        <v>1597</v>
      </c>
      <c r="E31" s="2753" t="s">
        <v>2861</v>
      </c>
      <c r="F31" s="1889" t="s">
        <v>1598</v>
      </c>
      <c r="G31" s="974"/>
    </row>
    <row r="32" spans="1:15" ht="24.75" thickBot="1">
      <c r="A32" s="1005" t="s">
        <v>1599</v>
      </c>
      <c r="B32" s="1001"/>
      <c r="C32" s="2814"/>
      <c r="D32" s="1888" t="s">
        <v>1600</v>
      </c>
      <c r="E32" s="974"/>
      <c r="F32" s="1889" t="s">
        <v>1601</v>
      </c>
      <c r="G32" s="974"/>
    </row>
    <row r="33" spans="1:7">
      <c r="A33" s="1003" t="s">
        <v>1602</v>
      </c>
      <c r="B33" s="1000"/>
      <c r="C33" s="2814"/>
      <c r="D33" s="1888" t="s">
        <v>1603</v>
      </c>
      <c r="E33" s="974"/>
      <c r="F33" s="1889" t="s">
        <v>1604</v>
      </c>
      <c r="G33" s="974"/>
    </row>
    <row r="34" spans="1:7" ht="13.5" thickBot="1">
      <c r="A34" s="1004" t="s">
        <v>1605</v>
      </c>
      <c r="B34" s="974"/>
      <c r="C34" s="2815"/>
      <c r="D34" s="1888" t="s">
        <v>1606</v>
      </c>
      <c r="E34" s="974"/>
      <c r="F34" s="1890" t="s">
        <v>1607</v>
      </c>
      <c r="G34" s="1002"/>
    </row>
    <row r="35" spans="1:7">
      <c r="A35" s="1004" t="s">
        <v>1559</v>
      </c>
      <c r="B35" s="974"/>
      <c r="C35" s="2824" t="s">
        <v>1608</v>
      </c>
      <c r="D35" s="2825"/>
      <c r="E35" s="974"/>
      <c r="F35" s="1015" t="s">
        <v>1609</v>
      </c>
      <c r="G35" s="1000"/>
    </row>
    <row r="36" spans="1:7" ht="13.5" thickBot="1">
      <c r="A36" s="1004" t="s">
        <v>1610</v>
      </c>
      <c r="B36" s="974"/>
      <c r="C36" s="2826" t="s">
        <v>1611</v>
      </c>
      <c r="D36" s="2827"/>
      <c r="E36" s="1001"/>
      <c r="F36" s="1886" t="s">
        <v>1612</v>
      </c>
      <c r="G36" s="974"/>
    </row>
    <row r="37" spans="1:7" ht="13.5" thickBot="1">
      <c r="A37" s="1004" t="s">
        <v>1613</v>
      </c>
      <c r="B37" s="974"/>
      <c r="C37" s="2811" t="s">
        <v>1614</v>
      </c>
      <c r="D37" s="2061" t="s">
        <v>1598</v>
      </c>
      <c r="E37" s="2754" t="s">
        <v>2854</v>
      </c>
      <c r="F37" s="1890" t="s">
        <v>1615</v>
      </c>
      <c r="G37" s="1001"/>
    </row>
    <row r="38" spans="1:7">
      <c r="A38" s="1004" t="s">
        <v>1616</v>
      </c>
      <c r="B38" s="974"/>
      <c r="C38" s="2817"/>
      <c r="D38" s="1888" t="s">
        <v>1605</v>
      </c>
      <c r="E38" s="2753" t="s">
        <v>2854</v>
      </c>
      <c r="F38" s="1007" t="s">
        <v>1617</v>
      </c>
      <c r="G38" s="1000"/>
    </row>
    <row r="39" spans="1:7">
      <c r="A39" s="1004" t="s">
        <v>1618</v>
      </c>
      <c r="B39" s="974"/>
      <c r="C39" s="2817" t="s">
        <v>1619</v>
      </c>
      <c r="D39" s="1888" t="s">
        <v>1559</v>
      </c>
      <c r="E39" s="974">
        <v>3600.5</v>
      </c>
      <c r="F39" s="1889" t="s">
        <v>1620</v>
      </c>
      <c r="G39" s="974"/>
    </row>
    <row r="40" spans="1:7" ht="24.75" customHeight="1" thickBot="1">
      <c r="A40" s="1005" t="s">
        <v>1621</v>
      </c>
      <c r="B40" s="1001"/>
      <c r="C40" s="2818"/>
      <c r="D40" s="1891" t="s">
        <v>1563</v>
      </c>
      <c r="E40" s="1001">
        <v>1441.8</v>
      </c>
      <c r="F40" s="1890" t="s">
        <v>1622</v>
      </c>
      <c r="G40" s="1001"/>
    </row>
    <row r="41" spans="1:7">
      <c r="A41" s="1006" t="s">
        <v>1623</v>
      </c>
      <c r="B41" s="1056"/>
      <c r="C41" s="2807" t="s">
        <v>1623</v>
      </c>
      <c r="D41" s="2808"/>
      <c r="E41" s="1056" t="s">
        <v>2842</v>
      </c>
      <c r="F41" s="1007" t="s">
        <v>1624</v>
      </c>
      <c r="G41" s="1056"/>
    </row>
    <row r="42" spans="1:7">
      <c r="A42" s="1053" t="s">
        <v>1625</v>
      </c>
      <c r="B42" s="1057"/>
      <c r="C42" s="2062"/>
      <c r="D42" s="2063"/>
      <c r="E42" s="1057" t="s">
        <v>2842</v>
      </c>
      <c r="F42" s="1055"/>
      <c r="G42" s="1057"/>
    </row>
    <row r="43" spans="1:7">
      <c r="A43" s="94" t="s">
        <v>1579</v>
      </c>
      <c r="B43" s="1054"/>
      <c r="C43" s="2062"/>
      <c r="D43" s="2064" t="s">
        <v>1579</v>
      </c>
      <c r="E43" s="1054"/>
      <c r="F43" s="94" t="s">
        <v>1579</v>
      </c>
      <c r="G43" s="1054"/>
    </row>
    <row r="44" spans="1:7">
      <c r="A44" s="94" t="s">
        <v>1580</v>
      </c>
      <c r="B44" s="1054"/>
      <c r="C44" s="2062"/>
      <c r="D44" s="2048" t="s">
        <v>1580</v>
      </c>
      <c r="E44" s="1054"/>
      <c r="F44" s="94" t="s">
        <v>1580</v>
      </c>
      <c r="G44" s="1054"/>
    </row>
    <row r="45" spans="1:7">
      <c r="A45" s="94" t="s">
        <v>1581</v>
      </c>
      <c r="B45" s="1054"/>
      <c r="C45" s="2062"/>
      <c r="D45" s="2048" t="s">
        <v>1581</v>
      </c>
      <c r="E45" s="1054"/>
      <c r="F45" s="94" t="s">
        <v>1581</v>
      </c>
      <c r="G45" s="1054"/>
    </row>
    <row r="46" spans="1:7">
      <c r="A46" s="94" t="s">
        <v>1582</v>
      </c>
      <c r="B46" s="1054"/>
      <c r="C46" s="2062"/>
      <c r="D46" s="2048" t="s">
        <v>1582</v>
      </c>
      <c r="E46" s="1054"/>
      <c r="F46" s="94" t="s">
        <v>1582</v>
      </c>
      <c r="G46" s="1054"/>
    </row>
    <row r="47" spans="1:7">
      <c r="A47" s="1053"/>
      <c r="B47" s="1054"/>
      <c r="C47" s="2062"/>
      <c r="D47" s="2063"/>
      <c r="E47" s="1054"/>
      <c r="F47" s="1055"/>
      <c r="G47" s="1054"/>
    </row>
    <row r="48" spans="1:7" ht="13.5" thickBot="1">
      <c r="A48" s="1005" t="s">
        <v>1626</v>
      </c>
      <c r="B48" s="1001"/>
      <c r="C48" s="2809" t="s">
        <v>1626</v>
      </c>
      <c r="D48" s="2810"/>
      <c r="E48" s="1051"/>
      <c r="F48" s="1890" t="s">
        <v>1627</v>
      </c>
      <c r="G48" s="1001"/>
    </row>
    <row r="49" spans="1:15">
      <c r="A49" s="1004" t="s">
        <v>1628</v>
      </c>
      <c r="B49" s="1050"/>
      <c r="C49" s="2811" t="s">
        <v>1629</v>
      </c>
      <c r="D49" s="2812"/>
      <c r="E49" s="1052" t="s">
        <v>2862</v>
      </c>
      <c r="F49" s="1080"/>
      <c r="G49" s="1081"/>
    </row>
    <row r="50" spans="1:15" ht="13.5" thickBot="1">
      <c r="A50" s="1004" t="s">
        <v>1630</v>
      </c>
      <c r="B50" s="1050"/>
      <c r="C50" s="2818" t="s">
        <v>1631</v>
      </c>
      <c r="D50" s="2821"/>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1633</v>
      </c>
      <c r="B1" s="1233"/>
      <c r="C1" s="1233"/>
      <c r="D1" s="1849"/>
      <c r="E1" s="1849"/>
      <c r="AE1" s="1233"/>
      <c r="AF1" s="1233"/>
      <c r="AG1" s="1233"/>
      <c r="AH1" s="1233"/>
      <c r="AI1" s="1233"/>
      <c r="AJ1" s="1233"/>
      <c r="AK1" s="1233"/>
      <c r="AL1" s="1233"/>
      <c r="AM1" s="1233"/>
      <c r="AN1" s="1233"/>
      <c r="AO1" s="1233"/>
    </row>
    <row r="2" spans="1:41" s="2070" customFormat="1" ht="15.75" thickBot="1">
      <c r="A2" s="2067" t="s">
        <v>1634</v>
      </c>
      <c r="B2" s="1205">
        <f>项目基本情况!D2</f>
        <v>43965</v>
      </c>
      <c r="C2" s="1851"/>
      <c r="D2" s="2840" t="s">
        <v>1635</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1636</v>
      </c>
      <c r="B3" s="2071" t="s">
        <v>2833</v>
      </c>
      <c r="C3" s="1851"/>
      <c r="D3" s="2841"/>
      <c r="E3" s="1184" t="s">
        <v>1637</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1638</v>
      </c>
      <c r="B4" s="2071" t="s">
        <v>2834</v>
      </c>
      <c r="C4" s="1851"/>
      <c r="D4" s="2841"/>
      <c r="E4" s="1184"/>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1639</v>
      </c>
      <c r="B5" s="1314">
        <f>项目基本情况!C12</f>
        <v>3600.5</v>
      </c>
      <c r="C5" s="1851"/>
      <c r="D5" s="2073" t="s">
        <v>1640</v>
      </c>
      <c r="E5" s="393"/>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1641</v>
      </c>
      <c r="B6" s="1315">
        <f>项目基本情况!C13</f>
        <v>1441.8</v>
      </c>
      <c r="C6" s="1851"/>
      <c r="D6" s="2073" t="s">
        <v>1642</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1643</v>
      </c>
      <c r="B10" s="2078" t="s">
        <v>2835</v>
      </c>
      <c r="C10" s="1851"/>
      <c r="D10" s="2067" t="s">
        <v>1644</v>
      </c>
      <c r="E10" s="2079"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1647</v>
      </c>
      <c r="B11" s="986">
        <v>70</v>
      </c>
      <c r="C11" s="1851"/>
      <c r="D11" s="2081" t="s">
        <v>1648</v>
      </c>
      <c r="E11" s="34">
        <v>160</v>
      </c>
      <c r="F11" s="1850" t="s">
        <v>1649</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1650</v>
      </c>
      <c r="B12" s="2085">
        <v>59701</v>
      </c>
      <c r="C12" s="1851"/>
      <c r="D12" s="2086" t="s">
        <v>1651</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1652</v>
      </c>
      <c r="B13" s="987">
        <f>IF(B12="",B11-(YEAR($B$2)-B26+B23),ROUNDDOWN(MIN((B12-$B$2)/365,B11),2))</f>
        <v>43.11</v>
      </c>
      <c r="C13" s="2088"/>
      <c r="D13" s="2089" t="s">
        <v>1653</v>
      </c>
      <c r="E13" s="39">
        <f>成本法!C9</f>
        <v>576080</v>
      </c>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1655</v>
      </c>
      <c r="B14" s="988">
        <f>IF(ISERROR(ROUND(POWER(1+B15,B11-B13)*(POWER(1+B15,B13)-1)/(POWER(1+B15,B11)-1),3)),0,ROUND(POWER(1+B15,B11-B13)*(POWER(1+B15,B13)-1)/(POWER(1+B15,B11)-1),3))</f>
        <v>0.82399999999999995</v>
      </c>
      <c r="C14" s="1851"/>
      <c r="D14" s="2090"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1657</v>
      </c>
      <c r="B15" s="30">
        <v>0.03</v>
      </c>
      <c r="C15" s="1851"/>
      <c r="D15" s="2086"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1659</v>
      </c>
      <c r="B16" s="30">
        <v>0.04</v>
      </c>
      <c r="C16" s="1851"/>
      <c r="D16" s="2091" t="s">
        <v>1660</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1661</v>
      </c>
      <c r="B17" s="993">
        <v>0.06</v>
      </c>
      <c r="C17" s="1851"/>
      <c r="D17" s="2077" t="s">
        <v>1662</v>
      </c>
      <c r="E17" s="981">
        <f>1560+500</f>
        <v>2060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2">
        <f>ROUND(B5*E17*IF(B25=0,1,E20),0)</f>
        <v>7417030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1663</v>
      </c>
      <c r="B19" s="1851"/>
      <c r="C19" s="1851"/>
      <c r="D19" s="2093"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1664</v>
      </c>
      <c r="B20" s="31">
        <v>0</v>
      </c>
      <c r="C20" s="1851"/>
      <c r="D20" s="2095"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1665</v>
      </c>
      <c r="B21" s="32">
        <v>2</v>
      </c>
      <c r="C21" s="1851"/>
      <c r="D21" s="2086" t="s">
        <v>1666</v>
      </c>
      <c r="E21" s="711">
        <v>0.03</v>
      </c>
      <c r="F21" s="1848" t="s">
        <v>1667</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1668</v>
      </c>
      <c r="B22" s="1450">
        <v>2</v>
      </c>
      <c r="C22" s="1851"/>
      <c r="D22" s="2086" t="s">
        <v>1669</v>
      </c>
      <c r="E22" s="40">
        <v>0.1</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1671</v>
      </c>
      <c r="B23" s="33">
        <f>B20+B21</f>
        <v>2</v>
      </c>
      <c r="C23" s="1851"/>
      <c r="D23" s="2086"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1674</v>
      </c>
      <c r="B24" s="1738">
        <f>B20+B22</f>
        <v>2</v>
      </c>
      <c r="C24" s="1851"/>
      <c r="D24" s="2091"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1677</v>
      </c>
      <c r="B25" s="1449">
        <f>B21-B22</f>
        <v>0</v>
      </c>
      <c r="C25" s="1233"/>
      <c r="D25" s="2081" t="s">
        <v>1678</v>
      </c>
      <c r="E25" s="711">
        <v>0.02</v>
      </c>
      <c r="F25" s="1848" t="s">
        <v>1679</v>
      </c>
      <c r="I25" s="1849"/>
      <c r="AE25" s="1233"/>
      <c r="AF25" s="1233"/>
      <c r="AG25" s="1233"/>
      <c r="AH25" s="1233"/>
      <c r="AI25" s="1233"/>
      <c r="AJ25" s="1233"/>
      <c r="AK25" s="1233"/>
      <c r="AL25" s="1233"/>
      <c r="AM25" s="1233"/>
      <c r="AN25" s="1233"/>
      <c r="AO25" s="1233"/>
    </row>
    <row r="26" spans="1:41" ht="15.75" thickBot="1">
      <c r="A26" s="2100" t="s">
        <v>1680</v>
      </c>
      <c r="B26" s="1090">
        <v>2000</v>
      </c>
      <c r="C26" s="1851"/>
      <c r="D26" s="2086" t="s">
        <v>1681</v>
      </c>
      <c r="E26" s="40">
        <v>0.02</v>
      </c>
      <c r="F26" s="1848" t="s">
        <v>1679</v>
      </c>
      <c r="G26" s="2069"/>
      <c r="H26" s="2069"/>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6" t="s">
        <v>1682</v>
      </c>
      <c r="E27" s="352">
        <f ca="1">存贷款利率!G1</f>
        <v>4.7500000000000001E-2</v>
      </c>
      <c r="F27" s="1848" t="s">
        <v>1683</v>
      </c>
      <c r="G27" s="2069"/>
      <c r="H27" s="2069"/>
      <c r="K27" s="1851"/>
      <c r="N27" s="1851"/>
      <c r="AE27" s="1233"/>
      <c r="AF27" s="1233"/>
      <c r="AG27" s="1233"/>
      <c r="AH27" s="1233"/>
      <c r="AI27" s="1233"/>
      <c r="AJ27" s="1233"/>
      <c r="AK27" s="1233"/>
      <c r="AL27" s="1233"/>
      <c r="AM27" s="1233"/>
      <c r="AN27" s="1233"/>
      <c r="AO27" s="1233"/>
    </row>
    <row r="28" spans="1:41" ht="15" thickBot="1">
      <c r="A28" s="2101" t="s">
        <v>1684</v>
      </c>
      <c r="B28" s="2102" t="s">
        <v>2836</v>
      </c>
      <c r="C28" s="1233"/>
      <c r="D28" s="2103" t="s">
        <v>1685</v>
      </c>
      <c r="E28" s="985">
        <v>0.2</v>
      </c>
      <c r="G28" s="2069"/>
      <c r="H28" s="2069"/>
      <c r="K28" s="1851"/>
      <c r="N28" s="1851"/>
      <c r="AE28" s="1233"/>
      <c r="AF28" s="1233"/>
      <c r="AG28" s="1233"/>
      <c r="AH28" s="1233"/>
      <c r="AI28" s="1233"/>
      <c r="AJ28" s="1233"/>
      <c r="AK28" s="1233"/>
      <c r="AL28" s="1233"/>
      <c r="AM28" s="1233"/>
      <c r="AN28" s="1233"/>
      <c r="AO28" s="1233"/>
    </row>
    <row r="29" spans="1:41" ht="14.25">
      <c r="A29" s="2084" t="str">
        <f>IF(B28="租赁期内按合同租金","合同租金","市场租金")</f>
        <v>市场租金</v>
      </c>
      <c r="B29" s="29">
        <v>3.5</v>
      </c>
      <c r="C29" s="1233"/>
      <c r="D29" s="2090" t="s">
        <v>1686</v>
      </c>
      <c r="E29" s="984">
        <f>E30+E31</f>
        <v>5.6000000000000001E-2</v>
      </c>
      <c r="F29" s="1845"/>
      <c r="G29" s="2069"/>
      <c r="H29" s="2069"/>
      <c r="K29" s="1851"/>
      <c r="N29" s="1851"/>
      <c r="AE29" s="1233"/>
      <c r="AF29" s="1233"/>
      <c r="AG29" s="1233"/>
      <c r="AH29" s="1233"/>
      <c r="AI29" s="1233"/>
      <c r="AJ29" s="1233"/>
      <c r="AK29" s="1233"/>
      <c r="AL29" s="1233"/>
      <c r="AM29" s="1233"/>
      <c r="AN29" s="1233"/>
      <c r="AO29" s="1233"/>
    </row>
    <row r="30" spans="1:41" ht="14.25">
      <c r="A30" s="2084" t="s">
        <v>1687</v>
      </c>
      <c r="B30" s="1415">
        <f ca="1">存贷款利率!I1</f>
        <v>1.4999999999999999E-2</v>
      </c>
      <c r="C30" s="1233"/>
      <c r="D30" s="2104" t="s">
        <v>1688</v>
      </c>
      <c r="E30" s="41">
        <v>0.05</v>
      </c>
      <c r="F30" s="1856">
        <f>IF(B2&lt;DATE(2016,5,1),0,E30)</f>
        <v>0.05</v>
      </c>
      <c r="G30" s="2069"/>
      <c r="H30" s="2069"/>
      <c r="K30" s="1851"/>
      <c r="N30" s="1851"/>
      <c r="AE30" s="1233"/>
      <c r="AF30" s="1233"/>
      <c r="AG30" s="1233"/>
      <c r="AH30" s="1233"/>
      <c r="AI30" s="1233"/>
      <c r="AJ30" s="1233"/>
      <c r="AK30" s="1233"/>
      <c r="AL30" s="1233"/>
      <c r="AM30" s="1233"/>
      <c r="AN30" s="1233"/>
      <c r="AO30" s="1233"/>
    </row>
    <row r="31" spans="1:41" ht="14.25">
      <c r="A31" s="2084" t="s">
        <v>1689</v>
      </c>
      <c r="B31" s="30">
        <v>0.03</v>
      </c>
      <c r="C31" s="1233"/>
      <c r="D31" s="2104" t="s">
        <v>1690</v>
      </c>
      <c r="E31" s="42">
        <f>E30*(E32+E33+E34)+E35</f>
        <v>6.000000000000001E-3</v>
      </c>
      <c r="F31" s="1845"/>
      <c r="G31" s="2069"/>
      <c r="H31" s="2069"/>
      <c r="K31" s="1851"/>
      <c r="N31" s="1851"/>
      <c r="AE31" s="1233"/>
      <c r="AF31" s="1233"/>
      <c r="AG31" s="1233"/>
      <c r="AH31" s="1233"/>
      <c r="AI31" s="1233"/>
      <c r="AJ31" s="1233"/>
      <c r="AK31" s="1233"/>
      <c r="AL31" s="1233"/>
      <c r="AM31" s="1233"/>
      <c r="AN31" s="1233"/>
      <c r="AO31" s="1233"/>
    </row>
    <row r="32" spans="1:41" ht="14.25">
      <c r="A32" s="2084" t="s">
        <v>1691</v>
      </c>
      <c r="B32" s="30">
        <v>0.12</v>
      </c>
      <c r="C32" s="1233"/>
      <c r="D32" s="2105" t="s">
        <v>1692</v>
      </c>
      <c r="E32" s="43">
        <v>7.0000000000000007E-2</v>
      </c>
      <c r="F32" s="1843" t="s">
        <v>1693</v>
      </c>
      <c r="G32" s="2069"/>
      <c r="H32" s="2069"/>
      <c r="K32" s="1851"/>
      <c r="L32" s="1851"/>
      <c r="M32" s="1851"/>
      <c r="N32" s="1851"/>
      <c r="AE32" s="1233"/>
      <c r="AF32" s="1233"/>
      <c r="AG32" s="1233"/>
      <c r="AH32" s="1233"/>
      <c r="AI32" s="1233"/>
      <c r="AJ32" s="1233"/>
      <c r="AK32" s="1233"/>
      <c r="AL32" s="1233"/>
      <c r="AM32" s="1233"/>
      <c r="AN32" s="1233"/>
      <c r="AO32" s="1233"/>
    </row>
    <row r="33" spans="1:41" ht="14.25">
      <c r="A33" s="2084" t="s">
        <v>1694</v>
      </c>
      <c r="B33" s="1376">
        <f>收益法!J54</f>
        <v>43.11</v>
      </c>
      <c r="C33" s="1233"/>
      <c r="D33" s="2105" t="s">
        <v>1695</v>
      </c>
      <c r="E33" s="41">
        <v>0.03</v>
      </c>
      <c r="F33" s="1842" t="s">
        <v>1696</v>
      </c>
      <c r="G33" s="2069"/>
      <c r="H33" s="2069"/>
      <c r="K33" s="1851"/>
      <c r="L33" s="1851"/>
      <c r="M33" s="1851"/>
      <c r="N33" s="1851"/>
      <c r="AE33" s="1233"/>
      <c r="AF33" s="1233"/>
      <c r="AG33" s="1233"/>
      <c r="AH33" s="1233"/>
      <c r="AI33" s="1233"/>
      <c r="AJ33" s="1233"/>
      <c r="AK33" s="1233"/>
      <c r="AL33" s="1233"/>
      <c r="AM33" s="1233"/>
      <c r="AN33" s="1233"/>
      <c r="AO33" s="1233"/>
    </row>
    <row r="34" spans="1:41" s="2107" customFormat="1" ht="15" thickBot="1">
      <c r="A34" s="2104" t="str">
        <f>IF(B28="租赁期内按合同租金","剩余租赁期","——")</f>
        <v>——</v>
      </c>
      <c r="B34" s="994"/>
      <c r="C34" s="1233"/>
      <c r="D34" s="2105" t="s">
        <v>1697</v>
      </c>
      <c r="E34" s="41">
        <v>0.02</v>
      </c>
      <c r="F34" s="1842" t="s">
        <v>1698</v>
      </c>
      <c r="G34" s="2106"/>
      <c r="H34" s="2106"/>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7" customFormat="1" ht="15.75" thickBot="1">
      <c r="A35" s="2108" t="s">
        <v>1699</v>
      </c>
      <c r="B35" s="990"/>
      <c r="C35" s="1233"/>
      <c r="D35" s="2109" t="s">
        <v>1700</v>
      </c>
      <c r="E35" s="44"/>
      <c r="F35" s="1850" t="s">
        <v>1701</v>
      </c>
      <c r="G35" s="2106"/>
      <c r="H35" s="2106"/>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7" customFormat="1" ht="14.25">
      <c r="A36" s="2110" t="str">
        <f>IF(B28="租赁期内按合同租金","租金","——")</f>
        <v>——</v>
      </c>
      <c r="B36" s="995"/>
      <c r="C36" s="1233"/>
      <c r="D36" s="2111" t="s">
        <v>1702</v>
      </c>
      <c r="E36" s="45">
        <v>0.03</v>
      </c>
      <c r="F36" s="1846" t="s">
        <v>1703</v>
      </c>
      <c r="G36" s="2106"/>
      <c r="H36" s="2106"/>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7" customFormat="1" ht="15" thickBot="1">
      <c r="A37" s="2084" t="str">
        <f>IF(B28="租赁期内按合同租金","年租金增长率","——")</f>
        <v>——</v>
      </c>
      <c r="B37" s="30"/>
      <c r="C37" s="1233"/>
      <c r="D37" s="2091" t="s">
        <v>1704</v>
      </c>
      <c r="E37" s="41">
        <v>5.0000000000000001E-4</v>
      </c>
      <c r="F37" s="1846" t="s">
        <v>1705</v>
      </c>
      <c r="G37" s="2069"/>
      <c r="H37" s="2069"/>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7" customFormat="1" ht="14.25">
      <c r="A38" s="2084" t="str">
        <f>IF(B28="租赁期内按合同租金","空置率","——")</f>
        <v>——</v>
      </c>
      <c r="B38" s="30"/>
      <c r="C38" s="1233"/>
      <c r="D38" s="2112" t="s">
        <v>1706</v>
      </c>
      <c r="E38" s="46">
        <v>1.2E-2</v>
      </c>
      <c r="F38" s="1844"/>
      <c r="G38" s="1849"/>
      <c r="H38" s="1849"/>
      <c r="I38" s="2069"/>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7" customFormat="1" ht="15" thickBot="1">
      <c r="A39" s="2084" t="str">
        <f>IF(B28="租赁期内按合同租金","成新率","——")</f>
        <v>——</v>
      </c>
      <c r="B39" s="30"/>
      <c r="C39" s="1233"/>
      <c r="D39" s="2089" t="s">
        <v>1707</v>
      </c>
      <c r="E39" s="47">
        <v>0.12</v>
      </c>
      <c r="F39" s="1844"/>
      <c r="G39" s="2106"/>
      <c r="H39" s="2106"/>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4" t="str">
        <f>IF(B28="租赁期内按合同租金","租赁期外收益期","——")</f>
        <v>——</v>
      </c>
      <c r="B40" s="1189" t="str">
        <f>IF(B28="租赁期内按合同租金",B33-B34,"——")</f>
        <v>——</v>
      </c>
      <c r="C40" s="1233"/>
      <c r="D40" s="2112" t="s">
        <v>1708</v>
      </c>
      <c r="E40" s="48">
        <f>SUMIF(D42:D51,E41,E42:E51)</f>
        <v>1.5</v>
      </c>
      <c r="F40" s="1844"/>
      <c r="G40" s="2069"/>
      <c r="H40" s="2069"/>
      <c r="I40" s="1851"/>
      <c r="J40" s="1851"/>
      <c r="K40" s="1851"/>
      <c r="L40" s="1851"/>
      <c r="M40" s="1851"/>
      <c r="N40" s="1851"/>
      <c r="AE40" s="1233"/>
      <c r="AF40" s="1233"/>
      <c r="AG40" s="1233"/>
      <c r="AH40" s="1233"/>
      <c r="AI40" s="1233"/>
      <c r="AJ40" s="1233"/>
      <c r="AK40" s="1233"/>
      <c r="AL40" s="1233"/>
      <c r="AM40" s="1233"/>
      <c r="AN40" s="1233"/>
      <c r="AO40" s="1233"/>
    </row>
    <row r="41" spans="1:41" ht="14.25">
      <c r="A41" s="2113" t="s">
        <v>1709</v>
      </c>
      <c r="B41" s="996">
        <v>3600.5</v>
      </c>
      <c r="C41" s="1233"/>
      <c r="D41" s="2086" t="s">
        <v>1710</v>
      </c>
      <c r="E41" s="2114" t="s">
        <v>70</v>
      </c>
      <c r="F41" s="1844" t="s">
        <v>1711</v>
      </c>
      <c r="G41" s="2115" t="s">
        <v>1712</v>
      </c>
      <c r="H41" s="2069"/>
      <c r="I41" s="1851"/>
      <c r="J41" s="1851"/>
      <c r="K41" s="1851"/>
      <c r="L41" s="1851"/>
      <c r="M41" s="1851"/>
      <c r="N41" s="1851"/>
      <c r="AE41" s="1233"/>
      <c r="AF41" s="1233"/>
      <c r="AG41" s="1233"/>
      <c r="AH41" s="1233"/>
      <c r="AI41" s="1233"/>
      <c r="AJ41" s="1233"/>
      <c r="AK41" s="1233"/>
      <c r="AL41" s="1233"/>
      <c r="AM41" s="1233"/>
      <c r="AN41" s="1233"/>
      <c r="AO41" s="1233"/>
    </row>
    <row r="42" spans="1:41" ht="14.25">
      <c r="A42" s="2084" t="s">
        <v>1713</v>
      </c>
      <c r="B42" s="989">
        <v>365</v>
      </c>
      <c r="C42" s="1233"/>
      <c r="D42" s="2116" t="s">
        <v>1714</v>
      </c>
      <c r="E42" s="29"/>
      <c r="F42" s="1844">
        <v>30</v>
      </c>
      <c r="G42" s="2069"/>
      <c r="H42" s="2069"/>
      <c r="I42" s="1851"/>
      <c r="J42" s="1851"/>
      <c r="K42" s="1851"/>
      <c r="L42" s="1851"/>
      <c r="M42" s="1851"/>
      <c r="N42" s="1851"/>
      <c r="AE42" s="1233"/>
      <c r="AF42" s="1233"/>
      <c r="AG42" s="1233"/>
      <c r="AH42" s="1233"/>
      <c r="AI42" s="1233"/>
      <c r="AJ42" s="1233"/>
      <c r="AK42" s="1233"/>
      <c r="AL42" s="1233"/>
      <c r="AM42" s="1233"/>
      <c r="AN42" s="1233"/>
      <c r="AO42" s="1233"/>
    </row>
    <row r="43" spans="1:41" ht="14.25">
      <c r="A43" s="2084" t="s">
        <v>1715</v>
      </c>
      <c r="B43" s="29"/>
      <c r="C43" s="1233"/>
      <c r="D43" s="2116" t="s">
        <v>1716</v>
      </c>
      <c r="E43" s="29"/>
      <c r="F43" s="1844">
        <v>24</v>
      </c>
      <c r="G43" s="2069"/>
      <c r="H43" s="2069"/>
      <c r="I43" s="1851"/>
      <c r="J43" s="1851"/>
      <c r="K43" s="1851"/>
      <c r="L43" s="1851"/>
      <c r="M43" s="1851"/>
      <c r="N43" s="1851"/>
      <c r="AE43" s="1233"/>
      <c r="AF43" s="1233"/>
      <c r="AG43" s="1233"/>
      <c r="AH43" s="1233"/>
      <c r="AI43" s="1233"/>
      <c r="AJ43" s="1233"/>
      <c r="AK43" s="1233"/>
      <c r="AL43" s="1233"/>
      <c r="AM43" s="1233"/>
      <c r="AN43" s="1233"/>
      <c r="AO43" s="1233"/>
    </row>
    <row r="44" spans="1:41" ht="14.25">
      <c r="A44" s="2084" t="s">
        <v>1717</v>
      </c>
      <c r="B44" s="997">
        <v>1.4999999999999999E-2</v>
      </c>
      <c r="C44" s="1233" t="s">
        <v>965</v>
      </c>
      <c r="D44" s="2116" t="s">
        <v>1718</v>
      </c>
      <c r="E44" s="29"/>
      <c r="F44" s="1844">
        <v>18</v>
      </c>
      <c r="G44" s="1233"/>
      <c r="H44" s="1233"/>
      <c r="I44" s="2069"/>
      <c r="J44" s="1851"/>
      <c r="K44" s="1851"/>
      <c r="L44" s="1851"/>
      <c r="M44" s="1851"/>
      <c r="N44" s="1851"/>
      <c r="AE44" s="1233"/>
      <c r="AF44" s="1233"/>
      <c r="AG44" s="1233"/>
      <c r="AH44" s="1233"/>
      <c r="AI44" s="1233"/>
      <c r="AJ44" s="1233"/>
      <c r="AK44" s="1233"/>
      <c r="AL44" s="1233"/>
      <c r="AM44" s="1233"/>
      <c r="AN44" s="1233"/>
      <c r="AO44" s="1233"/>
    </row>
    <row r="45" spans="1:41" ht="14.25">
      <c r="A45" s="2084" t="s">
        <v>1719</v>
      </c>
      <c r="B45" s="998">
        <v>1.5E-3</v>
      </c>
      <c r="C45" s="1233" t="s">
        <v>966</v>
      </c>
      <c r="D45" s="2116" t="s">
        <v>1720</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3" t="s">
        <v>1721</v>
      </c>
      <c r="B46" s="999">
        <v>0.01</v>
      </c>
      <c r="C46" s="1233" t="s">
        <v>967</v>
      </c>
      <c r="D46" s="2116"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6" t="s">
        <v>1722</v>
      </c>
      <c r="E47" s="29">
        <v>1.5</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6"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6"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6"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7" t="s">
        <v>1726</v>
      </c>
      <c r="E51" s="49"/>
      <c r="F51" s="1851"/>
      <c r="M51" s="1851"/>
      <c r="N51" s="1851"/>
      <c r="O51" s="84"/>
      <c r="P51" s="84"/>
    </row>
    <row r="52" spans="1:41" s="1233" customFormat="1" ht="14.25">
      <c r="D52" s="2069"/>
      <c r="E52" s="2069"/>
      <c r="F52" s="2069"/>
      <c r="G52" s="2069"/>
      <c r="H52" s="2069"/>
      <c r="I52" s="1851"/>
      <c r="J52" s="1851"/>
      <c r="K52" s="1851"/>
      <c r="L52" s="1851"/>
      <c r="M52" s="1851"/>
      <c r="N52" s="1851"/>
      <c r="O52" s="84"/>
      <c r="P52" s="84"/>
    </row>
    <row r="53" spans="1:41" s="1233" customFormat="1" ht="14.25">
      <c r="D53" s="2069"/>
      <c r="E53" s="2069"/>
      <c r="F53" s="2069"/>
      <c r="G53" s="2069"/>
      <c r="H53" s="2069"/>
      <c r="I53" s="1851"/>
      <c r="J53" s="1851"/>
      <c r="K53" s="1851"/>
      <c r="L53" s="1851"/>
      <c r="M53" s="1851"/>
      <c r="N53" s="1851"/>
      <c r="O53" s="84"/>
      <c r="P53" s="84"/>
    </row>
    <row r="54" spans="1:41" s="1233" customFormat="1" ht="14.25">
      <c r="D54" s="2069"/>
      <c r="E54" s="2069"/>
      <c r="F54" s="2069"/>
      <c r="G54" s="2069"/>
      <c r="H54" s="2069"/>
      <c r="I54" s="1851"/>
      <c r="J54" s="1851"/>
      <c r="K54" s="1851"/>
      <c r="L54" s="1851"/>
      <c r="M54" s="1851"/>
      <c r="N54" s="1851"/>
      <c r="O54" s="84"/>
      <c r="P54" s="84"/>
    </row>
    <row r="55" spans="1:41" s="1233" customFormat="1" ht="14.25">
      <c r="D55" s="2069"/>
      <c r="E55" s="2069"/>
      <c r="F55" s="2069"/>
      <c r="G55" s="2069"/>
      <c r="H55" s="2069"/>
      <c r="I55" s="1851"/>
      <c r="J55" s="1851"/>
      <c r="K55" s="1851"/>
      <c r="L55" s="1851"/>
      <c r="M55" s="1851"/>
      <c r="N55" s="1851"/>
      <c r="O55" s="84"/>
      <c r="P55" s="84"/>
    </row>
    <row r="56" spans="1:41" s="1233" customFormat="1" ht="14.25">
      <c r="D56" s="2069"/>
      <c r="E56" s="2069"/>
      <c r="F56" s="2069"/>
      <c r="G56" s="2069"/>
      <c r="H56" s="2069"/>
      <c r="I56" s="1851"/>
      <c r="J56" s="1851"/>
      <c r="K56" s="1851"/>
      <c r="L56" s="1851"/>
      <c r="M56" s="1851"/>
      <c r="N56" s="1851"/>
      <c r="O56" s="84"/>
      <c r="P56" s="84"/>
    </row>
    <row r="57" spans="1:41" s="1233" customFormat="1" ht="14.25">
      <c r="D57" s="2069"/>
      <c r="E57" s="2069"/>
      <c r="F57" s="2069"/>
      <c r="G57" s="2069"/>
      <c r="H57" s="2069"/>
      <c r="I57" s="1851"/>
      <c r="J57" s="1851"/>
      <c r="K57" s="1851"/>
      <c r="L57" s="1851"/>
      <c r="M57" s="1851"/>
      <c r="N57" s="1851"/>
      <c r="O57" s="84"/>
      <c r="P57" s="84"/>
    </row>
    <row r="58" spans="1:41" s="1233" customFormat="1" ht="14.25">
      <c r="D58" s="2069"/>
      <c r="E58" s="2069"/>
      <c r="F58" s="2069"/>
      <c r="G58" s="2069"/>
      <c r="H58" s="2069"/>
      <c r="I58" s="1851"/>
      <c r="J58" s="1851"/>
      <c r="K58" s="1851"/>
      <c r="L58" s="1851"/>
      <c r="M58" s="1851"/>
      <c r="N58" s="1851"/>
      <c r="O58" s="84"/>
      <c r="P58" s="84"/>
    </row>
    <row r="59" spans="1:41" s="1233" customFormat="1" ht="14.25">
      <c r="D59" s="2069"/>
      <c r="E59" s="2069"/>
      <c r="F59" s="2069"/>
      <c r="G59" s="2069"/>
      <c r="H59" s="2069"/>
      <c r="I59" s="1851"/>
      <c r="J59" s="1851"/>
      <c r="K59" s="1851"/>
      <c r="L59" s="1851"/>
      <c r="M59" s="2118"/>
      <c r="N59" s="1851"/>
      <c r="O59" s="84"/>
      <c r="P59" s="84"/>
    </row>
    <row r="60" spans="1:41" s="1233" customFormat="1" ht="14.25">
      <c r="D60" s="2069"/>
      <c r="E60" s="2069"/>
      <c r="F60" s="2069"/>
      <c r="G60" s="2069"/>
      <c r="H60" s="2069"/>
      <c r="I60" s="1851"/>
      <c r="J60" s="1851"/>
      <c r="K60" s="1851"/>
      <c r="L60" s="1851"/>
      <c r="M60" s="1851"/>
      <c r="N60" s="1851"/>
      <c r="O60" s="84"/>
      <c r="P60" s="84"/>
    </row>
    <row r="61" spans="1:41" s="1233" customFormat="1" ht="14.25">
      <c r="D61" s="2069"/>
      <c r="E61" s="2069"/>
      <c r="F61" s="2069"/>
      <c r="G61" s="2069"/>
      <c r="H61" s="2069"/>
      <c r="I61" s="1851"/>
      <c r="J61" s="1851"/>
      <c r="K61" s="1851"/>
      <c r="L61" s="1851"/>
      <c r="M61" s="1851"/>
      <c r="N61" s="1851"/>
      <c r="O61" s="84"/>
      <c r="P61" s="84"/>
    </row>
    <row r="62" spans="1:41" s="1233" customFormat="1" ht="14.25">
      <c r="D62" s="2069"/>
      <c r="E62" s="2069"/>
      <c r="F62" s="2069"/>
      <c r="G62" s="2069"/>
      <c r="H62" s="2069"/>
      <c r="I62" s="1851"/>
      <c r="J62" s="1851"/>
      <c r="K62" s="1851"/>
      <c r="L62" s="1851"/>
      <c r="M62" s="1851"/>
      <c r="N62" s="1851"/>
      <c r="O62" s="84"/>
      <c r="P62" s="84"/>
    </row>
    <row r="63" spans="1:41" s="1233" customFormat="1" ht="14.25">
      <c r="D63" s="2069"/>
      <c r="E63" s="2069"/>
      <c r="F63" s="2069"/>
      <c r="G63" s="2069"/>
      <c r="H63" s="2069"/>
      <c r="I63" s="1851"/>
      <c r="J63" s="1851"/>
      <c r="K63" s="1851"/>
      <c r="L63" s="1851"/>
      <c r="M63" s="1851"/>
      <c r="N63" s="1851"/>
      <c r="O63" s="84"/>
      <c r="P63" s="84"/>
    </row>
    <row r="64" spans="1:41" s="1233" customFormat="1" ht="14.25">
      <c r="D64" s="2069"/>
      <c r="E64" s="2069"/>
      <c r="F64" s="2069"/>
      <c r="G64" s="2069"/>
      <c r="H64" s="2069"/>
      <c r="I64" s="1851"/>
      <c r="J64" s="1851"/>
      <c r="K64" s="1851"/>
      <c r="L64" s="1851"/>
      <c r="M64" s="1851"/>
      <c r="N64" s="1851"/>
      <c r="O64" s="84"/>
      <c r="P64" s="84"/>
    </row>
    <row r="65" spans="1:16" s="1233" customFormat="1" ht="14.25">
      <c r="D65" s="2069"/>
      <c r="E65" s="2069"/>
      <c r="F65" s="2069"/>
      <c r="G65" s="2069"/>
      <c r="H65" s="2069"/>
      <c r="I65" s="1851"/>
      <c r="J65" s="1851"/>
      <c r="K65" s="1851"/>
      <c r="L65" s="1851"/>
      <c r="M65" s="1851"/>
      <c r="N65" s="1851"/>
      <c r="O65" s="84"/>
      <c r="P65" s="84"/>
    </row>
    <row r="66" spans="1:16" s="1233" customFormat="1" ht="14.25">
      <c r="A66" s="2119"/>
      <c r="D66" s="2069"/>
      <c r="E66" s="2069"/>
      <c r="F66" s="2069"/>
      <c r="G66" s="2069"/>
      <c r="H66" s="2069"/>
      <c r="I66" s="1851"/>
      <c r="J66" s="1851"/>
      <c r="K66" s="1851"/>
      <c r="L66" s="1851"/>
      <c r="M66" s="1851"/>
      <c r="N66" s="1851"/>
      <c r="O66" s="84"/>
      <c r="P66" s="84"/>
    </row>
    <row r="67" spans="1:16" s="1233" customFormat="1" ht="14.25">
      <c r="A67" s="2119"/>
      <c r="D67" s="2069"/>
      <c r="E67" s="2069"/>
      <c r="F67" s="2069"/>
      <c r="G67" s="2069"/>
      <c r="H67" s="2069"/>
      <c r="I67" s="1851"/>
      <c r="J67" s="1851"/>
      <c r="K67" s="1851"/>
      <c r="L67" s="1851"/>
      <c r="M67" s="1851"/>
      <c r="N67" s="1851"/>
      <c r="O67" s="84"/>
      <c r="P67" s="84"/>
    </row>
    <row r="68" spans="1:16" s="1233" customFormat="1" ht="14.25">
      <c r="A68" s="2119"/>
      <c r="D68" s="2069"/>
      <c r="E68" s="2069"/>
      <c r="F68" s="2069"/>
      <c r="G68" s="1849"/>
      <c r="H68" s="1849"/>
      <c r="O68" s="84"/>
      <c r="P68" s="84"/>
    </row>
    <row r="69" spans="1:16" s="1233" customFormat="1">
      <c r="A69" s="2119"/>
      <c r="D69" s="1849"/>
      <c r="E69" s="1849"/>
      <c r="F69" s="1849"/>
      <c r="G69" s="1849"/>
      <c r="H69" s="1849"/>
      <c r="O69" s="84"/>
      <c r="P69" s="84"/>
    </row>
    <row r="70" spans="1:16" s="1233" customFormat="1">
      <c r="A70" s="2119"/>
      <c r="D70" s="1849"/>
      <c r="E70" s="1849"/>
      <c r="F70" s="1849"/>
      <c r="G70" s="1849"/>
      <c r="H70" s="1849"/>
      <c r="O70" s="84"/>
      <c r="P70" s="84"/>
    </row>
    <row r="71" spans="1:16" s="1233" customFormat="1">
      <c r="A71" s="2119"/>
      <c r="D71" s="1849"/>
      <c r="E71" s="1849"/>
      <c r="F71" s="1849"/>
      <c r="G71" s="1849"/>
      <c r="H71" s="1849"/>
      <c r="O71" s="84"/>
      <c r="P71" s="84"/>
    </row>
    <row r="72" spans="1:16" s="1233" customFormat="1">
      <c r="A72" s="2119"/>
      <c r="D72" s="1849"/>
      <c r="E72" s="1849"/>
      <c r="F72" s="1849"/>
      <c r="G72" s="1849"/>
      <c r="H72" s="1849"/>
      <c r="O72" s="84"/>
      <c r="P72" s="84"/>
    </row>
    <row r="73" spans="1:16" s="1233" customFormat="1">
      <c r="A73" s="2119"/>
      <c r="D73" s="1849"/>
      <c r="E73" s="1849"/>
      <c r="F73" s="1849"/>
      <c r="G73" s="1849"/>
      <c r="H73" s="1849"/>
      <c r="O73" s="84"/>
      <c r="P73" s="84"/>
    </row>
    <row r="74" spans="1:16" s="1233" customFormat="1">
      <c r="A74" s="2119"/>
      <c r="D74" s="1849"/>
      <c r="E74" s="1849"/>
      <c r="F74" s="1849"/>
      <c r="G74" s="1849"/>
      <c r="H74" s="1849"/>
      <c r="O74" s="84"/>
      <c r="P74" s="84"/>
    </row>
    <row r="75" spans="1:16" s="1233" customFormat="1">
      <c r="A75" s="2119"/>
      <c r="D75" s="1849"/>
      <c r="E75" s="1849"/>
      <c r="F75" s="1849"/>
      <c r="G75" s="1849"/>
      <c r="H75" s="1849"/>
      <c r="O75" s="84"/>
      <c r="P75" s="84"/>
    </row>
    <row r="76" spans="1:16" s="1233" customFormat="1">
      <c r="A76" s="2119"/>
      <c r="D76" s="1849"/>
      <c r="E76" s="1849"/>
      <c r="F76" s="1849"/>
      <c r="G76" s="1849"/>
      <c r="H76" s="1849"/>
      <c r="O76" s="84"/>
      <c r="P76" s="84"/>
    </row>
    <row r="77" spans="1:16" s="1233" customFormat="1">
      <c r="A77" s="2119"/>
      <c r="D77" s="1849"/>
      <c r="E77" s="1849"/>
      <c r="F77" s="1849"/>
      <c r="G77" s="1849"/>
      <c r="H77" s="1849"/>
      <c r="O77" s="84"/>
      <c r="P77" s="84"/>
    </row>
    <row r="78" spans="1:16" s="1233" customFormat="1">
      <c r="A78" s="2119"/>
      <c r="D78" s="1849"/>
      <c r="E78" s="1849"/>
      <c r="F78" s="1849"/>
      <c r="G78" s="1849"/>
      <c r="H78" s="1849"/>
      <c r="O78" s="84"/>
      <c r="P78" s="84"/>
    </row>
    <row r="79" spans="1:16" s="1233" customFormat="1">
      <c r="A79" s="2119"/>
      <c r="D79" s="1849"/>
      <c r="E79" s="1849"/>
      <c r="F79" s="1849"/>
      <c r="G79" s="1849"/>
      <c r="H79" s="1849"/>
      <c r="O79" s="84"/>
      <c r="P79" s="84"/>
    </row>
    <row r="80" spans="1:16" s="1233" customFormat="1">
      <c r="A80" s="2119"/>
      <c r="D80" s="1849"/>
      <c r="E80" s="1849"/>
      <c r="F80" s="1849"/>
      <c r="G80" s="1849"/>
      <c r="H80" s="1849"/>
      <c r="O80" s="84"/>
      <c r="P80" s="84"/>
    </row>
    <row r="81" spans="1:16" s="1233" customFormat="1">
      <c r="A81" s="2119"/>
      <c r="D81" s="1849"/>
      <c r="E81" s="1849"/>
      <c r="F81" s="1849"/>
      <c r="G81" s="1849"/>
      <c r="H81" s="1849"/>
      <c r="O81" s="84"/>
      <c r="P81" s="84"/>
    </row>
    <row r="82" spans="1:16" s="1233" customFormat="1">
      <c r="A82" s="2119"/>
      <c r="D82" s="1849"/>
      <c r="E82" s="1849"/>
      <c r="F82" s="1849"/>
      <c r="G82" s="1849"/>
      <c r="H82" s="1849"/>
      <c r="O82" s="84"/>
      <c r="P82" s="84"/>
    </row>
    <row r="83" spans="1:16" s="1233" customFormat="1">
      <c r="A83" s="2119"/>
      <c r="D83" s="1849"/>
      <c r="E83" s="1849"/>
      <c r="F83" s="1849"/>
      <c r="G83" s="1849"/>
      <c r="H83" s="1849"/>
      <c r="O83" s="84"/>
      <c r="P83" s="84"/>
    </row>
    <row r="84" spans="1:16" s="1233" customFormat="1">
      <c r="A84" s="2119"/>
      <c r="D84" s="1849"/>
      <c r="E84" s="1849"/>
      <c r="F84" s="1849"/>
      <c r="G84" s="1849"/>
      <c r="H84" s="1849"/>
      <c r="O84" s="84"/>
      <c r="P84" s="84"/>
    </row>
    <row r="85" spans="1:16" s="1233" customFormat="1">
      <c r="A85" s="2119"/>
      <c r="D85" s="1849"/>
      <c r="E85" s="1849"/>
      <c r="F85" s="1849"/>
      <c r="G85" s="1849"/>
      <c r="H85" s="1849"/>
      <c r="O85" s="84"/>
      <c r="P85" s="84"/>
    </row>
    <row r="86" spans="1:16" s="1233" customFormat="1">
      <c r="A86" s="2119"/>
      <c r="D86" s="1849"/>
      <c r="E86" s="1849"/>
      <c r="F86" s="1849"/>
      <c r="G86" s="1849"/>
      <c r="H86" s="1849"/>
      <c r="O86" s="84"/>
      <c r="P86" s="84"/>
    </row>
    <row r="87" spans="1:16" s="1233" customFormat="1">
      <c r="A87" s="2119"/>
      <c r="D87" s="1849"/>
      <c r="E87" s="1849"/>
      <c r="F87" s="1849"/>
      <c r="G87" s="1849"/>
      <c r="H87" s="1849"/>
      <c r="O87" s="84"/>
      <c r="P87" s="84"/>
    </row>
    <row r="88" spans="1:16" s="1233" customFormat="1">
      <c r="A88" s="2119"/>
      <c r="D88" s="1849"/>
      <c r="E88" s="1849"/>
      <c r="F88" s="1849"/>
      <c r="G88" s="1849"/>
      <c r="H88" s="1849"/>
      <c r="O88" s="84"/>
      <c r="P88" s="84"/>
    </row>
    <row r="89" spans="1:16" s="1233" customFormat="1">
      <c r="A89" s="2119"/>
      <c r="D89" s="1849"/>
      <c r="E89" s="1849"/>
      <c r="F89" s="1849"/>
      <c r="G89" s="1849"/>
      <c r="H89" s="1849"/>
      <c r="O89" s="84"/>
      <c r="P89" s="84"/>
    </row>
    <row r="90" spans="1:16" s="1233" customFormat="1">
      <c r="A90" s="2119"/>
      <c r="D90" s="1849"/>
      <c r="E90" s="1849"/>
      <c r="F90" s="1849"/>
      <c r="G90" s="1849"/>
      <c r="H90" s="1849"/>
      <c r="O90" s="84"/>
      <c r="P90" s="84"/>
    </row>
    <row r="91" spans="1:16" s="1233" customFormat="1">
      <c r="A91" s="2119"/>
      <c r="D91" s="1849"/>
      <c r="E91" s="1849"/>
      <c r="F91" s="1849"/>
      <c r="G91" s="1849"/>
      <c r="H91" s="1849"/>
      <c r="O91" s="84"/>
      <c r="P91" s="84"/>
    </row>
    <row r="92" spans="1:16" s="1233" customFormat="1">
      <c r="A92" s="2119"/>
      <c r="D92" s="1849"/>
      <c r="E92" s="1849"/>
      <c r="F92" s="1849"/>
      <c r="G92" s="1849"/>
      <c r="H92" s="1849"/>
      <c r="O92" s="84"/>
      <c r="P92" s="84"/>
    </row>
    <row r="93" spans="1:16" s="1233" customFormat="1">
      <c r="A93" s="2119"/>
      <c r="D93" s="1849"/>
      <c r="E93" s="1849"/>
      <c r="F93" s="1849"/>
      <c r="G93" s="1849"/>
      <c r="H93" s="1849"/>
      <c r="O93" s="84"/>
      <c r="P93" s="84"/>
    </row>
    <row r="94" spans="1:16" s="1233" customFormat="1">
      <c r="A94" s="2119"/>
      <c r="D94" s="1849"/>
      <c r="E94" s="1849"/>
      <c r="F94" s="1849"/>
      <c r="G94" s="1849"/>
      <c r="H94" s="1849"/>
      <c r="O94" s="84"/>
      <c r="P94" s="84"/>
    </row>
    <row r="95" spans="1:16" s="1233" customFormat="1">
      <c r="A95" s="2119"/>
      <c r="D95" s="1849"/>
      <c r="E95" s="1849"/>
      <c r="F95" s="1849"/>
      <c r="G95" s="1849"/>
      <c r="H95" s="1849"/>
      <c r="O95" s="84"/>
      <c r="P95" s="84"/>
    </row>
    <row r="96" spans="1:16" s="1233" customFormat="1">
      <c r="A96" s="2119"/>
      <c r="D96" s="1849"/>
      <c r="E96" s="1849"/>
      <c r="F96" s="1849"/>
      <c r="G96" s="1849"/>
      <c r="H96" s="1849"/>
      <c r="O96" s="84"/>
      <c r="P96" s="84"/>
    </row>
    <row r="97" spans="1:16" s="1233" customFormat="1">
      <c r="A97" s="2119"/>
      <c r="D97" s="1849"/>
      <c r="E97" s="1849"/>
      <c r="F97" s="1849"/>
      <c r="G97" s="1849"/>
      <c r="H97" s="1849"/>
      <c r="O97" s="84"/>
      <c r="P97" s="84"/>
    </row>
    <row r="98" spans="1:16" s="1233" customFormat="1">
      <c r="A98" s="2119"/>
      <c r="D98" s="1849"/>
      <c r="E98" s="1849"/>
      <c r="F98" s="1849"/>
      <c r="G98" s="1849"/>
      <c r="H98" s="1849"/>
      <c r="O98" s="84"/>
      <c r="P98" s="84"/>
    </row>
    <row r="99" spans="1:16" s="1233" customFormat="1">
      <c r="A99" s="2119"/>
      <c r="D99" s="1849"/>
      <c r="E99" s="1849"/>
      <c r="F99" s="1849"/>
      <c r="G99" s="1849"/>
      <c r="H99" s="1849"/>
      <c r="O99" s="84"/>
      <c r="P99" s="84"/>
    </row>
    <row r="100" spans="1:16" s="1233" customFormat="1">
      <c r="A100" s="2119"/>
      <c r="D100" s="1849"/>
      <c r="E100" s="1849"/>
      <c r="F100" s="1849"/>
      <c r="G100" s="1849"/>
      <c r="H100" s="1849"/>
      <c r="O100" s="84"/>
      <c r="P100" s="84"/>
    </row>
    <row r="101" spans="1:16" s="1233" customFormat="1">
      <c r="A101" s="2119"/>
      <c r="D101" s="1849"/>
      <c r="E101" s="1849"/>
      <c r="F101" s="1849"/>
      <c r="G101" s="1849"/>
      <c r="H101" s="1849"/>
      <c r="O101" s="84"/>
      <c r="P101" s="84"/>
    </row>
    <row r="102" spans="1:16" s="1233" customFormat="1">
      <c r="A102" s="2119"/>
      <c r="D102" s="1849"/>
      <c r="E102" s="1849"/>
      <c r="F102" s="1849"/>
      <c r="G102" s="1849"/>
      <c r="H102" s="1849"/>
      <c r="O102" s="84"/>
      <c r="P102" s="84"/>
    </row>
    <row r="103" spans="1:16" s="1233" customFormat="1">
      <c r="A103" s="2119"/>
      <c r="D103" s="1849"/>
      <c r="E103" s="1849"/>
      <c r="F103" s="1849"/>
      <c r="G103" s="1849"/>
      <c r="H103" s="1849"/>
      <c r="O103" s="84"/>
      <c r="P103" s="84"/>
    </row>
    <row r="104" spans="1:16" s="1233" customFormat="1">
      <c r="A104" s="2119"/>
      <c r="D104" s="1849"/>
      <c r="E104" s="1849"/>
      <c r="F104" s="1849"/>
      <c r="G104" s="1849"/>
      <c r="H104" s="1849"/>
      <c r="O104" s="84"/>
      <c r="P104" s="84"/>
    </row>
    <row r="105" spans="1:16" s="1233" customFormat="1">
      <c r="A105" s="2119"/>
      <c r="D105" s="1849"/>
      <c r="E105" s="1849"/>
      <c r="F105" s="1849"/>
      <c r="G105" s="1849"/>
      <c r="H105" s="1849"/>
      <c r="O105" s="84"/>
      <c r="P105" s="84"/>
    </row>
    <row r="106" spans="1:16" s="1233" customFormat="1">
      <c r="A106" s="2119"/>
      <c r="D106" s="1849"/>
      <c r="E106" s="1849"/>
      <c r="F106" s="1849"/>
      <c r="G106" s="1849"/>
      <c r="H106" s="1849"/>
      <c r="O106" s="84"/>
      <c r="P106" s="84"/>
    </row>
    <row r="107" spans="1:16" s="1233" customFormat="1">
      <c r="A107" s="2119"/>
      <c r="D107" s="1849"/>
      <c r="E107" s="1849"/>
      <c r="F107" s="1849"/>
      <c r="G107" s="1849"/>
      <c r="H107" s="1849"/>
      <c r="O107" s="84"/>
      <c r="P107" s="84"/>
    </row>
    <row r="108" spans="1:16" s="1233" customFormat="1">
      <c r="A108" s="2119"/>
      <c r="D108" s="1849"/>
      <c r="E108" s="1849"/>
      <c r="F108" s="1849"/>
      <c r="G108" s="1849"/>
      <c r="H108" s="1849"/>
      <c r="O108" s="84"/>
      <c r="P108" s="84"/>
    </row>
    <row r="109" spans="1:16" s="1233" customFormat="1">
      <c r="A109" s="2119"/>
      <c r="D109" s="1849"/>
      <c r="E109" s="1849"/>
      <c r="F109" s="1849"/>
      <c r="G109" s="1849"/>
      <c r="H109" s="1849"/>
      <c r="O109" s="84"/>
      <c r="P109" s="84"/>
    </row>
    <row r="110" spans="1:16" s="1233" customFormat="1">
      <c r="A110" s="2119"/>
      <c r="D110" s="1849"/>
      <c r="E110" s="1849"/>
      <c r="F110" s="1849"/>
      <c r="G110" s="1849"/>
      <c r="H110" s="1849"/>
      <c r="O110" s="84"/>
      <c r="P110" s="84"/>
    </row>
    <row r="111" spans="1:16" s="1233" customFormat="1">
      <c r="A111" s="2119"/>
      <c r="D111" s="1849"/>
      <c r="E111" s="1849"/>
      <c r="F111" s="1849"/>
      <c r="G111" s="1849"/>
      <c r="H111" s="1849"/>
      <c r="O111" s="84"/>
      <c r="P111" s="84"/>
    </row>
    <row r="112" spans="1:16" s="1233" customFormat="1">
      <c r="A112" s="2119"/>
      <c r="D112" s="1849"/>
      <c r="E112" s="1849"/>
      <c r="F112" s="1849"/>
      <c r="G112" s="1849"/>
      <c r="H112" s="1849"/>
      <c r="O112" s="84"/>
      <c r="P112" s="84"/>
    </row>
    <row r="113" spans="1:16" s="1233" customFormat="1">
      <c r="A113" s="2119"/>
      <c r="D113" s="1849"/>
      <c r="E113" s="1849"/>
      <c r="F113" s="1849"/>
      <c r="G113" s="1849"/>
      <c r="H113" s="1849"/>
      <c r="O113" s="84"/>
      <c r="P113" s="84"/>
    </row>
    <row r="114" spans="1:16" s="1233" customFormat="1">
      <c r="A114" s="2119"/>
      <c r="D114" s="1849"/>
      <c r="E114" s="1849"/>
      <c r="F114" s="1849"/>
      <c r="G114" s="1849"/>
      <c r="H114" s="1849"/>
      <c r="O114" s="84"/>
      <c r="P114" s="84"/>
    </row>
    <row r="115" spans="1:16" s="1233" customFormat="1">
      <c r="A115" s="2119"/>
      <c r="D115" s="1849"/>
      <c r="E115" s="1849"/>
      <c r="F115" s="1849"/>
      <c r="G115" s="1849"/>
      <c r="H115" s="1849"/>
      <c r="O115" s="84"/>
      <c r="P115" s="84"/>
    </row>
    <row r="116" spans="1:16" s="1233" customFormat="1">
      <c r="A116" s="2119"/>
      <c r="D116" s="1849"/>
      <c r="E116" s="1849"/>
      <c r="F116" s="1849"/>
      <c r="G116" s="1849"/>
      <c r="H116" s="1849"/>
      <c r="O116" s="84"/>
      <c r="P116" s="84"/>
    </row>
    <row r="117" spans="1:16" s="1233" customFormat="1">
      <c r="A117" s="2119"/>
      <c r="D117" s="1849"/>
      <c r="E117" s="1849"/>
      <c r="F117" s="1849"/>
      <c r="G117" s="1849"/>
      <c r="H117" s="1849"/>
      <c r="O117" s="84"/>
      <c r="P117" s="84"/>
    </row>
    <row r="118" spans="1:16" s="1233" customFormat="1">
      <c r="A118" s="2119"/>
      <c r="D118" s="1849"/>
      <c r="E118" s="1849"/>
      <c r="F118" s="1849"/>
      <c r="G118" s="1849"/>
      <c r="H118" s="1849"/>
      <c r="O118" s="84"/>
      <c r="P118" s="84"/>
    </row>
    <row r="119" spans="1:16" s="1233" customFormat="1">
      <c r="A119" s="2119"/>
      <c r="D119" s="1849"/>
      <c r="E119" s="1849"/>
      <c r="F119" s="1849"/>
      <c r="G119" s="1849"/>
      <c r="H119" s="1849"/>
      <c r="O119" s="84"/>
      <c r="P119" s="84"/>
    </row>
    <row r="120" spans="1:16" s="1233" customFormat="1">
      <c r="A120" s="2119"/>
      <c r="D120" s="1849"/>
      <c r="E120" s="1849"/>
      <c r="F120" s="1849"/>
      <c r="G120" s="1849"/>
      <c r="H120" s="1849"/>
      <c r="O120" s="84"/>
      <c r="P120" s="84"/>
    </row>
    <row r="121" spans="1:16" s="1233" customFormat="1">
      <c r="A121" s="2119"/>
      <c r="D121" s="1849"/>
      <c r="E121" s="1849"/>
      <c r="F121" s="1849"/>
      <c r="G121" s="1849"/>
      <c r="H121" s="1849"/>
      <c r="O121" s="84"/>
      <c r="P121" s="84"/>
    </row>
    <row r="122" spans="1:16" s="1233" customFormat="1">
      <c r="A122" s="2119"/>
      <c r="D122" s="1849"/>
      <c r="E122" s="1849"/>
      <c r="F122" s="1849"/>
      <c r="G122" s="1849"/>
      <c r="H122" s="1849"/>
      <c r="O122" s="84"/>
      <c r="P122" s="84"/>
    </row>
    <row r="123" spans="1:16" s="1233" customFormat="1">
      <c r="A123" s="2119"/>
      <c r="D123" s="1849"/>
      <c r="E123" s="1849"/>
      <c r="F123" s="1849"/>
      <c r="G123" s="1849"/>
      <c r="H123" s="1849"/>
      <c r="O123" s="84"/>
      <c r="P123" s="84"/>
    </row>
    <row r="124" spans="1:16" s="1233" customFormat="1">
      <c r="A124" s="2119"/>
      <c r="D124" s="1849"/>
      <c r="E124" s="1849"/>
      <c r="F124" s="1849"/>
      <c r="G124" s="1849"/>
      <c r="H124" s="1849"/>
      <c r="O124" s="84"/>
      <c r="P124" s="84"/>
    </row>
    <row r="125" spans="1:16" s="1233" customFormat="1">
      <c r="A125" s="2119"/>
      <c r="D125" s="1849"/>
      <c r="E125" s="1849"/>
      <c r="F125" s="1849"/>
      <c r="G125" s="1849"/>
      <c r="H125" s="1849"/>
      <c r="O125" s="84"/>
      <c r="P125" s="84"/>
    </row>
    <row r="126" spans="1:16" s="1233" customFormat="1">
      <c r="A126" s="2119"/>
      <c r="D126" s="1849"/>
      <c r="E126" s="1849"/>
      <c r="F126" s="1849"/>
      <c r="G126" s="1849"/>
      <c r="H126" s="1849"/>
      <c r="O126" s="84"/>
      <c r="P126" s="84"/>
    </row>
    <row r="127" spans="1:16" s="1233" customFormat="1">
      <c r="A127" s="2119"/>
      <c r="D127" s="1849"/>
      <c r="E127" s="1849"/>
      <c r="F127" s="1849"/>
      <c r="G127" s="1849"/>
      <c r="H127" s="1849"/>
      <c r="O127" s="84"/>
      <c r="P127" s="84"/>
    </row>
    <row r="128" spans="1:16" s="1233" customFormat="1">
      <c r="A128" s="2119"/>
      <c r="D128" s="1849"/>
      <c r="E128" s="1849"/>
      <c r="F128" s="1849"/>
      <c r="G128" s="1849"/>
      <c r="H128" s="1849"/>
      <c r="O128" s="84"/>
      <c r="P128" s="84"/>
    </row>
    <row r="129" spans="1:16" s="1233" customFormat="1">
      <c r="A129" s="2119"/>
      <c r="D129" s="1849"/>
      <c r="E129" s="1849"/>
      <c r="F129" s="1849"/>
      <c r="G129" s="1849"/>
      <c r="H129" s="1849"/>
      <c r="O129" s="84"/>
      <c r="P129" s="84"/>
    </row>
    <row r="130" spans="1:16" s="1233" customFormat="1">
      <c r="A130" s="2119"/>
      <c r="D130" s="1849"/>
      <c r="E130" s="1849"/>
      <c r="F130" s="1849"/>
      <c r="G130" s="1849"/>
      <c r="H130" s="1849"/>
      <c r="O130" s="84"/>
      <c r="P130" s="84"/>
    </row>
    <row r="131" spans="1:16" s="1233" customFormat="1">
      <c r="A131" s="2119"/>
      <c r="D131" s="1849"/>
      <c r="E131" s="1849"/>
      <c r="F131" s="1849"/>
      <c r="G131" s="1849"/>
      <c r="H131" s="1849"/>
      <c r="O131" s="84"/>
      <c r="P131" s="84"/>
    </row>
    <row r="132" spans="1:16" s="1233" customFormat="1">
      <c r="A132" s="2119"/>
      <c r="D132" s="1849"/>
      <c r="E132" s="1849"/>
      <c r="F132" s="1849"/>
      <c r="G132" s="1849"/>
      <c r="H132" s="1849"/>
      <c r="O132" s="84"/>
      <c r="P132" s="84"/>
    </row>
    <row r="133" spans="1:16" s="1233" customFormat="1">
      <c r="A133" s="2119"/>
      <c r="D133" s="1849"/>
      <c r="E133" s="1849"/>
      <c r="F133" s="1849"/>
      <c r="G133" s="1849"/>
      <c r="H133" s="1849"/>
      <c r="O133" s="84"/>
      <c r="P133" s="84"/>
    </row>
    <row r="134" spans="1:16" s="1233" customFormat="1">
      <c r="A134" s="2119"/>
      <c r="D134" s="1849"/>
      <c r="E134" s="1849"/>
      <c r="F134" s="1849"/>
      <c r="G134" s="1849"/>
      <c r="H134" s="1849"/>
      <c r="O134" s="84"/>
      <c r="P134" s="84"/>
    </row>
    <row r="135" spans="1:16" s="1233" customFormat="1">
      <c r="A135" s="2119"/>
      <c r="D135" s="1849"/>
      <c r="E135" s="1849"/>
      <c r="F135" s="1849"/>
      <c r="G135" s="1849"/>
      <c r="H135" s="1849"/>
      <c r="O135" s="84"/>
      <c r="P135" s="84"/>
    </row>
    <row r="136" spans="1:16" s="1233" customFormat="1">
      <c r="A136" s="2119"/>
      <c r="D136" s="1849"/>
      <c r="E136" s="1849"/>
      <c r="F136" s="1849"/>
      <c r="G136" s="1849"/>
      <c r="H136" s="1849"/>
      <c r="O136" s="84"/>
      <c r="P136" s="84"/>
    </row>
    <row r="137" spans="1:16" s="1233" customFormat="1">
      <c r="A137" s="2119"/>
      <c r="D137" s="1849"/>
      <c r="E137" s="1849"/>
      <c r="F137" s="1849"/>
      <c r="G137" s="1849"/>
      <c r="H137" s="1849"/>
      <c r="O137" s="84"/>
      <c r="P137" s="84"/>
    </row>
    <row r="138" spans="1:16" s="1233" customFormat="1">
      <c r="A138" s="2119"/>
      <c r="D138" s="1849"/>
      <c r="E138" s="1849"/>
      <c r="F138" s="1849"/>
      <c r="G138" s="1849"/>
      <c r="H138" s="1849"/>
      <c r="O138" s="84"/>
      <c r="P138" s="84"/>
    </row>
    <row r="139" spans="1:16" s="1233" customFormat="1">
      <c r="A139" s="2119"/>
      <c r="D139" s="1849"/>
      <c r="E139" s="1849"/>
      <c r="F139" s="1849"/>
      <c r="G139" s="1849"/>
      <c r="H139" s="1849"/>
      <c r="O139" s="84"/>
      <c r="P139" s="84"/>
    </row>
    <row r="140" spans="1:16" s="1233" customFormat="1">
      <c r="A140" s="2119"/>
      <c r="D140" s="1849"/>
      <c r="E140" s="1849"/>
      <c r="F140" s="1849"/>
      <c r="G140" s="1849"/>
      <c r="H140" s="1849"/>
      <c r="O140" s="84"/>
      <c r="P140" s="84"/>
    </row>
    <row r="141" spans="1:16" s="1233" customFormat="1">
      <c r="A141" s="2119"/>
      <c r="D141" s="1849"/>
      <c r="E141" s="1849"/>
      <c r="F141" s="1849"/>
      <c r="G141" s="1849"/>
      <c r="H141" s="1849"/>
      <c r="O141" s="84"/>
      <c r="P141" s="84"/>
    </row>
    <row r="142" spans="1:16" s="1233" customFormat="1">
      <c r="A142" s="2119"/>
      <c r="D142" s="1849"/>
      <c r="E142" s="1849"/>
      <c r="F142" s="1849"/>
      <c r="G142" s="1849"/>
      <c r="H142" s="1849"/>
      <c r="O142" s="84"/>
      <c r="P142" s="84"/>
    </row>
    <row r="143" spans="1:16" s="1233" customFormat="1">
      <c r="A143" s="2119"/>
      <c r="D143" s="1849"/>
      <c r="E143" s="1849"/>
      <c r="F143" s="1849"/>
      <c r="G143" s="1849"/>
      <c r="H143" s="1849"/>
      <c r="O143" s="84"/>
      <c r="P143" s="84"/>
    </row>
    <row r="144" spans="1:16" s="1233" customFormat="1">
      <c r="A144" s="2119"/>
      <c r="D144" s="1849"/>
      <c r="E144" s="1849"/>
      <c r="F144" s="1849"/>
      <c r="G144" s="1849"/>
      <c r="H144" s="1849"/>
      <c r="O144" s="84"/>
      <c r="P144" s="84"/>
    </row>
    <row r="145" spans="1:16" s="1233" customFormat="1">
      <c r="A145" s="2119"/>
      <c r="D145" s="1849"/>
      <c r="E145" s="1849"/>
      <c r="F145" s="1849"/>
      <c r="G145" s="1849"/>
      <c r="H145" s="1849"/>
      <c r="O145" s="84"/>
      <c r="P145" s="84"/>
    </row>
    <row r="146" spans="1:16" s="1233" customFormat="1">
      <c r="A146" s="2119"/>
      <c r="D146" s="1849"/>
      <c r="E146" s="1849"/>
      <c r="F146" s="1849"/>
      <c r="G146" s="1849"/>
      <c r="H146" s="1849"/>
      <c r="O146" s="84"/>
      <c r="P146" s="84"/>
    </row>
    <row r="147" spans="1:16" s="1233" customFormat="1">
      <c r="A147" s="2119"/>
      <c r="D147" s="1849"/>
      <c r="E147" s="1849"/>
      <c r="F147" s="1849"/>
      <c r="G147" s="1849"/>
      <c r="H147" s="1849"/>
      <c r="O147" s="84"/>
      <c r="P147" s="84"/>
    </row>
    <row r="148" spans="1:16" s="1233" customFormat="1">
      <c r="A148" s="2119"/>
      <c r="D148" s="1849"/>
      <c r="E148" s="1849"/>
      <c r="F148" s="1849"/>
      <c r="G148" s="1849"/>
      <c r="H148" s="1849"/>
      <c r="O148" s="84"/>
      <c r="P148" s="84"/>
    </row>
    <row r="149" spans="1:16" s="1233" customFormat="1">
      <c r="A149" s="2119"/>
      <c r="D149" s="1849"/>
      <c r="E149" s="1849"/>
      <c r="F149" s="1849"/>
      <c r="G149" s="1849"/>
      <c r="H149" s="1849"/>
      <c r="O149" s="84"/>
      <c r="P149" s="84"/>
    </row>
    <row r="150" spans="1:16" s="1233" customFormat="1">
      <c r="A150" s="2119"/>
      <c r="D150" s="1849"/>
      <c r="E150" s="1849"/>
      <c r="F150" s="1849"/>
      <c r="G150" s="1849"/>
      <c r="H150" s="1849"/>
      <c r="O150" s="84"/>
      <c r="P150" s="84"/>
    </row>
    <row r="151" spans="1:16" s="1233" customFormat="1">
      <c r="A151" s="2119"/>
      <c r="D151" s="1849"/>
      <c r="E151" s="1849"/>
      <c r="F151" s="1849"/>
      <c r="G151" s="1849"/>
      <c r="H151" s="1849"/>
      <c r="O151" s="84"/>
      <c r="P151" s="84"/>
    </row>
    <row r="152" spans="1:16" s="1233" customFormat="1">
      <c r="A152" s="2119"/>
      <c r="D152" s="1849"/>
      <c r="E152" s="1849"/>
      <c r="F152" s="1849"/>
      <c r="G152" s="1849"/>
      <c r="H152" s="1849"/>
      <c r="O152" s="84"/>
      <c r="P152" s="84"/>
    </row>
    <row r="153" spans="1:16" s="1233" customFormat="1">
      <c r="A153" s="2120"/>
      <c r="B153" s="2066"/>
      <c r="D153" s="1849"/>
      <c r="E153" s="1849"/>
      <c r="F153" s="1849"/>
      <c r="G153" s="1849"/>
      <c r="H153" s="1849"/>
      <c r="O153" s="84"/>
      <c r="P153" s="84"/>
    </row>
    <row r="154" spans="1:16" s="1233"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42" t="s">
        <v>1727</v>
      </c>
      <c r="B1" s="2843"/>
      <c r="C1" s="2843"/>
      <c r="D1" s="2843"/>
      <c r="E1" s="2843"/>
      <c r="F1" s="2843"/>
      <c r="G1" s="2843"/>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1728</v>
      </c>
      <c r="D2" s="2131"/>
      <c r="E2" s="2132"/>
      <c r="F2" s="2133"/>
      <c r="G2" s="2130" t="s">
        <v>1729</v>
      </c>
      <c r="H2" s="2134"/>
      <c r="I2" s="2134"/>
      <c r="J2" s="2134"/>
      <c r="K2" s="2134"/>
      <c r="L2" s="2134"/>
      <c r="M2" s="2134"/>
      <c r="N2" s="2134"/>
      <c r="O2" s="2134"/>
      <c r="P2" s="2134"/>
      <c r="Q2" s="2134"/>
      <c r="R2" s="2134"/>
    </row>
    <row r="3" spans="1:29" ht="54">
      <c r="A3" s="395" t="s">
        <v>1730</v>
      </c>
      <c r="B3" s="2136" t="s">
        <v>1731</v>
      </c>
      <c r="C3" s="2137" t="s">
        <v>1732</v>
      </c>
      <c r="D3" s="2138"/>
      <c r="E3" s="411" t="s">
        <v>1730</v>
      </c>
      <c r="F3" s="2139" t="s">
        <v>1733</v>
      </c>
      <c r="G3" s="2140" t="s">
        <v>1734</v>
      </c>
      <c r="H3" s="2134"/>
      <c r="I3" s="2134"/>
      <c r="J3" s="2134"/>
      <c r="K3" s="2134"/>
      <c r="L3" s="2134"/>
      <c r="M3" s="2134"/>
      <c r="N3" s="2134"/>
      <c r="O3" s="2134"/>
      <c r="P3" s="2134"/>
      <c r="Q3" s="2134"/>
      <c r="R3" s="2134"/>
    </row>
    <row r="4" spans="1:29" ht="41.25">
      <c r="A4" s="411"/>
      <c r="B4" s="1882" t="s">
        <v>1735</v>
      </c>
      <c r="C4" s="2141" t="s">
        <v>1736</v>
      </c>
      <c r="D4" s="2138"/>
      <c r="E4" s="2142"/>
      <c r="F4" s="2143" t="s">
        <v>1737</v>
      </c>
      <c r="G4" s="2144" t="s">
        <v>1738</v>
      </c>
      <c r="H4" s="2134"/>
      <c r="I4" s="2134"/>
      <c r="J4" s="2134"/>
      <c r="K4" s="2134"/>
      <c r="L4" s="2134"/>
      <c r="M4" s="2134"/>
      <c r="N4" s="2134"/>
      <c r="O4" s="2134"/>
      <c r="P4" s="2134"/>
      <c r="Q4" s="2134"/>
      <c r="R4" s="2134"/>
    </row>
    <row r="5" spans="1:29" ht="41.25">
      <c r="A5" s="411"/>
      <c r="B5" s="1882" t="s">
        <v>1739</v>
      </c>
      <c r="C5" s="2141" t="s">
        <v>1740</v>
      </c>
      <c r="D5" s="2138"/>
      <c r="E5" s="2142"/>
      <c r="F5" s="1882" t="s">
        <v>1741</v>
      </c>
      <c r="G5" s="2144" t="s">
        <v>1742</v>
      </c>
      <c r="H5" s="2134"/>
      <c r="I5" s="2134"/>
      <c r="J5" s="2134"/>
      <c r="K5" s="2134"/>
      <c r="L5" s="2134"/>
      <c r="M5" s="2134"/>
      <c r="N5" s="2134"/>
      <c r="O5" s="2134"/>
      <c r="P5" s="2134"/>
      <c r="Q5" s="2134"/>
      <c r="R5" s="2134"/>
    </row>
    <row r="6" spans="1:29" ht="54">
      <c r="A6" s="411"/>
      <c r="B6" s="1882" t="s">
        <v>1743</v>
      </c>
      <c r="C6" s="2144" t="s">
        <v>1738</v>
      </c>
      <c r="D6" s="2138"/>
      <c r="E6" s="2142"/>
      <c r="F6" s="1882" t="s">
        <v>1744</v>
      </c>
      <c r="G6" s="2144" t="s">
        <v>1745</v>
      </c>
      <c r="H6" s="2134"/>
      <c r="I6" s="2134"/>
      <c r="J6" s="2134"/>
      <c r="K6" s="2134"/>
      <c r="L6" s="2134"/>
      <c r="M6" s="2134"/>
      <c r="N6" s="2134"/>
      <c r="O6" s="2134"/>
      <c r="P6" s="2134"/>
      <c r="Q6" s="2134"/>
      <c r="R6" s="2134"/>
    </row>
    <row r="7" spans="1:29" ht="41.25" thickBot="1">
      <c r="A7" s="411"/>
      <c r="B7" s="1882" t="s">
        <v>1741</v>
      </c>
      <c r="C7" s="2144" t="s">
        <v>1742</v>
      </c>
      <c r="D7" s="2145"/>
      <c r="E7" s="2146"/>
      <c r="F7" s="2147" t="s">
        <v>1746</v>
      </c>
      <c r="G7" s="2148" t="s">
        <v>1747</v>
      </c>
      <c r="H7" s="2134"/>
      <c r="I7" s="2134"/>
      <c r="J7" s="2134"/>
      <c r="K7" s="2134"/>
      <c r="L7" s="2134"/>
      <c r="M7" s="2134"/>
      <c r="N7" s="2134"/>
      <c r="O7" s="2134"/>
      <c r="P7" s="2134"/>
      <c r="Q7" s="2134"/>
      <c r="R7" s="2134"/>
    </row>
    <row r="8" spans="1:29" ht="27">
      <c r="A8" s="411"/>
      <c r="B8" s="1882" t="s">
        <v>1744</v>
      </c>
      <c r="C8" s="2144" t="s">
        <v>1745</v>
      </c>
      <c r="D8" s="2145"/>
      <c r="E8" s="2145"/>
      <c r="F8" s="1242"/>
      <c r="G8" s="1242"/>
      <c r="H8" s="2134"/>
      <c r="I8" s="2134"/>
      <c r="J8" s="2134"/>
      <c r="K8" s="2134"/>
      <c r="L8" s="2134"/>
      <c r="M8" s="2134"/>
      <c r="N8" s="2134"/>
      <c r="O8" s="2134"/>
      <c r="P8" s="2134"/>
      <c r="Q8" s="2134"/>
      <c r="R8" s="2134"/>
    </row>
    <row r="9" spans="1:29" ht="27">
      <c r="A9" s="411"/>
      <c r="B9" s="1882" t="s">
        <v>1748</v>
      </c>
      <c r="C9" s="2141" t="s">
        <v>1749</v>
      </c>
      <c r="D9" s="2138"/>
      <c r="E9" s="2145"/>
      <c r="F9" s="1242"/>
      <c r="G9" s="1242"/>
      <c r="H9" s="2134"/>
      <c r="I9" s="2134"/>
      <c r="J9" s="2134"/>
      <c r="K9" s="2134"/>
      <c r="L9" s="2134"/>
      <c r="M9" s="2134"/>
      <c r="N9" s="2134"/>
      <c r="O9" s="2134"/>
      <c r="P9" s="2134"/>
      <c r="Q9" s="2134"/>
      <c r="R9" s="2134"/>
    </row>
    <row r="10" spans="1:29" s="35" customFormat="1" ht="15.75" thickBot="1">
      <c r="A10" s="2149"/>
      <c r="B10" s="2150" t="s">
        <v>1750</v>
      </c>
      <c r="C10" s="2151"/>
      <c r="D10" s="2138"/>
      <c r="E10" s="2138"/>
      <c r="F10" s="1242"/>
      <c r="G10" s="1242"/>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2"/>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2"/>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1751</v>
      </c>
      <c r="B13" s="2156"/>
      <c r="C13" s="2156"/>
      <c r="D13" s="2131"/>
      <c r="E13" s="2156"/>
      <c r="F13" s="2156"/>
      <c r="G13" s="2156"/>
    </row>
    <row r="14" spans="1:29" ht="15.75" thickBot="1">
      <c r="A14" s="2166"/>
      <c r="B14" s="2167"/>
      <c r="C14" s="2168" t="s">
        <v>1752</v>
      </c>
      <c r="D14" s="2138"/>
      <c r="E14" s="2169"/>
      <c r="F14" s="2169"/>
      <c r="G14" s="2130" t="s">
        <v>1753</v>
      </c>
    </row>
    <row r="15" spans="1:29" ht="57">
      <c r="A15" s="25" t="s">
        <v>1754</v>
      </c>
      <c r="B15" s="2170" t="s">
        <v>1731</v>
      </c>
      <c r="C15" s="2171" t="str">
        <f>C3</f>
        <v>估价对象周边居住用地比例、居住小区规模和社区发展完善程度，综合评价居住社区成熟度一般</v>
      </c>
      <c r="D15" s="2138"/>
      <c r="E15" s="2172" t="s">
        <v>1755</v>
      </c>
      <c r="F15" s="2170" t="s">
        <v>1756</v>
      </c>
      <c r="G15" s="51" t="str">
        <f>G3</f>
        <v>估价对象位于XX开发区，园区建设成熟度XX，产业集聚程度XX</v>
      </c>
    </row>
    <row r="16" spans="1:29" ht="42.75">
      <c r="A16" s="629"/>
      <c r="B16" s="1489" t="s">
        <v>1735</v>
      </c>
      <c r="C16" s="2173" t="str">
        <f>C4</f>
        <v>估价对象位于XX商圈，周边商业氛围成熟，人流量大，商业繁华度好</v>
      </c>
      <c r="D16" s="2138"/>
      <c r="E16" s="2174"/>
      <c r="F16" s="2175" t="s">
        <v>1737</v>
      </c>
      <c r="G16" s="52" t="str">
        <f>G4</f>
        <v>估价对象周边道路状况、公共交通通达情况、停车便捷程度，综合评价交通便捷度较好</v>
      </c>
    </row>
    <row r="17" spans="1:18" ht="42.75">
      <c r="A17" s="629"/>
      <c r="B17" s="1489" t="s">
        <v>1739</v>
      </c>
      <c r="C17" s="2173" t="str">
        <f>C5</f>
        <v>估价对象位于XX商圈，周边办公楼项目较多，入驻率高，办公集聚程度较好</v>
      </c>
      <c r="D17" s="2145"/>
      <c r="E17" s="2174"/>
      <c r="F17" s="2175" t="s">
        <v>1757</v>
      </c>
      <c r="G17" s="2176"/>
    </row>
    <row r="18" spans="1:18" ht="57">
      <c r="A18" s="629"/>
      <c r="B18" s="2175" t="s">
        <v>1743</v>
      </c>
      <c r="C18" s="52" t="str">
        <f>C6</f>
        <v>估价对象周边道路状况、公共交通通达情况、停车便捷程度，综合评价交通便捷度较好</v>
      </c>
      <c r="D18" s="2145"/>
      <c r="E18" s="2174"/>
      <c r="F18" s="2175" t="s">
        <v>1746</v>
      </c>
      <c r="G18" s="52" t="str">
        <f>G7</f>
        <v>该园区内是否有污染型企业，绿化情况，卫生条件，整体环境状况判断</v>
      </c>
    </row>
    <row r="19" spans="1:18" ht="28.5">
      <c r="A19" s="629"/>
      <c r="B19" s="2175" t="s">
        <v>1758</v>
      </c>
      <c r="C19" s="2176"/>
      <c r="D19" s="2138"/>
      <c r="E19" s="2174"/>
      <c r="F19" s="1882" t="s">
        <v>1741</v>
      </c>
      <c r="G19" s="52" t="str">
        <f>G5</f>
        <v>估价对象所在区域公共配套设施齐备情况</v>
      </c>
    </row>
    <row r="20" spans="1:18" ht="28.5">
      <c r="A20" s="629"/>
      <c r="B20" s="2175" t="s">
        <v>1759</v>
      </c>
      <c r="C20" s="2173" t="str">
        <f>C9</f>
        <v>区域自然环境：；人文环境；综合评价环境状况一般</v>
      </c>
      <c r="D20" s="2145"/>
      <c r="E20" s="2174"/>
      <c r="F20" s="1882" t="s">
        <v>1760</v>
      </c>
      <c r="G20" s="52" t="str">
        <f>G6</f>
        <v>估价对象所在区域基础设施水平</v>
      </c>
    </row>
    <row r="21" spans="1:18" ht="28.5">
      <c r="A21" s="629"/>
      <c r="B21" s="1882" t="s">
        <v>1741</v>
      </c>
      <c r="C21" s="52" t="str">
        <f>C7</f>
        <v>估价对象所在区域公共配套设施齐备情况</v>
      </c>
      <c r="D21" s="2138"/>
      <c r="E21" s="2174"/>
      <c r="F21" s="2175" t="s">
        <v>1761</v>
      </c>
      <c r="G21" s="2177"/>
    </row>
    <row r="22" spans="1:18" ht="28.5">
      <c r="A22" s="629"/>
      <c r="B22" s="1882" t="s">
        <v>1744</v>
      </c>
      <c r="C22" s="52" t="str">
        <f>C8</f>
        <v>估价对象所在区域基础设施水平</v>
      </c>
      <c r="D22" s="2138"/>
      <c r="E22" s="2174"/>
      <c r="F22" s="2175" t="s">
        <v>1750</v>
      </c>
      <c r="G22" s="2178"/>
    </row>
    <row r="23" spans="1:18" s="2134" customFormat="1" ht="15.75" thickBot="1">
      <c r="A23" s="629"/>
      <c r="B23" s="2175" t="s">
        <v>1761</v>
      </c>
      <c r="C23" s="2177"/>
      <c r="D23" s="2163"/>
      <c r="E23" s="2179"/>
      <c r="F23" s="2180" t="s">
        <v>1762</v>
      </c>
      <c r="G23" s="2181"/>
      <c r="H23" s="2163"/>
      <c r="I23" s="2164"/>
      <c r="J23" s="2163"/>
      <c r="K23" s="2163"/>
      <c r="L23" s="2164"/>
      <c r="M23" s="2163"/>
      <c r="N23" s="2163"/>
      <c r="O23" s="2164"/>
      <c r="P23" s="2163"/>
      <c r="Q23" s="2163"/>
      <c r="R23" s="2165"/>
    </row>
    <row r="24" spans="1:18" s="2134" customFormat="1" ht="15.75" thickBot="1">
      <c r="A24" s="2182"/>
      <c r="B24" s="2180" t="s">
        <v>1763</v>
      </c>
      <c r="C24" s="53">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26" t="s">
        <v>1219</v>
      </c>
      <c r="B1" s="1826">
        <f>SUM(B14:B23)</f>
        <v>3600.5</v>
      </c>
      <c r="C1" s="1827"/>
      <c r="D1" s="1827"/>
      <c r="E1" s="1827"/>
      <c r="F1" s="1827"/>
      <c r="G1" s="1831"/>
    </row>
    <row r="2" spans="1:9" ht="16.5">
      <c r="A2" s="1826" t="s">
        <v>1220</v>
      </c>
      <c r="B2" s="1826">
        <f>SUM(C14:C23)</f>
        <v>1441.8</v>
      </c>
      <c r="C2" s="1827"/>
      <c r="D2" s="1827"/>
      <c r="E2" s="1827"/>
      <c r="F2" s="1827"/>
      <c r="G2" s="1831"/>
    </row>
    <row r="3" spans="1:9" ht="16.5">
      <c r="A3" s="1826" t="s">
        <v>1221</v>
      </c>
      <c r="B3" s="1829">
        <f>项目基本情况!D2</f>
        <v>43965</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10640.557699999999</v>
      </c>
      <c r="C5" s="1826">
        <f ca="1">ROUND(B5*10000/$B$1,0)</f>
        <v>29553</v>
      </c>
      <c r="D5" s="1826">
        <f ca="1">ROUND(B5*10000/$B$2,0)</f>
        <v>73801</v>
      </c>
      <c r="E5" s="1827"/>
      <c r="F5" s="1831"/>
      <c r="G5" s="1831"/>
    </row>
    <row r="6" spans="1:9" ht="16.5">
      <c r="A6" s="1826" t="s">
        <v>1227</v>
      </c>
      <c r="B6" s="1826">
        <f ca="1">SUM(G14:G23)</f>
        <v>10640.557699999999</v>
      </c>
      <c r="C6" s="1826">
        <f t="shared" ref="C6:C8" ca="1" si="0">ROUND(B6*10000/$B$1,0)</f>
        <v>29553</v>
      </c>
      <c r="D6" s="1826">
        <f t="shared" ref="D6:D8" ca="1" si="1">ROUND(B6*10000/$B$2,0)</f>
        <v>73801</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2867</v>
      </c>
      <c r="B14" s="1830">
        <f>项目基本情况!C12</f>
        <v>3600.5</v>
      </c>
      <c r="C14" s="1830">
        <f>项目基本情况!C13</f>
        <v>1441.8</v>
      </c>
      <c r="D14" s="1830">
        <f ca="1">IF('数据-取费表'!B3="万元",IF(A14="估价对象1（结果表）",结果表!H121,'结果表 (1修多)'!H124),IF(A14="估价对象1（结果表）",结果表!H121,'结果表 (1修多)'!H124)/10000)</f>
        <v>10640.557699999999</v>
      </c>
      <c r="E14" s="1830">
        <f ca="1">ROUND(D14*10000/B14,0)</f>
        <v>29553</v>
      </c>
      <c r="F14" s="1830">
        <f ca="1">ROUND(D14*10000/C14,0)</f>
        <v>73801</v>
      </c>
      <c r="G14" s="1830">
        <f ca="1">IF('数据-取费表'!B3="万元",IF(A14="估价对象1（结果表）",结果表!D125,'结果表 (1修多)'!D128),IF(A14="估价对象1（结果表）",结果表!D125,'结果表 (1修多)'!D128)/10000)</f>
        <v>10640.557699999999</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31" sqref="D31"/>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1764</v>
      </c>
      <c r="B1" s="2189"/>
      <c r="C1" s="2189"/>
      <c r="D1" s="2189"/>
      <c r="E1" s="2189"/>
      <c r="F1" s="2189"/>
      <c r="G1" s="2189"/>
      <c r="H1" s="2189"/>
      <c r="I1" s="2189"/>
    </row>
    <row r="2" spans="1:12" ht="21.75" customHeight="1">
      <c r="A2" s="2908" t="str">
        <f>项目基本情况!B1</f>
        <v>北京市北京市通州区枫露苑一区甲1号楼1至4层甲1号楼房地产抵押价值预评估</v>
      </c>
      <c r="B2" s="2908"/>
      <c r="C2" s="2908"/>
      <c r="D2" s="2908"/>
      <c r="E2" s="2908"/>
      <c r="F2" s="2908"/>
      <c r="G2" s="2908"/>
      <c r="H2" s="2908"/>
      <c r="I2" s="2908"/>
    </row>
    <row r="3" spans="1:12" ht="12.75">
      <c r="A3" s="2911" t="s">
        <v>1765</v>
      </c>
      <c r="B3" s="2912"/>
      <c r="C3" s="2912"/>
      <c r="D3" s="2912"/>
      <c r="E3" s="2912"/>
      <c r="F3" s="2912"/>
      <c r="G3" s="2912"/>
      <c r="H3" s="2912"/>
      <c r="I3" s="2912"/>
    </row>
    <row r="4" spans="1:12" ht="14.25">
      <c r="A4" s="2191" t="s">
        <v>1766</v>
      </c>
      <c r="B4" s="2192" t="s">
        <v>1767</v>
      </c>
      <c r="C4" s="2193" t="s">
        <v>2847</v>
      </c>
      <c r="D4" s="2193" t="s">
        <v>2837</v>
      </c>
      <c r="E4" s="2892" t="s">
        <v>1768</v>
      </c>
      <c r="F4" s="2893"/>
      <c r="G4" s="2893"/>
      <c r="H4" s="2893"/>
      <c r="I4" s="2903"/>
      <c r="K4" s="1841" t="str">
        <f>IF(ISNUMBER(FIND("比较法",结果表!C4)),"比较法",IF(ISNUMBER(FIND("成本法",结果表!C4)),"成本法",IF(ISNUMBER(FIND("假设开发法",结果表!C4)),"假设开发法",IF(ISNUMBER(FIND("收益法",结果表!C4)),"收益法","基准地价系数修正法"))))</f>
        <v>成本法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85" t="s">
        <v>1769</v>
      </c>
      <c r="B5" s="2847">
        <v>25</v>
      </c>
      <c r="C5" s="2896">
        <v>3</v>
      </c>
      <c r="D5" s="2910">
        <f>10-C5</f>
        <v>7</v>
      </c>
      <c r="E5" s="56" t="s">
        <v>1770</v>
      </c>
      <c r="F5" s="2194"/>
      <c r="G5" s="2194"/>
      <c r="H5" s="2194"/>
      <c r="I5" s="2195"/>
    </row>
    <row r="6" spans="1:12" ht="12.75">
      <c r="A6" s="2885"/>
      <c r="B6" s="2847"/>
      <c r="C6" s="2913"/>
      <c r="D6" s="2910"/>
      <c r="E6" s="56" t="s">
        <v>1771</v>
      </c>
      <c r="F6" s="2194"/>
      <c r="G6" s="2194"/>
      <c r="H6" s="2194"/>
      <c r="I6" s="2195"/>
    </row>
    <row r="7" spans="1:12" ht="12.75">
      <c r="A7" s="2885"/>
      <c r="B7" s="2847"/>
      <c r="C7" s="2897"/>
      <c r="D7" s="2910"/>
      <c r="E7" s="56" t="s">
        <v>1772</v>
      </c>
      <c r="F7" s="2194"/>
      <c r="G7" s="2194"/>
      <c r="H7" s="2194"/>
      <c r="I7" s="2195"/>
    </row>
    <row r="8" spans="1:12" ht="12.75">
      <c r="A8" s="2885" t="s">
        <v>1773</v>
      </c>
      <c r="B8" s="2847">
        <v>15</v>
      </c>
      <c r="C8" s="2896"/>
      <c r="D8" s="2910"/>
      <c r="E8" s="56" t="s">
        <v>1774</v>
      </c>
      <c r="F8" s="2194"/>
      <c r="G8" s="2194"/>
      <c r="H8" s="2194"/>
      <c r="I8" s="2195"/>
    </row>
    <row r="9" spans="1:12" ht="12.75">
      <c r="A9" s="2885"/>
      <c r="B9" s="2847"/>
      <c r="C9" s="2897"/>
      <c r="D9" s="2910"/>
      <c r="E9" s="56" t="s">
        <v>1775</v>
      </c>
      <c r="F9" s="2194"/>
      <c r="G9" s="2194"/>
      <c r="H9" s="2194"/>
      <c r="I9" s="2195"/>
    </row>
    <row r="10" spans="1:12" ht="12.75">
      <c r="A10" s="2885" t="s">
        <v>1776</v>
      </c>
      <c r="B10" s="2847">
        <v>15</v>
      </c>
      <c r="C10" s="2896"/>
      <c r="D10" s="2910"/>
      <c r="E10" s="56" t="s">
        <v>1777</v>
      </c>
      <c r="F10" s="2194"/>
      <c r="G10" s="2194"/>
      <c r="H10" s="2194"/>
      <c r="I10" s="2195"/>
    </row>
    <row r="11" spans="1:12" ht="12.75">
      <c r="A11" s="2885"/>
      <c r="B11" s="2847"/>
      <c r="C11" s="2897"/>
      <c r="D11" s="2910"/>
      <c r="E11" s="56" t="s">
        <v>1778</v>
      </c>
      <c r="F11" s="2194"/>
      <c r="G11" s="2194"/>
      <c r="H11" s="2194"/>
      <c r="I11" s="2195"/>
    </row>
    <row r="12" spans="1:12" ht="12.75">
      <c r="A12" s="2885" t="s">
        <v>1779</v>
      </c>
      <c r="B12" s="2847">
        <v>15</v>
      </c>
      <c r="C12" s="2896"/>
      <c r="D12" s="2910"/>
      <c r="E12" s="56" t="s">
        <v>1780</v>
      </c>
      <c r="F12" s="2194"/>
      <c r="G12" s="2194"/>
      <c r="H12" s="2194"/>
      <c r="I12" s="2195"/>
    </row>
    <row r="13" spans="1:12" ht="12.75">
      <c r="A13" s="2885"/>
      <c r="B13" s="2847"/>
      <c r="C13" s="2897"/>
      <c r="D13" s="2910"/>
      <c r="E13" s="56" t="s">
        <v>1781</v>
      </c>
      <c r="F13" s="2194"/>
      <c r="G13" s="2194"/>
      <c r="H13" s="2194"/>
      <c r="I13" s="2195"/>
    </row>
    <row r="14" spans="1:12" ht="12.75">
      <c r="A14" s="2885" t="s">
        <v>1782</v>
      </c>
      <c r="B14" s="2847">
        <v>30</v>
      </c>
      <c r="C14" s="2896"/>
      <c r="D14" s="2910"/>
      <c r="E14" s="56" t="s">
        <v>1783</v>
      </c>
      <c r="F14" s="2194"/>
      <c r="G14" s="2194"/>
      <c r="H14" s="2194"/>
      <c r="I14" s="2195"/>
    </row>
    <row r="15" spans="1:12" ht="12.75">
      <c r="A15" s="2885"/>
      <c r="B15" s="2847"/>
      <c r="C15" s="2913"/>
      <c r="D15" s="2910"/>
      <c r="E15" s="56" t="s">
        <v>1784</v>
      </c>
      <c r="F15" s="2194"/>
      <c r="G15" s="2194"/>
      <c r="H15" s="2194"/>
      <c r="I15" s="2195"/>
    </row>
    <row r="16" spans="1:12" ht="12.75">
      <c r="A16" s="2885"/>
      <c r="B16" s="2847"/>
      <c r="C16" s="2897"/>
      <c r="D16" s="2910"/>
      <c r="E16" s="56" t="s">
        <v>1785</v>
      </c>
      <c r="F16" s="2194"/>
      <c r="G16" s="2194"/>
      <c r="H16" s="2194"/>
      <c r="I16" s="2195"/>
    </row>
    <row r="17" spans="1:35" ht="15">
      <c r="A17" s="2196" t="s">
        <v>1786</v>
      </c>
      <c r="B17" s="2197"/>
      <c r="C17" s="57">
        <f>SUM(C5:C16)</f>
        <v>3</v>
      </c>
      <c r="D17" s="57">
        <f>SUM(D5:D16)</f>
        <v>7</v>
      </c>
      <c r="E17" s="2189"/>
      <c r="F17" s="2189"/>
      <c r="G17" s="2189"/>
      <c r="H17" s="2189"/>
      <c r="I17" s="2189"/>
    </row>
    <row r="18" spans="1:35" ht="15.75" thickBot="1">
      <c r="A18" s="2198" t="s">
        <v>1787</v>
      </c>
      <c r="B18" s="2199"/>
      <c r="C18" s="58">
        <f>ROUND(C17/SUM(C17:D17),2)</f>
        <v>0.3</v>
      </c>
      <c r="D18" s="58">
        <f>1-C18</f>
        <v>0.7</v>
      </c>
      <c r="E18" s="2189"/>
      <c r="F18" s="2189"/>
      <c r="G18" s="2189"/>
      <c r="H18" s="2189"/>
      <c r="I18" s="2189"/>
    </row>
    <row r="19" spans="1:35" ht="15">
      <c r="A19" s="2200" t="s">
        <v>1788</v>
      </c>
      <c r="B19" s="2201" t="s">
        <v>1789</v>
      </c>
      <c r="C19" s="59">
        <f ca="1">SUMIF(INDIRECT("'"&amp;C4&amp;"'"&amp;"!A:A"),结果表!B19,INDIRECT("'"&amp;C4&amp;"'"&amp;"!B:B"))</f>
        <v>77804821</v>
      </c>
      <c r="D19" s="60">
        <f ca="1">SUMIF(INDIRECT("'"&amp;D4&amp;"'"&amp;"!A:A"),结果表!B19,INDIRECT("'"&amp;D4&amp;"'"&amp;"!B:B"))</f>
        <v>118661141</v>
      </c>
      <c r="E19" s="2200" t="s">
        <v>1790</v>
      </c>
      <c r="F19" s="2201" t="s">
        <v>1789</v>
      </c>
      <c r="G19" s="61">
        <f ca="1">ROUND(C19*$C$18+D19*$D$18,0)</f>
        <v>106404245</v>
      </c>
      <c r="H19" s="2202" t="str">
        <f>'数据-取费表'!B3</f>
        <v>元</v>
      </c>
      <c r="I19" s="2189"/>
    </row>
    <row r="20" spans="1:35" ht="15">
      <c r="A20" s="2203"/>
      <c r="B20" s="2204" t="s">
        <v>1791</v>
      </c>
      <c r="C20" s="62">
        <f ca="1">SUMIF(INDIRECT("'"&amp;C4&amp;"'"&amp;"!A:A"),结果表!B20,INDIRECT("'"&amp;C4&amp;"'"&amp;"!B:B"))</f>
        <v>21609</v>
      </c>
      <c r="D20" s="63">
        <f ca="1">SUMIF(INDIRECT("'"&amp;D4&amp;"'"&amp;"!A:A"),结果表!B20,INDIRECT("'"&amp;D4&amp;"'"&amp;"!B:B"))</f>
        <v>32957</v>
      </c>
      <c r="E20" s="2203"/>
      <c r="F20" s="2204" t="s">
        <v>1791</v>
      </c>
      <c r="G20" s="64">
        <f ca="1">ROUND(C20*$C$18+D20*$D$18,0)</f>
        <v>29553</v>
      </c>
      <c r="H20" s="2205" t="s">
        <v>1792</v>
      </c>
      <c r="I20" s="2189"/>
      <c r="K20" s="798">
        <f ca="1">G19-D28</f>
        <v>105404245</v>
      </c>
    </row>
    <row r="21" spans="1:35" ht="15" customHeight="1" thickBot="1">
      <c r="A21" s="2206"/>
      <c r="B21" s="2207"/>
      <c r="C21" s="770"/>
      <c r="D21" s="771"/>
      <c r="E21" s="2206"/>
      <c r="F21" s="2207"/>
      <c r="G21" s="65"/>
      <c r="H21" s="2208"/>
      <c r="I21" s="2189"/>
      <c r="K21" s="798">
        <f ca="1">K20/'预评函-2（2）'!B4</f>
        <v>29274.890987362865</v>
      </c>
    </row>
    <row r="22" spans="1:35" ht="15" thickBot="1">
      <c r="A22" s="2209" t="s">
        <v>1793</v>
      </c>
      <c r="B22" s="2210"/>
      <c r="C22" s="2211"/>
      <c r="D22" s="772">
        <f ca="1">IF(C19&lt;D19,D19/C19-1,C19/D19-1)</f>
        <v>0.52511296183047573</v>
      </c>
      <c r="E22" s="2189"/>
      <c r="F22" s="2189"/>
      <c r="G22" s="2189"/>
      <c r="H22" s="2189"/>
      <c r="I22" s="2189"/>
    </row>
    <row r="23" spans="1:35" ht="13.5" thickBot="1">
      <c r="A23" s="2189"/>
      <c r="B23" s="2189"/>
      <c r="C23" s="2189"/>
      <c r="D23" s="2189"/>
      <c r="E23" s="2189"/>
      <c r="F23" s="2189"/>
      <c r="G23" s="2189"/>
      <c r="H23" s="2189"/>
      <c r="I23" s="2189"/>
    </row>
    <row r="24" spans="1:35" ht="21.75" customHeight="1">
      <c r="A24" s="2916" t="s">
        <v>1794</v>
      </c>
      <c r="B24" s="2201" t="s">
        <v>1789</v>
      </c>
      <c r="C24" s="61">
        <f>D30</f>
        <v>1000000</v>
      </c>
      <c r="D24" s="990"/>
      <c r="E24" s="2189"/>
      <c r="F24" s="2189"/>
      <c r="G24" s="2189"/>
      <c r="H24" s="2189"/>
      <c r="I24" s="2189"/>
    </row>
    <row r="25" spans="1:35" ht="21.75" customHeight="1">
      <c r="A25" s="2917"/>
      <c r="B25" s="2204" t="s">
        <v>1791</v>
      </c>
      <c r="C25" s="66">
        <f>IF(B30=0,0,C30)</f>
        <v>0</v>
      </c>
      <c r="D25" s="2212"/>
      <c r="E25" s="2189"/>
      <c r="F25" s="2189"/>
      <c r="G25" s="2189"/>
      <c r="H25" s="2189"/>
      <c r="I25" s="2189"/>
    </row>
    <row r="26" spans="1:35" ht="13.5" customHeight="1">
      <c r="A26" s="2213" t="s">
        <v>1795</v>
      </c>
      <c r="B26" s="67" t="s">
        <v>1796</v>
      </c>
      <c r="C26" s="67" t="s">
        <v>1797</v>
      </c>
      <c r="D26" s="68" t="s">
        <v>1798</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750" t="s">
        <v>2850</v>
      </c>
      <c r="B28" s="67"/>
      <c r="C28" s="67">
        <f>D28/'数据-取费表'!B5</f>
        <v>277.73920288848768</v>
      </c>
      <c r="D28" s="68">
        <v>1000000</v>
      </c>
      <c r="E28" s="2189"/>
      <c r="F28" s="2189"/>
      <c r="G28" s="2189"/>
      <c r="H28" s="2189"/>
      <c r="I28" s="2189"/>
    </row>
    <row r="29" spans="1:35" ht="14.25">
      <c r="A29" s="2213"/>
      <c r="B29" s="67"/>
      <c r="C29" s="67"/>
      <c r="D29" s="68">
        <f t="shared" ref="D29" si="0">ROUND(C29*B29/10000,0)</f>
        <v>0</v>
      </c>
      <c r="E29" s="2189"/>
      <c r="F29" s="2189"/>
      <c r="G29" s="2189"/>
      <c r="H29" s="2189"/>
      <c r="I29" s="2189"/>
    </row>
    <row r="30" spans="1:35" ht="14.25">
      <c r="A30" s="67" t="s">
        <v>1799</v>
      </c>
      <c r="B30" s="67"/>
      <c r="C30" s="67"/>
      <c r="D30" s="67">
        <f>D28</f>
        <v>1000000</v>
      </c>
      <c r="E30" s="2697" t="s">
        <v>2796</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1800</v>
      </c>
      <c r="B32" s="2218" t="str">
        <f>'数据-取费表'!B4</f>
        <v>楼面单价</v>
      </c>
      <c r="C32" s="1141">
        <f ca="1">IF(B32="总价",G19-C24,G20-C25)</f>
        <v>29553</v>
      </c>
      <c r="D32" s="2189" t="str">
        <f>IF(B32="楼面单价","元/平方米",H19)</f>
        <v>元/平方米</v>
      </c>
      <c r="E32" s="2189"/>
      <c r="F32" s="2189"/>
      <c r="G32" s="2189"/>
      <c r="H32" s="2189"/>
      <c r="I32" s="2189"/>
    </row>
    <row r="33" spans="1:16" ht="15">
      <c r="A33" s="2219" t="s">
        <v>1801</v>
      </c>
      <c r="B33" s="2220"/>
      <c r="C33" s="2221"/>
      <c r="D33" s="2222"/>
      <c r="E33" s="2223" t="s">
        <v>1802</v>
      </c>
      <c r="F33" s="2224" t="str">
        <f>IF(B32="楼面单价","取值（单价）","取值（总价）")</f>
        <v>取值（单价）</v>
      </c>
      <c r="G33" s="2189"/>
      <c r="H33" s="2189"/>
      <c r="I33" s="2189"/>
    </row>
    <row r="34" spans="1:16" ht="15">
      <c r="A34" s="2225"/>
      <c r="B34" s="2226" t="s">
        <v>1803</v>
      </c>
      <c r="C34" s="72">
        <f ca="1">IF(D33="自定义",F34,C32-C35)</f>
        <v>27337</v>
      </c>
      <c r="D34" s="1087">
        <f ca="1">IF(D33="自定义",ROUND(C34/C32,3),1-D35)</f>
        <v>0.92500000000000004</v>
      </c>
      <c r="E34" s="2227" t="s">
        <v>1804</v>
      </c>
      <c r="F34" s="1824">
        <v>2000</v>
      </c>
      <c r="G34" s="2189"/>
      <c r="H34" s="2189"/>
      <c r="I34" s="2189"/>
    </row>
    <row r="35" spans="1:16" ht="15.75" thickBot="1">
      <c r="A35" s="2228"/>
      <c r="B35" s="2229" t="s">
        <v>1805</v>
      </c>
      <c r="C35" s="73">
        <f ca="1">IF(D33="自定义",F35,ROUND(C32*D35,0))</f>
        <v>2216</v>
      </c>
      <c r="D35" s="1086">
        <f ca="1">IF(D33="自定义",ROUND(C35/C32,3),IF(D33="成本法成本比率",成本法!C56,IF(D33="收益法收益比率",收益法!J38,收益法!J41)))</f>
        <v>7.4999999999999997E-2</v>
      </c>
      <c r="E35" s="2230" t="s">
        <v>1806</v>
      </c>
      <c r="F35" s="79">
        <v>4460</v>
      </c>
      <c r="G35" s="2189"/>
      <c r="H35" s="2189"/>
      <c r="I35" s="2189"/>
    </row>
    <row r="36" spans="1:16" ht="15.75" thickBot="1">
      <c r="A36" s="2898" t="s">
        <v>1807</v>
      </c>
      <c r="B36" s="2231" t="s">
        <v>1808</v>
      </c>
      <c r="C36" s="69">
        <v>0</v>
      </c>
      <c r="D36" s="2232"/>
      <c r="E36" s="2233"/>
      <c r="F36" s="2233"/>
      <c r="G36" s="2189"/>
      <c r="H36" s="2189"/>
      <c r="I36" s="2189"/>
    </row>
    <row r="37" spans="1:16" ht="15.75" thickBot="1">
      <c r="A37" s="2899"/>
      <c r="B37" s="2234" t="s">
        <v>1809</v>
      </c>
      <c r="C37" s="71">
        <v>0</v>
      </c>
      <c r="D37" s="2199"/>
      <c r="E37" s="2199"/>
      <c r="F37" s="2233"/>
      <c r="G37" s="2199"/>
      <c r="H37" s="2199"/>
      <c r="I37" s="2199"/>
    </row>
    <row r="38" spans="1:16" ht="15.75" thickBot="1">
      <c r="A38" s="2900"/>
      <c r="B38" s="2235" t="s">
        <v>1810</v>
      </c>
      <c r="C38" s="712">
        <v>0</v>
      </c>
      <c r="D38" s="2236" t="s">
        <v>1811</v>
      </c>
      <c r="E38" s="2199"/>
      <c r="F38" s="2233"/>
      <c r="G38" s="2199"/>
      <c r="H38" s="2199"/>
      <c r="I38" s="2199"/>
    </row>
    <row r="39" spans="1:16" ht="15">
      <c r="A39" s="2203" t="s">
        <v>1812</v>
      </c>
      <c r="B39" s="2237" t="s">
        <v>1796</v>
      </c>
      <c r="C39" s="2238" t="s">
        <v>1797</v>
      </c>
      <c r="D39" s="2238" t="s">
        <v>1813</v>
      </c>
      <c r="E39" s="2239" t="s">
        <v>1798</v>
      </c>
      <c r="F39" s="2233"/>
      <c r="G39" s="2199"/>
      <c r="H39" s="2199"/>
      <c r="I39" s="2199"/>
    </row>
    <row r="40" spans="1:16" ht="14.25">
      <c r="A40" s="2240" t="s">
        <v>1814</v>
      </c>
      <c r="B40" s="74"/>
      <c r="C40" s="75"/>
      <c r="D40" s="75"/>
      <c r="E40" s="76"/>
      <c r="F40" s="2233"/>
      <c r="G40" s="2199"/>
      <c r="H40" s="2199"/>
      <c r="I40" s="2199"/>
    </row>
    <row r="41" spans="1:16" ht="14.25">
      <c r="A41" s="2240" t="s">
        <v>1815</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1816</v>
      </c>
      <c r="B44" s="2246"/>
      <c r="C44" s="2246"/>
      <c r="D44" s="2247"/>
      <c r="E44" s="2247"/>
      <c r="F44" s="2248"/>
      <c r="G44" s="2248"/>
      <c r="H44" s="2248"/>
      <c r="I44" s="2248"/>
      <c r="J44" s="2249" t="s">
        <v>1817</v>
      </c>
      <c r="K44" s="2250"/>
      <c r="L44" s="2250"/>
      <c r="M44" s="2250"/>
      <c r="N44" s="2250"/>
      <c r="O44" s="2250"/>
      <c r="P44" s="1841"/>
    </row>
    <row r="45" spans="1:16" ht="14.25" customHeight="1" thickBot="1">
      <c r="A45" s="2904" t="s">
        <v>1818</v>
      </c>
      <c r="B45" s="2905"/>
      <c r="C45" s="2906"/>
      <c r="D45" s="80">
        <f ca="1">ROUND(I102*F45,0)</f>
        <v>106405577</v>
      </c>
      <c r="E45" s="81" t="s">
        <v>1819</v>
      </c>
      <c r="F45" s="82">
        <v>1</v>
      </c>
      <c r="G45" s="83" t="s">
        <v>1820</v>
      </c>
      <c r="H45" s="2189"/>
      <c r="I45" s="2189"/>
      <c r="J45" s="2966" t="s">
        <v>1821</v>
      </c>
      <c r="K45" s="2966"/>
      <c r="L45" s="2966"/>
      <c r="M45" s="2966"/>
      <c r="N45" s="2966"/>
      <c r="O45" s="2966"/>
      <c r="P45" s="1841"/>
    </row>
    <row r="46" spans="1:16" ht="14.25" customHeight="1">
      <c r="A46" s="2889" t="s">
        <v>1822</v>
      </c>
      <c r="B46" s="2890"/>
      <c r="C46" s="2890"/>
      <c r="D46" s="2890"/>
      <c r="E46" s="2890"/>
      <c r="F46" s="2890"/>
      <c r="G46" s="2891"/>
      <c r="H46" s="2251"/>
      <c r="I46" s="1140"/>
      <c r="J46" s="1878">
        <v>1</v>
      </c>
      <c r="K46" s="2966" t="s">
        <v>1823</v>
      </c>
      <c r="L46" s="2966"/>
      <c r="M46" s="2967" t="str">
        <f>项目基本情况!B1</f>
        <v>北京市北京市通州区枫露苑一区甲1号楼1至4层甲1号楼房地产抵押价值预评估</v>
      </c>
      <c r="N46" s="2967"/>
      <c r="O46" s="2967"/>
      <c r="P46" s="1841"/>
    </row>
    <row r="47" spans="1:16" ht="12" customHeight="1">
      <c r="A47" s="85" t="s">
        <v>1824</v>
      </c>
      <c r="B47" s="86"/>
      <c r="C47" s="87"/>
      <c r="D47" s="88" t="s">
        <v>1825</v>
      </c>
      <c r="E47" s="14" t="s">
        <v>1826</v>
      </c>
      <c r="F47" s="89" t="s">
        <v>1827</v>
      </c>
      <c r="G47" s="90" t="s">
        <v>1828</v>
      </c>
      <c r="H47" s="2251"/>
      <c r="I47" s="1140"/>
      <c r="J47" s="1878">
        <v>2</v>
      </c>
      <c r="K47" s="2966" t="s">
        <v>1829</v>
      </c>
      <c r="L47" s="2966"/>
      <c r="M47" s="2968">
        <f>'数据-取费表'!B2</f>
        <v>43965</v>
      </c>
      <c r="N47" s="2968"/>
      <c r="O47" s="2968"/>
      <c r="P47" s="1841"/>
    </row>
    <row r="48" spans="1:16" ht="25.5">
      <c r="A48" s="2901" t="s">
        <v>1830</v>
      </c>
      <c r="B48" s="2902"/>
      <c r="C48" s="2902"/>
      <c r="D48" s="56">
        <f ca="1">IF(H48="情况1",0,IF(H48="情况2",D52,IF(H48="情况3",D53,IF(H48="情况4",D54))))</f>
        <v>5674964</v>
      </c>
      <c r="E48" s="1888" t="str">
        <f>IF(H48="情况4","(销售额-原购置价)×税（费）率","销售额×税（费）率")</f>
        <v>销售额×税（费）率</v>
      </c>
      <c r="F48" s="91">
        <f>IF(H48="情况1","免征",'数据-取费表'!E29)</f>
        <v>5.6000000000000001E-2</v>
      </c>
      <c r="G48" s="2252" t="s">
        <v>1831</v>
      </c>
      <c r="H48" s="2253" t="s">
        <v>1832</v>
      </c>
      <c r="I48" s="2251"/>
      <c r="J48" s="1878">
        <v>3</v>
      </c>
      <c r="K48" s="2966" t="s">
        <v>1833</v>
      </c>
      <c r="L48" s="2966"/>
      <c r="M48" s="2967">
        <f ca="1">I102</f>
        <v>106405577</v>
      </c>
      <c r="N48" s="2967"/>
      <c r="O48" s="2967"/>
      <c r="P48" s="1841"/>
    </row>
    <row r="49" spans="1:16" ht="25.5" customHeight="1">
      <c r="A49" s="92" t="s">
        <v>1834</v>
      </c>
      <c r="B49" s="2894" t="s">
        <v>1835</v>
      </c>
      <c r="C49" s="2894"/>
      <c r="D49" s="93">
        <v>0</v>
      </c>
      <c r="E49" s="13" t="s">
        <v>1836</v>
      </c>
      <c r="F49" s="18" t="s">
        <v>48</v>
      </c>
      <c r="G49" s="2959"/>
      <c r="H49" s="2189"/>
      <c r="I49" s="2254"/>
      <c r="J49" s="1878">
        <v>4</v>
      </c>
      <c r="K49" s="2966" t="str">
        <f>IF(项目基本情况!F5="房地产抵押价值","房地产抵押价值","抵押担保权已注销时的房地产抵押价值")</f>
        <v>房地产抵押价值</v>
      </c>
      <c r="L49" s="2966"/>
      <c r="M49" s="2967">
        <f ca="1">IF(项目基本情况!F5="房地产抵押价值",I110,I112)</f>
        <v>106405577</v>
      </c>
      <c r="N49" s="2967"/>
      <c r="O49" s="2967"/>
      <c r="P49" s="1841"/>
    </row>
    <row r="50" spans="1:16" ht="25.5" customHeight="1">
      <c r="A50" s="94"/>
      <c r="B50" s="2894" t="s">
        <v>1837</v>
      </c>
      <c r="C50" s="2894"/>
      <c r="D50" s="95"/>
      <c r="E50" s="21"/>
      <c r="F50" s="96"/>
      <c r="G50" s="2960"/>
      <c r="H50" s="2189"/>
      <c r="I50" s="2254"/>
      <c r="J50" s="2966" t="s">
        <v>1838</v>
      </c>
      <c r="K50" s="2966"/>
      <c r="L50" s="2966"/>
      <c r="M50" s="2966"/>
      <c r="N50" s="2966"/>
      <c r="O50" s="2966"/>
      <c r="P50" s="1841"/>
    </row>
    <row r="51" spans="1:16" ht="12" customHeight="1">
      <c r="A51" s="97"/>
      <c r="B51" s="2894" t="s">
        <v>1839</v>
      </c>
      <c r="C51" s="2894"/>
      <c r="D51" s="98"/>
      <c r="E51" s="20"/>
      <c r="F51" s="96"/>
      <c r="G51" s="2961"/>
      <c r="H51" s="2189"/>
      <c r="I51" s="2254"/>
      <c r="J51" s="2255" t="s">
        <v>1840</v>
      </c>
      <c r="K51" s="2966" t="s">
        <v>1841</v>
      </c>
      <c r="L51" s="2966"/>
      <c r="M51" s="2255" t="s">
        <v>1842</v>
      </c>
      <c r="N51" s="2255" t="s">
        <v>1843</v>
      </c>
      <c r="O51" s="2255" t="s">
        <v>1844</v>
      </c>
      <c r="P51" s="1841"/>
    </row>
    <row r="52" spans="1:16" ht="24" customHeight="1">
      <c r="A52" s="99" t="s">
        <v>1845</v>
      </c>
      <c r="B52" s="2894" t="s">
        <v>1846</v>
      </c>
      <c r="C52" s="2894"/>
      <c r="D52" s="98">
        <f ca="1">ROUND(D45*'数据-取费表'!E29/(1+'数据-取费表'!F30),0)</f>
        <v>5674964</v>
      </c>
      <c r="E52" s="10" t="s">
        <v>1847</v>
      </c>
      <c r="F52" s="100">
        <f>'数据-取费表'!E29</f>
        <v>5.6000000000000001E-2</v>
      </c>
      <c r="G52" s="2256"/>
      <c r="H52" s="2189"/>
      <c r="I52" s="2254"/>
      <c r="J52" s="1878">
        <v>1</v>
      </c>
      <c r="K52" s="2926" t="s">
        <v>1848</v>
      </c>
      <c r="L52" s="2926"/>
      <c r="M52" s="778">
        <f ca="1">D48</f>
        <v>5674964</v>
      </c>
      <c r="N52" s="1878" t="str">
        <f>E48</f>
        <v>销售额×税（费）率</v>
      </c>
      <c r="O52" s="779">
        <f>F48</f>
        <v>5.6000000000000001E-2</v>
      </c>
      <c r="P52" s="1841"/>
    </row>
    <row r="53" spans="1:16" ht="12" customHeight="1">
      <c r="A53" s="99" t="s">
        <v>1849</v>
      </c>
      <c r="B53" s="2895" t="s">
        <v>1850</v>
      </c>
      <c r="C53" s="2825"/>
      <c r="D53" s="98">
        <f ca="1">ROUND(D45*'数据-取费表'!E29/(1+'数据-取费表'!F30),0)</f>
        <v>5674964</v>
      </c>
      <c r="E53" s="10" t="s">
        <v>1847</v>
      </c>
      <c r="F53" s="100">
        <f>'数据-取费表'!E29</f>
        <v>5.6000000000000001E-2</v>
      </c>
      <c r="G53" s="2256"/>
      <c r="H53" s="2189"/>
      <c r="I53" s="2254"/>
      <c r="J53" s="1878">
        <v>2</v>
      </c>
      <c r="K53" s="2926" t="s">
        <v>1851</v>
      </c>
      <c r="L53" s="2926"/>
      <c r="M53" s="778">
        <f t="shared" ref="M53:O54" ca="1" si="1">D55</f>
        <v>53203</v>
      </c>
      <c r="N53" s="1878" t="str">
        <f t="shared" si="1"/>
        <v>销售额×税（费）率</v>
      </c>
      <c r="O53" s="779">
        <f t="shared" si="1"/>
        <v>5.0000000000000001E-4</v>
      </c>
      <c r="P53" s="1841"/>
    </row>
    <row r="54" spans="1:16" ht="12" customHeight="1">
      <c r="A54" s="99" t="s">
        <v>1852</v>
      </c>
      <c r="B54" s="2895" t="s">
        <v>1853</v>
      </c>
      <c r="C54" s="2825"/>
      <c r="D54" s="98">
        <f ca="1">C68</f>
        <v>5674964</v>
      </c>
      <c r="E54" s="20" t="s">
        <v>1854</v>
      </c>
      <c r="F54" s="100">
        <f>'数据-取费表'!E29</f>
        <v>5.6000000000000001E-2</v>
      </c>
      <c r="G54" s="2256"/>
      <c r="H54" s="2257"/>
      <c r="I54" s="2254"/>
      <c r="J54" s="1878">
        <v>3</v>
      </c>
      <c r="K54" s="2926" t="s">
        <v>1855</v>
      </c>
      <c r="L54" s="2926"/>
      <c r="M54" s="778">
        <f t="shared" ca="1" si="1"/>
        <v>60225557</v>
      </c>
      <c r="N54" s="1878" t="str">
        <f t="shared" si="1"/>
        <v>增值额×税（费）率</v>
      </c>
      <c r="O54" s="780" t="str">
        <f t="shared" si="1"/>
        <v>——</v>
      </c>
      <c r="P54" s="1841"/>
    </row>
    <row r="55" spans="1:16" ht="24" customHeight="1">
      <c r="A55" s="2817" t="s">
        <v>1856</v>
      </c>
      <c r="B55" s="2902"/>
      <c r="C55" s="2902"/>
      <c r="D55" s="101">
        <f ca="1">IF(H55="个人住宅",0,ROUND(D45*I55,0))</f>
        <v>53203</v>
      </c>
      <c r="E55" s="10" t="s">
        <v>1857</v>
      </c>
      <c r="F55" s="100">
        <f>IF(H55="正常",I55,"免征")</f>
        <v>5.0000000000000001E-4</v>
      </c>
      <c r="G55" s="2256"/>
      <c r="H55" s="2253" t="s">
        <v>1858</v>
      </c>
      <c r="I55" s="102">
        <f>'数据-取费表'!E37</f>
        <v>5.0000000000000001E-4</v>
      </c>
      <c r="J55" s="1878">
        <f>IF(H59="非个人房产","",4)</f>
        <v>4</v>
      </c>
      <c r="K55" s="2926" t="str">
        <f>IF(H59="非个人房产","——","个人所得税")</f>
        <v>个人所得税</v>
      </c>
      <c r="L55" s="2926"/>
      <c r="M55" s="781">
        <f ca="1">D59</f>
        <v>1064056</v>
      </c>
      <c r="N55" s="1881" t="str">
        <f>E59</f>
        <v>销售额×税（费）率</v>
      </c>
      <c r="O55" s="782">
        <f>F59</f>
        <v>0.01</v>
      </c>
      <c r="P55" s="1841"/>
    </row>
    <row r="56" spans="1:16" ht="24.75">
      <c r="A56" s="2817" t="s">
        <v>1859</v>
      </c>
      <c r="B56" s="2902"/>
      <c r="C56" s="2902"/>
      <c r="D56" s="101">
        <f ca="1">IF(H56="个人住宅",D57,D58)</f>
        <v>60225557</v>
      </c>
      <c r="E56" s="10" t="s">
        <v>1860</v>
      </c>
      <c r="F56" s="100" t="str">
        <f>IF(H56="正常",F58,"免征")</f>
        <v>——</v>
      </c>
      <c r="G56" s="2258" t="s">
        <v>1861</v>
      </c>
      <c r="H56" s="2259" t="s">
        <v>1858</v>
      </c>
      <c r="I56" s="1018"/>
      <c r="J56" s="1878" t="str">
        <f>IF(项目基本情况!I6="上海银行",IF(J55="",4,J55+1),"")</f>
        <v/>
      </c>
      <c r="K56" s="2944" t="str">
        <f>IF(项目基本情况!I6="上海银行","其他处置费用","")</f>
        <v/>
      </c>
      <c r="L56" s="2945"/>
      <c r="M56" s="778" t="str">
        <f>IF(项目基本情况!I6="上海银行",M69,"")</f>
        <v/>
      </c>
      <c r="N56" s="2957" t="str">
        <f>IF(项目基本情况!I6="上海银行","包含处置中涉及的律师、诉讼、拍卖、评估等费用","")</f>
        <v/>
      </c>
      <c r="O56" s="2958"/>
      <c r="P56" s="1841"/>
    </row>
    <row r="57" spans="1:16" ht="12.75">
      <c r="A57" s="99" t="s">
        <v>1834</v>
      </c>
      <c r="B57" s="2892" t="s">
        <v>1862</v>
      </c>
      <c r="C57" s="2903"/>
      <c r="D57" s="103">
        <v>0</v>
      </c>
      <c r="E57" s="13" t="s">
        <v>1836</v>
      </c>
      <c r="F57" s="70"/>
      <c r="G57" s="2256"/>
      <c r="H57" s="1018"/>
      <c r="I57" s="1018"/>
      <c r="J57" s="2926">
        <f>IF(AND(J55="",J56=""),4,IF(项目基本情况!I6="上海银行",J56+1,J55+1))</f>
        <v>5</v>
      </c>
      <c r="K57" s="2926" t="s">
        <v>1863</v>
      </c>
      <c r="L57" s="2260" t="s">
        <v>1864</v>
      </c>
      <c r="M57" s="783"/>
      <c r="N57" s="784">
        <f ca="1">SUMIF(M52:M56,"&lt;9e307")</f>
        <v>67017780</v>
      </c>
      <c r="O57" s="2261"/>
      <c r="P57" s="1837">
        <f ca="1">N57/M49</f>
        <v>0.62983334040846373</v>
      </c>
    </row>
    <row r="58" spans="1:16" ht="24.75">
      <c r="A58" s="99" t="s">
        <v>1845</v>
      </c>
      <c r="B58" s="2892" t="s">
        <v>1865</v>
      </c>
      <c r="C58" s="2893"/>
      <c r="D58" s="101">
        <f ca="1">IF(H58="转让取得",C81,C97)</f>
        <v>60225557</v>
      </c>
      <c r="E58" s="10" t="s">
        <v>1860</v>
      </c>
      <c r="F58" s="14" t="s">
        <v>48</v>
      </c>
      <c r="G58" s="2256"/>
      <c r="H58" s="2259" t="s">
        <v>1866</v>
      </c>
      <c r="I58" s="1018"/>
      <c r="J58" s="2926"/>
      <c r="K58" s="2926"/>
      <c r="L58" s="2260" t="s">
        <v>1867</v>
      </c>
      <c r="M58" s="785"/>
      <c r="N58" s="2262" t="str">
        <f ca="1">IF(H19="元",NUMBERSTRING(INT(N57),2)&amp;"元整",NUMBERSTRING(INT(N57*10000),2)&amp;"元整")</f>
        <v>陆仟柒佰零壹万柒仟柒佰捌拾元整</v>
      </c>
      <c r="O58" s="2263"/>
      <c r="P58" s="1841"/>
    </row>
    <row r="59" spans="1:16" ht="26.25" thickBot="1">
      <c r="A59" s="2818" t="s">
        <v>1868</v>
      </c>
      <c r="B59" s="2821"/>
      <c r="C59" s="2821"/>
      <c r="D59" s="104">
        <f ca="1">IF(H59="非个人房产","——",IF(H59="个人住宅",0,ROUND(D45*I59,0)))</f>
        <v>1064056</v>
      </c>
      <c r="E59" s="105" t="str">
        <f>IF(H59="非个人房产","——","销售额×税（费）率")</f>
        <v>销售额×税（费）率</v>
      </c>
      <c r="F59" s="106">
        <f>IF(H59="非个人房产","——",IF(H59="个人住宅","免征",I59))</f>
        <v>0.01</v>
      </c>
      <c r="G59" s="2264" t="s">
        <v>1861</v>
      </c>
      <c r="H59" s="2259" t="s">
        <v>1869</v>
      </c>
      <c r="I59" s="107">
        <v>0.01</v>
      </c>
      <c r="J59" s="2924">
        <f>J57+1</f>
        <v>6</v>
      </c>
      <c r="K59" s="2926" t="s">
        <v>1870</v>
      </c>
      <c r="L59" s="1878" t="s">
        <v>1864</v>
      </c>
      <c r="M59" s="786"/>
      <c r="N59" s="787">
        <f ca="1">M49-N57</f>
        <v>39387797</v>
      </c>
      <c r="O59" s="2265"/>
      <c r="P59" s="1841"/>
    </row>
    <row r="60" spans="1:16" ht="12" customHeight="1">
      <c r="A60" s="2060"/>
      <c r="B60" s="2189"/>
      <c r="C60" s="2189"/>
      <c r="D60" s="2189"/>
      <c r="E60" s="1018"/>
      <c r="F60" s="1018"/>
      <c r="G60" s="1018"/>
      <c r="H60" s="2242"/>
      <c r="I60" s="2189"/>
      <c r="J60" s="2925"/>
      <c r="K60" s="2926"/>
      <c r="L60" s="2260" t="s">
        <v>1867</v>
      </c>
      <c r="M60" s="785"/>
      <c r="N60" s="2262" t="str">
        <f ca="1">IF(H19="元",NUMBERSTRING(INT(N59),2)&amp;"元整",NUMBERSTRING(INT(N59*10000),2)&amp;"元整")</f>
        <v>叁仟玖佰叁拾捌万柒仟柒佰玖拾柒元整</v>
      </c>
      <c r="O60" s="2263"/>
      <c r="P60" s="1841"/>
    </row>
    <row r="61" spans="1:16" ht="13.5" thickBot="1">
      <c r="A61" s="2907" t="s">
        <v>1871</v>
      </c>
      <c r="B61" s="2907"/>
      <c r="C61" s="2907"/>
      <c r="D61" s="2907"/>
      <c r="E61" s="2907"/>
      <c r="F61" s="1018"/>
      <c r="G61" s="1018"/>
      <c r="H61" s="2242"/>
      <c r="I61" s="2189"/>
      <c r="J61" s="1878">
        <f>J59+1</f>
        <v>7</v>
      </c>
      <c r="K61" s="2926" t="s">
        <v>1872</v>
      </c>
      <c r="L61" s="2926"/>
      <c r="M61" s="788"/>
      <c r="N61" s="789">
        <f ca="1">IF(H19="元",ROUND(N59/项目基本情况!C12,0),ROUND(N59*10000/项目基本情况!C12,0))</f>
        <v>10940</v>
      </c>
      <c r="O61" s="2266"/>
      <c r="P61" s="1841"/>
    </row>
    <row r="62" spans="1:16" ht="12.75">
      <c r="A62" s="2914" t="s">
        <v>1873</v>
      </c>
      <c r="B62" s="2915"/>
      <c r="C62" s="1880"/>
      <c r="D62" s="1880" t="s">
        <v>1874</v>
      </c>
      <c r="E62" s="108" t="s">
        <v>1875</v>
      </c>
      <c r="F62" s="1018"/>
      <c r="G62" s="1018"/>
      <c r="H62" s="2242"/>
      <c r="I62" s="2189"/>
      <c r="J62" s="1841"/>
      <c r="K62" s="1841"/>
      <c r="L62" s="1841"/>
      <c r="M62" s="1841"/>
      <c r="N62" s="1841"/>
      <c r="O62" s="1841"/>
      <c r="P62" s="1841"/>
    </row>
    <row r="63" spans="1:16" ht="12.75">
      <c r="A63" s="109">
        <v>1</v>
      </c>
      <c r="B63" s="110" t="s">
        <v>1876</v>
      </c>
      <c r="C63" s="111">
        <f ca="1">ROUND((C64+C65)/(1+'数据-取费表'!F30),0)</f>
        <v>101338645</v>
      </c>
      <c r="D63" s="112"/>
      <c r="E63" s="113"/>
      <c r="F63" s="1018"/>
      <c r="G63" s="1018"/>
      <c r="H63" s="2242"/>
      <c r="I63" s="2189"/>
      <c r="J63" s="2946" t="s">
        <v>1877</v>
      </c>
      <c r="K63" s="2267" t="s">
        <v>1878</v>
      </c>
      <c r="L63" s="1840">
        <f ca="1">IF(M49&gt;10000,M49*0.5%,IF(AND(M49&gt;1000,M49&lt;=10000),M49*1%,IF(AND(M49&gt;100,M49&lt;=1000),M49*3%,IF(AND(M49&gt;10,M49&lt;=100),M49*5%,M49*8%))))</f>
        <v>532027.88500000001</v>
      </c>
      <c r="M63" s="14">
        <f ca="1">ROUND(L63,1)</f>
        <v>532027.9</v>
      </c>
      <c r="N63" s="1841"/>
      <c r="O63" s="1841"/>
      <c r="P63" s="1841"/>
    </row>
    <row r="64" spans="1:16" ht="12.75">
      <c r="A64" s="114" t="s">
        <v>71</v>
      </c>
      <c r="B64" s="115" t="s">
        <v>1879</v>
      </c>
      <c r="C64" s="116">
        <f ca="1">D45</f>
        <v>106405577</v>
      </c>
      <c r="D64" s="117" t="s">
        <v>41</v>
      </c>
      <c r="E64" s="118"/>
      <c r="F64" s="1018"/>
      <c r="G64" s="1018"/>
      <c r="H64" s="2242"/>
      <c r="I64" s="2189"/>
      <c r="J64" s="2946"/>
      <c r="K64" s="2267" t="s">
        <v>1880</v>
      </c>
      <c r="L64" s="1840">
        <f ca="1">IF(M49&gt;2000,M49*0.5%,IF(AND(M49&gt;1000,M49&lt;=2000),M49*0.6%,IF(AND(M49&gt;500,M49&lt;=1000),M49*0.7%,IF(AND(M49&gt;200,M49&lt;=500),M49*0.8%,IF(AND(M49&gt;100,M49&lt;=200),M49*0.9%,IF(AND(M49&gt;50,M49&lt;=100),M49*1%,IF(AND(M49&gt;20,M49&lt;=50),M49*1.5%,IF(AND(M49&gt;10,M49&lt;=20),M49*2%,IF(AND(M49&gt;1,M49&lt;=10),M49*2.5%)))))))))</f>
        <v>532027.88500000001</v>
      </c>
      <c r="M64" s="14">
        <f t="shared" ref="M64:M65" ca="1" si="2">ROUND(L64,1)</f>
        <v>532027.9</v>
      </c>
      <c r="N64" s="1841" t="s">
        <v>1881</v>
      </c>
      <c r="O64" s="1841"/>
      <c r="P64" s="1841"/>
    </row>
    <row r="65" spans="1:35" ht="12.75">
      <c r="A65" s="114" t="s">
        <v>72</v>
      </c>
      <c r="B65" s="115" t="s">
        <v>1882</v>
      </c>
      <c r="C65" s="119"/>
      <c r="D65" s="117"/>
      <c r="E65" s="118"/>
      <c r="F65" s="1018"/>
      <c r="G65" s="1018"/>
      <c r="H65" s="2242"/>
      <c r="I65" s="2189"/>
      <c r="J65" s="2946"/>
      <c r="K65" s="2267" t="s">
        <v>1883</v>
      </c>
      <c r="L65" s="1840">
        <f ca="1">IF(M49&gt;1000,M49*0.1%,IF(AND(M49&gt;500,M49&lt;=1000),M49*0.5%,IF(AND(M49&gt;50,M49&lt;=500),M49*1%,IF(AND(M49&gt;1,M49&lt;=50),M49*1.5%))))</f>
        <v>106405.577</v>
      </c>
      <c r="M65" s="14">
        <f t="shared" ca="1" si="2"/>
        <v>106405.6</v>
      </c>
      <c r="N65" s="1841" t="s">
        <v>1881</v>
      </c>
      <c r="O65" s="1841"/>
      <c r="P65" s="1841"/>
    </row>
    <row r="66" spans="1:35" ht="12.75">
      <c r="A66" s="120" t="s">
        <v>47</v>
      </c>
      <c r="B66" s="121" t="s">
        <v>1884</v>
      </c>
      <c r="C66" s="122"/>
      <c r="D66" s="123" t="s">
        <v>41</v>
      </c>
      <c r="E66" s="1857" t="s">
        <v>1885</v>
      </c>
      <c r="F66" s="1018"/>
      <c r="G66" s="1018"/>
      <c r="H66" s="2242"/>
      <c r="I66" s="2189"/>
      <c r="J66" s="2946"/>
      <c r="K66" s="2267" t="s">
        <v>1886</v>
      </c>
      <c r="L66" s="1840">
        <f ca="1">M49*0.5%</f>
        <v>532027.88500000001</v>
      </c>
      <c r="M66" s="14">
        <f ca="1">IF(L66&gt;0.5,0.5,ROUND(L66,0))</f>
        <v>0.5</v>
      </c>
      <c r="N66" s="1841" t="s">
        <v>1887</v>
      </c>
      <c r="O66" s="1841"/>
      <c r="P66" s="1841"/>
    </row>
    <row r="67" spans="1:35" ht="12.75">
      <c r="A67" s="120" t="s">
        <v>42</v>
      </c>
      <c r="B67" s="121" t="s">
        <v>1888</v>
      </c>
      <c r="C67" s="124">
        <f ca="1">C63-C66</f>
        <v>101338645</v>
      </c>
      <c r="D67" s="117" t="s">
        <v>41</v>
      </c>
      <c r="E67" s="118"/>
      <c r="F67" s="1018"/>
      <c r="G67" s="1018"/>
      <c r="H67" s="2242"/>
      <c r="I67" s="2189"/>
      <c r="J67" s="2946"/>
      <c r="K67" s="2267" t="s">
        <v>1889</v>
      </c>
      <c r="L67" s="1840">
        <f ca="1">IF(M49&gt;=10000,(8.25+(M49-10000)*0.01%),IF(AND(M49&gt;=8000,M49&lt;10000),(7.85+(M49-8000)*0.02%),IF(AND(M49&gt;=5000,M49&lt;8000),(6.65+(M49-5000)*0.04%),IF(AND(M49&gt;=2000,M49&lt;5000),(4.25+(PM49-2000)*0.08%),IF(AND(M49&gt;=1000,M49&lt;2000),(2.75+(M49-1000)*0.15%),IF(AND(M49&gt;=100,M49&lt;1000),(0.5+(M49-100)*0.25%),IF(AND(M49&gt;0,M49&lt;100),M49*0.5%)))))))</f>
        <v>10647.807700000001</v>
      </c>
      <c r="M67" s="14">
        <f ca="1">ROUND(L67*0.9,1)</f>
        <v>9583</v>
      </c>
      <c r="N67" s="1841"/>
      <c r="O67" s="1841"/>
      <c r="P67" s="1841"/>
    </row>
    <row r="68" spans="1:35" ht="13.5" thickBot="1">
      <c r="A68" s="125" t="s">
        <v>46</v>
      </c>
      <c r="B68" s="126" t="s">
        <v>1890</v>
      </c>
      <c r="C68" s="127">
        <f ca="1">IF(C67&lt;=0,0,ROUND(C67*D68,0))</f>
        <v>5674964</v>
      </c>
      <c r="D68" s="128">
        <f>'数据-取费表'!E29</f>
        <v>5.6000000000000001E-2</v>
      </c>
      <c r="E68" s="129"/>
      <c r="F68" s="1018"/>
      <c r="G68" s="1018"/>
      <c r="H68" s="2242"/>
      <c r="I68" s="2189"/>
      <c r="J68" s="2946"/>
      <c r="K68" s="2267" t="s">
        <v>1891</v>
      </c>
      <c r="L68" s="1840">
        <f ca="1">IF(M49&gt;10000,M49*0.5%,IF(AND(M49&gt;5000,M49&lt;=10000),M49*1%,IF(AND(M49&gt;1000,M49&lt;=5000),M49*2%,IF(AND(M49&gt;200,M49&lt;=1000),M49*3%,M49*5%))))</f>
        <v>532027.88500000001</v>
      </c>
      <c r="M68" s="14">
        <f ca="1">ROUND(L68,1)</f>
        <v>532027.9</v>
      </c>
      <c r="N68" s="1841"/>
      <c r="O68" s="1841"/>
      <c r="P68" s="1841"/>
    </row>
    <row r="69" spans="1:35" s="2216" customFormat="1" ht="7.5" customHeight="1">
      <c r="A69" s="2268"/>
      <c r="B69" s="2269"/>
      <c r="C69" s="2270"/>
      <c r="D69" s="2271"/>
      <c r="E69" s="2272"/>
      <c r="F69" s="1018"/>
      <c r="G69" s="1018"/>
      <c r="H69" s="2242"/>
      <c r="I69" s="2189"/>
      <c r="J69" s="2946"/>
      <c r="K69" s="2267" t="s">
        <v>1892</v>
      </c>
      <c r="L69" s="2273"/>
      <c r="M69" s="14">
        <f ca="1">ROUND(SUM(M63:M68),0)</f>
        <v>1712073</v>
      </c>
      <c r="N69" s="1837">
        <f ca="1">M69/M49</f>
        <v>1.6090068286552312E-2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18" t="s">
        <v>1893</v>
      </c>
      <c r="B70" s="2919"/>
      <c r="C70" s="2919"/>
      <c r="D70" s="2919"/>
      <c r="E70" s="2919"/>
      <c r="F70" s="2919"/>
      <c r="G70" s="2919"/>
      <c r="H70" s="2919"/>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14" t="s">
        <v>1873</v>
      </c>
      <c r="B71" s="2915"/>
      <c r="C71" s="1880"/>
      <c r="D71" s="1880" t="s">
        <v>1874</v>
      </c>
      <c r="E71" s="130" t="s">
        <v>1875</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1894</v>
      </c>
      <c r="C72" s="124">
        <f ca="1">ROUND(D45/(1+'数据-取费表'!F30),0)</f>
        <v>101338645</v>
      </c>
      <c r="D72" s="117" t="s">
        <v>41</v>
      </c>
      <c r="E72" s="12" t="s">
        <v>1895</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1896</v>
      </c>
      <c r="C73" s="124">
        <f ca="1">C74+C78</f>
        <v>608032</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1897</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1898</v>
      </c>
      <c r="C75" s="137"/>
      <c r="D75" s="117" t="s">
        <v>41</v>
      </c>
      <c r="E75" s="138" t="s">
        <v>1899</v>
      </c>
      <c r="F75" s="2278" t="s">
        <v>1900</v>
      </c>
      <c r="G75" s="138" t="s">
        <v>1901</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1902</v>
      </c>
      <c r="C76" s="117">
        <f>IF(F75="购房发票",ROUND(C75*H75*D76,0),0)</f>
        <v>0</v>
      </c>
      <c r="D76" s="141">
        <v>0.05</v>
      </c>
      <c r="E76" s="2895" t="s">
        <v>1903</v>
      </c>
      <c r="F76" s="2894"/>
      <c r="G76" s="2894"/>
      <c r="H76" s="2909"/>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9" t="s">
        <v>1906</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1907</v>
      </c>
      <c r="C78" s="144">
        <f ca="1">ROUND(D45*D78/(1+'数据-取费表'!F30),0)</f>
        <v>608032</v>
      </c>
      <c r="D78" s="145">
        <f>'数据-取费表'!E31</f>
        <v>6.000000000000001E-3</v>
      </c>
      <c r="E78" s="2886" t="s">
        <v>1908</v>
      </c>
      <c r="F78" s="2887"/>
      <c r="G78" s="2887"/>
      <c r="H78" s="2888"/>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1909</v>
      </c>
      <c r="C79" s="124">
        <f ca="1">C72-C73</f>
        <v>100730613</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1910</v>
      </c>
      <c r="C80" s="147">
        <f ca="1">IF(C79&lt;=0,0,C79/C73)</f>
        <v>165.66663103257724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1911</v>
      </c>
      <c r="C81" s="149">
        <f ca="1">ROUND(IF(C79&lt;=0,0,IF(C80&gt;=200%,C79*60%-C73*35%,IF(C80&gt;=100%,C79*50%-C73*15%,IF(C80&gt;=50%,C79*40%-C73*5%,IF(C80&lt;50%,C79*30%,0))))),0)</f>
        <v>60225557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18" t="s">
        <v>1912</v>
      </c>
      <c r="B83" s="2919"/>
      <c r="C83" s="2919"/>
      <c r="D83" s="2919"/>
      <c r="E83" s="2919"/>
      <c r="F83" s="2919"/>
      <c r="G83" s="2919"/>
      <c r="H83" s="2919"/>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14" t="s">
        <v>1873</v>
      </c>
      <c r="B84" s="2915"/>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1894</v>
      </c>
      <c r="C85" s="124">
        <f ca="1">ROUND(D45/(1+'数据-取费表'!F30),0)</f>
        <v>101338645</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1896</v>
      </c>
      <c r="C86" s="124">
        <f ca="1">IF(H88="仅含出让金",C87+C90+C91+C92+C93+C94,C87+C91+C92+C93+C94)</f>
        <v>608032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1914</v>
      </c>
      <c r="C88" s="157"/>
      <c r="D88" s="145"/>
      <c r="E88" s="158" t="s">
        <v>1915</v>
      </c>
      <c r="F88" s="1877"/>
      <c r="G88" s="159" t="s">
        <v>1916</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1919</v>
      </c>
      <c r="C91" s="144">
        <f>IF(H91="——",成本法!C33,I91)</f>
        <v>0</v>
      </c>
      <c r="D91" s="145"/>
      <c r="E91" s="2886" t="s">
        <v>1920</v>
      </c>
      <c r="F91" s="2887"/>
      <c r="G91" s="2887"/>
      <c r="H91" s="2282" t="s">
        <v>1921</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1922</v>
      </c>
      <c r="C92" s="144">
        <f>ROUND((C87+C90+C91)*D92,0)</f>
        <v>0</v>
      </c>
      <c r="D92" s="145">
        <v>0.1</v>
      </c>
      <c r="E92" s="2886" t="s">
        <v>1923</v>
      </c>
      <c r="F92" s="2887"/>
      <c r="G92" s="2887"/>
      <c r="H92" s="2888"/>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1907</v>
      </c>
      <c r="C93" s="144">
        <f ca="1">ROUND(D45*D93/(1+'数据-取费表'!F30),0)</f>
        <v>608032</v>
      </c>
      <c r="D93" s="145">
        <f>'数据-取费表'!E31</f>
        <v>6.000000000000001E-3</v>
      </c>
      <c r="E93" s="2886" t="s">
        <v>1908</v>
      </c>
      <c r="F93" s="2887"/>
      <c r="G93" s="2887"/>
      <c r="H93" s="2888"/>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1924</v>
      </c>
      <c r="C94" s="144">
        <f>ROUND((C87+C90+C91)*D94,0)</f>
        <v>0</v>
      </c>
      <c r="D94" s="145">
        <v>0.2</v>
      </c>
      <c r="E94" s="2886" t="s">
        <v>1925</v>
      </c>
      <c r="F94" s="2887"/>
      <c r="G94" s="2887"/>
      <c r="H94" s="2888"/>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1909</v>
      </c>
      <c r="C95" s="124">
        <f ca="1">ROUND(C85-C86,0)</f>
        <v>100730613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1910</v>
      </c>
      <c r="C96" s="147">
        <f ca="1">IF(C95&lt;=0,0,C95/C86)</f>
        <v>165.66663103257724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1911</v>
      </c>
      <c r="C97" s="149">
        <f ca="1">ROUND(IF(C95&lt;=0,0,IF(C96&gt;=200%,C95*60%-C86*35%,IF(C96&gt;=100%,C95*50%-C86*15%,IF(C96&gt;=50%,C95*40%-C86*5%,IF(C96&lt;50%,C95*30%,0))))),0)</f>
        <v>60225557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1926</v>
      </c>
      <c r="B98" s="2189"/>
      <c r="C98" s="2189"/>
      <c r="D98" s="2189"/>
      <c r="E98" s="1018"/>
      <c r="F98" s="1018"/>
      <c r="G98" s="1018"/>
      <c r="H98" s="2242"/>
      <c r="I98" s="2189"/>
    </row>
    <row r="99" spans="1:35" ht="15.75">
      <c r="A99" s="2941" t="s">
        <v>1927</v>
      </c>
      <c r="B99" s="2942"/>
      <c r="C99" s="2942"/>
      <c r="D99" s="2943"/>
      <c r="E99" s="2189"/>
      <c r="F99" s="2952" t="s">
        <v>1928</v>
      </c>
      <c r="G99" s="2953"/>
      <c r="H99" s="2953"/>
      <c r="I99" s="2954"/>
    </row>
    <row r="100" spans="1:35" ht="15.75">
      <c r="A100" s="2955" t="s">
        <v>1929</v>
      </c>
      <c r="B100" s="2956"/>
      <c r="C100" s="720" t="str">
        <f>C4</f>
        <v>成本法</v>
      </c>
      <c r="D100" s="721" t="str">
        <f>D4</f>
        <v>收益法</v>
      </c>
      <c r="E100" s="2189"/>
      <c r="F100" s="2851" t="s">
        <v>1930</v>
      </c>
      <c r="G100" s="2852"/>
      <c r="H100" s="2851" t="s">
        <v>1931</v>
      </c>
      <c r="I100" s="2850"/>
    </row>
    <row r="101" spans="1:35" ht="15.75">
      <c r="A101" s="2933" t="s">
        <v>1932</v>
      </c>
      <c r="B101" s="2284" t="str">
        <f>IF(H19="元","总价（元）","总价（万元）")</f>
        <v>总价（元）</v>
      </c>
      <c r="C101" s="720">
        <f ca="1">C19</f>
        <v>77804821</v>
      </c>
      <c r="D101" s="721">
        <f ca="1">D19</f>
        <v>118661141</v>
      </c>
      <c r="E101" s="2189"/>
      <c r="F101" s="2851" t="str">
        <f>项目基本情况!I1</f>
        <v>北京市北京市通州区枫露苑一区甲1号楼1至4层甲1号楼房地产</v>
      </c>
      <c r="G101" s="2852"/>
      <c r="H101" s="2849">
        <f>项目基本情况!C12</f>
        <v>3600.5</v>
      </c>
      <c r="I101" s="2850"/>
    </row>
    <row r="102" spans="1:35" ht="15.75">
      <c r="A102" s="2933"/>
      <c r="B102" s="2284" t="s">
        <v>1933</v>
      </c>
      <c r="C102" s="722">
        <f ca="1">C20</f>
        <v>21609</v>
      </c>
      <c r="D102" s="723">
        <f ca="1">D20</f>
        <v>32957</v>
      </c>
      <c r="E102" s="2189"/>
      <c r="F102" s="2878" t="s">
        <v>1934</v>
      </c>
      <c r="G102" s="2879"/>
      <c r="H102" s="2285" t="str">
        <f>C106</f>
        <v>总价（元）</v>
      </c>
      <c r="I102" s="1858">
        <f ca="1">H121</f>
        <v>106405577</v>
      </c>
    </row>
    <row r="103" spans="1:35" ht="15">
      <c r="A103" s="2933" t="s">
        <v>1935</v>
      </c>
      <c r="B103" s="2286" t="str">
        <f>B101</f>
        <v>总价（元）</v>
      </c>
      <c r="C103" s="724">
        <f ca="1">H121</f>
        <v>106405577</v>
      </c>
      <c r="D103" s="725"/>
      <c r="E103" s="2189"/>
      <c r="F103" s="2878"/>
      <c r="G103" s="2879"/>
      <c r="H103" s="2285" t="s">
        <v>1933</v>
      </c>
      <c r="I103" s="1046">
        <f ca="1">I121</f>
        <v>29553</v>
      </c>
    </row>
    <row r="104" spans="1:35" ht="16.5" thickBot="1">
      <c r="A104" s="2934"/>
      <c r="B104" s="2287" t="s">
        <v>1933</v>
      </c>
      <c r="C104" s="726">
        <f ca="1">I121</f>
        <v>29553</v>
      </c>
      <c r="D104" s="727"/>
      <c r="E104" s="2189"/>
      <c r="F104" s="2950"/>
      <c r="G104" s="2951"/>
      <c r="H104" s="2935"/>
      <c r="I104" s="2936"/>
    </row>
    <row r="105" spans="1:35" ht="15.75">
      <c r="A105" s="2941" t="s">
        <v>1936</v>
      </c>
      <c r="B105" s="2942"/>
      <c r="C105" s="2942"/>
      <c r="D105" s="2943"/>
      <c r="E105" s="2189"/>
      <c r="F105" s="2939" t="s">
        <v>1937</v>
      </c>
      <c r="G105" s="2940"/>
      <c r="H105" s="2288" t="str">
        <f>C108</f>
        <v>总额（元）</v>
      </c>
      <c r="I105" s="1858">
        <f>SUMIF(I106:I108,"&lt;9E307")</f>
        <v>0</v>
      </c>
    </row>
    <row r="106" spans="1:35" ht="15">
      <c r="A106" s="2865" t="s">
        <v>1938</v>
      </c>
      <c r="B106" s="2866"/>
      <c r="C106" s="2285" t="str">
        <f>B101</f>
        <v>总价（元）</v>
      </c>
      <c r="D106" s="1047">
        <f ca="1">H121</f>
        <v>106405577</v>
      </c>
      <c r="E106" s="2189"/>
      <c r="F106" s="2867" t="s">
        <v>1939</v>
      </c>
      <c r="G106" s="2868"/>
      <c r="H106" s="2288" t="str">
        <f>C109</f>
        <v>总额（元）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65"/>
      <c r="B107" s="2866"/>
      <c r="C107" s="2285" t="s">
        <v>1933</v>
      </c>
      <c r="D107" s="1048">
        <f ca="1">I121</f>
        <v>29553</v>
      </c>
      <c r="E107" s="2189"/>
      <c r="F107" s="2867" t="s">
        <v>1940</v>
      </c>
      <c r="G107" s="2868"/>
      <c r="H107" s="2288" t="str">
        <f>C110</f>
        <v>总额（元）</v>
      </c>
      <c r="I107" s="1046">
        <f>C37</f>
        <v>0</v>
      </c>
      <c r="K107" s="2289"/>
    </row>
    <row r="108" spans="1:35" ht="15">
      <c r="A108" s="2872" t="s">
        <v>1941</v>
      </c>
      <c r="B108" s="2873"/>
      <c r="C108" s="2288" t="str">
        <f>IF(H19="元","总额（元）","总额（万元）")</f>
        <v>总额（元）</v>
      </c>
      <c r="D108" s="1047">
        <f>IF(D36="正常操作",I106+I107+I108,I107+I108)</f>
        <v>0</v>
      </c>
      <c r="E108" s="2189"/>
      <c r="F108" s="2867" t="s">
        <v>1942</v>
      </c>
      <c r="G108" s="2868"/>
      <c r="H108" s="2288" t="str">
        <f>C111</f>
        <v>总额（元）</v>
      </c>
      <c r="I108" s="1046">
        <f>C38</f>
        <v>0</v>
      </c>
    </row>
    <row r="109" spans="1:35" ht="15.75">
      <c r="A109" s="2867" t="s">
        <v>1939</v>
      </c>
      <c r="B109" s="2868"/>
      <c r="C109" s="2288" t="str">
        <f>C108</f>
        <v>总额（元）</v>
      </c>
      <c r="D109" s="637">
        <f>IF(D36="同一抵押权人同一抵押物续贷",C36&amp;"（未扣减，详见特别提示）",C36)</f>
        <v>0</v>
      </c>
      <c r="E109" s="2189"/>
      <c r="F109" s="2950"/>
      <c r="G109" s="2951"/>
      <c r="H109" s="2937"/>
      <c r="I109" s="2938"/>
    </row>
    <row r="110" spans="1:35" ht="28.5" customHeight="1">
      <c r="A110" s="2867" t="s">
        <v>1940</v>
      </c>
      <c r="B110" s="2868"/>
      <c r="C110" s="2288" t="str">
        <f>C108</f>
        <v>总额（元）</v>
      </c>
      <c r="D110" s="637">
        <f>C37</f>
        <v>0</v>
      </c>
      <c r="E110" s="2189"/>
      <c r="F110" s="2853" t="str">
        <f>IF(项目基本情况!F5="已注销","——","3.房地产抵押价值")</f>
        <v>3.房地产抵押价值</v>
      </c>
      <c r="G110" s="2854"/>
      <c r="H110" s="2290" t="str">
        <f>C112</f>
        <v>总价（元）</v>
      </c>
      <c r="I110" s="1859">
        <f ca="1">IF(F110="——","——",I102-I105)</f>
        <v>106405577</v>
      </c>
    </row>
    <row r="111" spans="1:35" ht="15">
      <c r="A111" s="2867" t="s">
        <v>1942</v>
      </c>
      <c r="B111" s="2868"/>
      <c r="C111" s="2288" t="str">
        <f>C108</f>
        <v>总额（元）</v>
      </c>
      <c r="D111" s="637">
        <f>C38</f>
        <v>0</v>
      </c>
      <c r="E111" s="2189"/>
      <c r="F111" s="2969"/>
      <c r="G111" s="2970"/>
      <c r="H111" s="2285" t="s">
        <v>1933</v>
      </c>
      <c r="I111" s="2291">
        <f ca="1">D113</f>
        <v>29553</v>
      </c>
    </row>
    <row r="112" spans="1:35" ht="26.25" customHeight="1">
      <c r="A112" s="2865" t="str">
        <f>IF(项目基本情况!F5="已注销","——","3.房地产抵押价值")</f>
        <v>3.房地产抵押价值</v>
      </c>
      <c r="B112" s="2866"/>
      <c r="C112" s="2285" t="str">
        <f>B101</f>
        <v>总价（元）</v>
      </c>
      <c r="D112" s="1047">
        <f ca="1">IF(A112="——","——",D106-D108)</f>
        <v>106405577</v>
      </c>
      <c r="E112" s="2189"/>
      <c r="F112" s="2853" t="str">
        <f>IF(项目基本情况!F5="已注销及未注销","4.抵押担保权已注销时的房地产抵押价值",IF(项目基本情况!F5="已注销","3.抵押担保权已注销时的房地产抵押价值","——"))</f>
        <v>——</v>
      </c>
      <c r="G112" s="2854"/>
      <c r="H112" s="2290" t="str">
        <f>C114</f>
        <v>总价（元）</v>
      </c>
      <c r="I112" s="1859" t="str">
        <f>IF(F112="——","——",I102-I107-I108)</f>
        <v>——</v>
      </c>
    </row>
    <row r="113" spans="1:15" ht="15">
      <c r="A113" s="2865"/>
      <c r="B113" s="2866"/>
      <c r="C113" s="2285" t="s">
        <v>1933</v>
      </c>
      <c r="D113" s="1048">
        <f ca="1">ROUND(IF(D112=D106,D107,IF(H19="元",D112/项目基本情况!C12,D112*10000/项目基本情况!C12)),0)</f>
        <v>29553</v>
      </c>
      <c r="E113" s="2189"/>
      <c r="F113" s="2969"/>
      <c r="G113" s="2970"/>
      <c r="H113" s="2285" t="s">
        <v>1933</v>
      </c>
      <c r="I113" s="2292" t="str">
        <f>D115</f>
        <v>——</v>
      </c>
    </row>
    <row r="114" spans="1:15" ht="15.75">
      <c r="A114" s="2865" t="str">
        <f>IF(项目基本情况!F5="已注销及未注销","4.抵押担保权已注销时的房地产抵押价值",IF(项目基本情况!F5="已注销","3.抵押担保权已注销时的房地产抵押价值","——"))</f>
        <v>——</v>
      </c>
      <c r="B114" s="2866"/>
      <c r="C114" s="2285" t="str">
        <f>B101</f>
        <v>总价（元）</v>
      </c>
      <c r="D114" s="1047" t="str">
        <f>IF(A114="——","——",D106-D110-D111)</f>
        <v>——</v>
      </c>
      <c r="E114" s="2189"/>
      <c r="F114" s="2853" t="str">
        <f>IF(项目基本情况!G5="抵押净值",IF(OR(项目基本情况!F5="已注销",项目基本情况!F5="房地产抵押价值"),"4.抵押净值","5.抵押净值"),"——")</f>
        <v>——</v>
      </c>
      <c r="G114" s="2854"/>
      <c r="H114" s="2285" t="str">
        <f>C116</f>
        <v>总价（元）</v>
      </c>
      <c r="I114" s="1858" t="str">
        <f>IF(F114="——","——",N59)</f>
        <v>——</v>
      </c>
    </row>
    <row r="115" spans="1:15" ht="15.75" thickBot="1">
      <c r="A115" s="2865"/>
      <c r="B115" s="2866"/>
      <c r="C115" s="2285" t="s">
        <v>1933</v>
      </c>
      <c r="D115" s="1048" t="str">
        <f>IF(A114="——","——",ROUND(IF(D114=D106,D107,IF(H19="元",D114/项目基本情况!C12,D114*10000/项目基本情况!C12)),0))</f>
        <v>——</v>
      </c>
      <c r="E115" s="2189"/>
      <c r="F115" s="2855"/>
      <c r="G115" s="2856"/>
      <c r="H115" s="2293" t="s">
        <v>1933</v>
      </c>
      <c r="I115" s="1860" t="str">
        <f ca="1">D117</f>
        <v>——</v>
      </c>
    </row>
    <row r="116" spans="1:15" ht="15.75">
      <c r="A116" s="2865" t="str">
        <f>IF(项目基本情况!G5="抵押净值",IF(OR(项目基本情况!F5="已注销",项目基本情况!F5="房地产抵押价值"),"4.抵押净值","5.抵押净值"),"——")</f>
        <v>——</v>
      </c>
      <c r="B116" s="2866"/>
      <c r="C116" s="2285" t="str">
        <f>B101</f>
        <v>总价（元）</v>
      </c>
      <c r="D116" s="1047" t="str">
        <f>IF(A116="——","——",N59)</f>
        <v>——</v>
      </c>
      <c r="E116" s="2189"/>
      <c r="F116" s="2965"/>
      <c r="G116" s="2965"/>
      <c r="H116" s="2921"/>
      <c r="I116" s="2921"/>
      <c r="N116" s="55"/>
      <c r="O116" s="55"/>
    </row>
    <row r="117" spans="1:15" ht="15.75" thickBot="1">
      <c r="A117" s="2870"/>
      <c r="B117" s="2871"/>
      <c r="C117" s="2293" t="s">
        <v>1933</v>
      </c>
      <c r="D117" s="1049" t="str">
        <f ca="1">IF(D116=D112,D113,IF(A116="——","——",N61))</f>
        <v>——</v>
      </c>
      <c r="E117" s="2189"/>
      <c r="F117" s="2845" t="str">
        <f>IF(B32="总价","（以上估价结果中单价为总价除以建筑面积得出）","（以上估价结果中总价为楼面单价乘以建筑面积得出）")</f>
        <v>（以上估价结果中总价为楼面单价乘以建筑面积得出）</v>
      </c>
      <c r="G117" s="2845"/>
      <c r="H117" s="2845"/>
      <c r="I117" s="2845"/>
      <c r="N117" s="55"/>
      <c r="O117" s="55"/>
    </row>
    <row r="118" spans="1:15" ht="15">
      <c r="A118" s="2922" t="s">
        <v>1943</v>
      </c>
      <c r="B118" s="2923"/>
      <c r="C118" s="2923"/>
      <c r="D118" s="2923"/>
      <c r="E118" s="2923"/>
      <c r="F118" s="2923"/>
      <c r="G118" s="2923"/>
      <c r="H118" s="2923"/>
      <c r="I118" s="2923"/>
    </row>
    <row r="119" spans="1:15" ht="14.25">
      <c r="A119" s="2846" t="s">
        <v>1944</v>
      </c>
      <c r="B119" s="2876" t="s">
        <v>1945</v>
      </c>
      <c r="C119" s="2876" t="s">
        <v>1946</v>
      </c>
      <c r="D119" s="2948" t="s">
        <v>1947</v>
      </c>
      <c r="E119" s="2949"/>
      <c r="F119" s="2847" t="s">
        <v>1805</v>
      </c>
      <c r="G119" s="2847"/>
      <c r="H119" s="2847" t="s">
        <v>1948</v>
      </c>
      <c r="I119" s="2947"/>
    </row>
    <row r="120" spans="1:15" ht="14.25">
      <c r="A120" s="2846"/>
      <c r="B120" s="2877"/>
      <c r="C120" s="2877"/>
      <c r="D120" s="1882" t="s">
        <v>1949</v>
      </c>
      <c r="E120" s="1882" t="s">
        <v>1950</v>
      </c>
      <c r="F120" s="1882" t="s">
        <v>1949</v>
      </c>
      <c r="G120" s="1882" t="s">
        <v>1951</v>
      </c>
      <c r="H120" s="1882" t="s">
        <v>1949</v>
      </c>
      <c r="I120" s="637" t="s">
        <v>1951</v>
      </c>
    </row>
    <row r="121" spans="1:15" ht="71.25">
      <c r="A121" s="2175" t="str">
        <f>项目基本情况!I1</f>
        <v>北京市北京市通州区枫露苑一区甲1号楼1至4层甲1号楼房地产</v>
      </c>
      <c r="B121" s="1882">
        <f>项目基本情况!C12</f>
        <v>3600.5</v>
      </c>
      <c r="C121" s="1882">
        <f>项目基本情况!C13</f>
        <v>1441.8</v>
      </c>
      <c r="D121" s="1882">
        <f ca="1">ROUND(IF(B32="总价",C34,IF('数据-取费表'!B3="万元",E121*B121/10000,E121*B121)),0)</f>
        <v>98426869</v>
      </c>
      <c r="E121" s="1882">
        <f ca="1">ROUND(IF(B32="楼面单价",C34,IF(H19="元",D121/B121,D121*10000/B121)),0)</f>
        <v>27337</v>
      </c>
      <c r="F121" s="1882">
        <f ca="1">ROUND(IF(B32="总价",C35,IF('数据-取费表'!B3="万元",G121*B121/10000,G121*B121)),0)</f>
        <v>7978708</v>
      </c>
      <c r="G121" s="1882">
        <f ca="1">ROUND(IF(B32="楼面单价",C35,IF(H19="元",F121/B121,F121*10000/B121)),0)</f>
        <v>2216</v>
      </c>
      <c r="H121" s="1882">
        <f ca="1">ROUND(IF(B32="总价",C32,IF('数据-取费表'!B3="万元",I121*B121/10000,I121*B121)),0)</f>
        <v>106405577</v>
      </c>
      <c r="I121" s="637">
        <f ca="1">ROUND(IF(B32="楼面单价",C32,IF(H19="元",H121/B121,H121*10000/B121)),0)</f>
        <v>29553</v>
      </c>
    </row>
    <row r="122" spans="1:15" ht="14.25">
      <c r="A122" s="2846" t="s">
        <v>1952</v>
      </c>
      <c r="B122" s="2847"/>
      <c r="C122" s="2847"/>
      <c r="D122" s="2880" t="str">
        <f ca="1">IF(H19="元",NUMBERSTRING(INT(D121),2)&amp;"元整",NUMBERSTRING(INT(D121*10000),2)&amp;"元整")</f>
        <v>玖仟捌佰肆拾贰万陆仟捌佰陆拾玖元整</v>
      </c>
      <c r="E122" s="2927"/>
      <c r="F122" s="2880" t="str">
        <f ca="1">IF(H19="元",NUMBERSTRING(INT(F121),2)&amp;"元整",NUMBERSTRING(INT(F121*10000),2)&amp;"元整")</f>
        <v>柒佰玖拾柒万捌仟柒佰零捌元整</v>
      </c>
      <c r="G122" s="2927"/>
      <c r="H122" s="2880" t="str">
        <f ca="1">IF(H19="元",NUMBERSTRING(INT(H121),2)&amp;"元整",NUMBERSTRING(INT(H121*10000),2)&amp;"元整")</f>
        <v>壹亿零陆佰肆拾万伍仟伍佰柒拾柒元整</v>
      </c>
      <c r="I122" s="2881"/>
    </row>
    <row r="123" spans="1:15" ht="15">
      <c r="A123" s="2928" t="str">
        <f>IF(项目基本情况!D5="房地产市场价值","——",MID(A108,3,LEN(A108)-2))</f>
        <v>估价师所知悉的法定优先受偿款</v>
      </c>
      <c r="B123" s="2858"/>
      <c r="C123" s="2929"/>
      <c r="D123" s="2857">
        <f>I105</f>
        <v>0</v>
      </c>
      <c r="E123" s="2858"/>
      <c r="F123" s="2858"/>
      <c r="G123" s="2858"/>
      <c r="H123" s="2858"/>
      <c r="I123" s="2859"/>
    </row>
    <row r="124" spans="1:15" ht="14.25">
      <c r="A124" s="2930" t="s">
        <v>1952</v>
      </c>
      <c r="B124" s="2931"/>
      <c r="C124" s="2932"/>
      <c r="D124" s="2860">
        <f>H109</f>
        <v>0</v>
      </c>
      <c r="E124" s="2861"/>
      <c r="F124" s="2861"/>
      <c r="G124" s="2861"/>
      <c r="H124" s="2861"/>
      <c r="I124" s="2862"/>
    </row>
    <row r="125" spans="1:15" ht="15">
      <c r="A125" s="2863" t="str">
        <f>IF(项目基本情况!D5="房地产市场价值","——",MID(A112,3,LEN(A112)-2))</f>
        <v>房地产抵押价值</v>
      </c>
      <c r="B125" s="2864"/>
      <c r="C125" s="2864"/>
      <c r="D125" s="2857">
        <f ca="1">I110</f>
        <v>106405577</v>
      </c>
      <c r="E125" s="2858"/>
      <c r="F125" s="2858"/>
      <c r="G125" s="2858"/>
      <c r="H125" s="2858"/>
      <c r="I125" s="2859"/>
    </row>
    <row r="126" spans="1:15" ht="14.25">
      <c r="A126" s="2846" t="s">
        <v>1952</v>
      </c>
      <c r="B126" s="2847"/>
      <c r="C126" s="2847"/>
      <c r="D126" s="2860">
        <f ca="1">I111</f>
        <v>29553</v>
      </c>
      <c r="E126" s="2861"/>
      <c r="F126" s="2861"/>
      <c r="G126" s="2861"/>
      <c r="H126" s="2861"/>
      <c r="I126" s="2862"/>
    </row>
    <row r="127" spans="1:15" ht="15.75" thickBot="1">
      <c r="A127" s="2863" t="str">
        <f>IF(项目基本情况!D5="房地产市场价值","——",MID(A114,3,LEN(A114)-2))</f>
        <v/>
      </c>
      <c r="B127" s="2864"/>
      <c r="C127" s="2864"/>
      <c r="D127" s="2962" t="str">
        <f>I112</f>
        <v>——</v>
      </c>
      <c r="E127" s="2963"/>
      <c r="F127" s="2963"/>
      <c r="G127" s="2963"/>
      <c r="H127" s="2963"/>
      <c r="I127" s="2964"/>
    </row>
    <row r="128" spans="1:15" ht="15.75" thickTop="1" thickBot="1">
      <c r="A128" s="2846" t="s">
        <v>1952</v>
      </c>
      <c r="B128" s="2847"/>
      <c r="C128" s="2848"/>
      <c r="D128" s="2920" t="str">
        <f>I113</f>
        <v>——</v>
      </c>
      <c r="E128" s="2920"/>
      <c r="F128" s="2920"/>
      <c r="G128" s="2920"/>
      <c r="H128" s="2920"/>
      <c r="I128" s="2920"/>
    </row>
    <row r="129" spans="1:9" ht="16.5" thickTop="1" thickBot="1">
      <c r="A129" s="2863" t="str">
        <f>IF(项目基本情况!D5="房地产市场价值","——",MID(F114,3,LEN(F114)-2))</f>
        <v/>
      </c>
      <c r="B129" s="2864"/>
      <c r="C129" s="2857"/>
      <c r="D129" s="2869" t="str">
        <f>I114</f>
        <v>——</v>
      </c>
      <c r="E129" s="2869"/>
      <c r="F129" s="2869"/>
      <c r="G129" s="2869"/>
      <c r="H129" s="2869"/>
      <c r="I129" s="2869"/>
    </row>
    <row r="130" spans="1:9" ht="15.75" thickTop="1" thickBot="1">
      <c r="A130" s="2874" t="s">
        <v>1952</v>
      </c>
      <c r="B130" s="2875"/>
      <c r="C130" s="2875"/>
      <c r="D130" s="2882">
        <f>H116</f>
        <v>0</v>
      </c>
      <c r="E130" s="2883"/>
      <c r="F130" s="2883"/>
      <c r="G130" s="2883"/>
      <c r="H130" s="2883"/>
      <c r="I130" s="2884"/>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44" t="str">
        <f>IF(B32="总价","（以上估价结果中楼面单价为总价除以建筑面积得出）","（以上估价结果中总价为楼面单价乘以建筑面积得出）")</f>
        <v>（以上估价结果中总价为楼面单价乘以建筑面积得出）</v>
      </c>
      <c r="B132" s="2844"/>
      <c r="C132" s="2844"/>
      <c r="D132" s="2844"/>
      <c r="E132" s="2844"/>
      <c r="F132" s="2844"/>
      <c r="G132" s="2844"/>
      <c r="H132" s="2844"/>
      <c r="I132" s="2844"/>
    </row>
    <row r="133" spans="1:9" ht="21.75" customHeight="1">
      <c r="A133" s="2294" t="s">
        <v>1953</v>
      </c>
      <c r="B133" s="2295"/>
      <c r="C133" s="2296" t="s">
        <v>1954</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1955</v>
      </c>
      <c r="G139" s="2308"/>
      <c r="H139" s="2308"/>
      <c r="I139" s="2309" t="s">
        <v>1956</v>
      </c>
    </row>
    <row r="140" spans="1:9" ht="21.75" customHeight="1">
      <c r="A140" s="798"/>
      <c r="B140" s="2310"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1958</v>
      </c>
    </row>
    <row r="143" spans="1:9" ht="21.75" customHeight="1">
      <c r="A143" s="798"/>
      <c r="B143" s="2310" t="s">
        <v>1959</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1958</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sqref="A1:XFD1048576"/>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1960</v>
      </c>
      <c r="B1" s="2189"/>
      <c r="C1" s="2189"/>
      <c r="D1" s="2189"/>
      <c r="E1" s="2189"/>
      <c r="F1" s="2189"/>
      <c r="G1" s="2189"/>
      <c r="H1" s="2189"/>
      <c r="I1" s="2189"/>
    </row>
    <row r="2" spans="1:12" ht="21.75" customHeight="1">
      <c r="A2" s="2981" t="s">
        <v>1961</v>
      </c>
      <c r="B2" s="2981"/>
      <c r="C2" s="2981"/>
      <c r="D2" s="2981"/>
      <c r="E2" s="2981"/>
      <c r="F2" s="2981"/>
      <c r="G2" s="2981"/>
      <c r="H2" s="2981"/>
      <c r="I2" s="2981"/>
    </row>
    <row r="3" spans="1:12" ht="12.75">
      <c r="A3" s="2911" t="s">
        <v>1765</v>
      </c>
      <c r="B3" s="2912"/>
      <c r="C3" s="2912"/>
      <c r="D3" s="2912"/>
      <c r="E3" s="2912"/>
      <c r="F3" s="2912"/>
      <c r="G3" s="2912"/>
      <c r="H3" s="2912"/>
      <c r="I3" s="2912"/>
    </row>
    <row r="4" spans="1:12" ht="14.25">
      <c r="A4" s="2191" t="s">
        <v>1766</v>
      </c>
      <c r="B4" s="2192" t="s">
        <v>1767</v>
      </c>
      <c r="C4" s="2193"/>
      <c r="D4" s="2193"/>
      <c r="E4" s="2892" t="s">
        <v>1962</v>
      </c>
      <c r="F4" s="2893"/>
      <c r="G4" s="2893"/>
      <c r="H4" s="2893"/>
      <c r="I4" s="2903"/>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5" t="s">
        <v>1769</v>
      </c>
      <c r="B5" s="2847">
        <v>25</v>
      </c>
      <c r="C5" s="2896"/>
      <c r="D5" s="2910"/>
      <c r="E5" s="56" t="s">
        <v>1770</v>
      </c>
      <c r="F5" s="2194"/>
      <c r="G5" s="2194"/>
      <c r="H5" s="2194"/>
      <c r="I5" s="2195"/>
    </row>
    <row r="6" spans="1:12" ht="12.75">
      <c r="A6" s="2885"/>
      <c r="B6" s="2847"/>
      <c r="C6" s="2913"/>
      <c r="D6" s="2910"/>
      <c r="E6" s="56" t="s">
        <v>1771</v>
      </c>
      <c r="F6" s="2194"/>
      <c r="G6" s="2194"/>
      <c r="H6" s="2194"/>
      <c r="I6" s="2195"/>
    </row>
    <row r="7" spans="1:12" ht="12.75">
      <c r="A7" s="2885"/>
      <c r="B7" s="2847"/>
      <c r="C7" s="2897"/>
      <c r="D7" s="2910"/>
      <c r="E7" s="56" t="s">
        <v>1772</v>
      </c>
      <c r="F7" s="2194"/>
      <c r="G7" s="2194"/>
      <c r="H7" s="2194"/>
      <c r="I7" s="2195"/>
    </row>
    <row r="8" spans="1:12" ht="12.75">
      <c r="A8" s="2885" t="s">
        <v>1773</v>
      </c>
      <c r="B8" s="2847">
        <v>15</v>
      </c>
      <c r="C8" s="2896"/>
      <c r="D8" s="2910"/>
      <c r="E8" s="56" t="s">
        <v>1774</v>
      </c>
      <c r="F8" s="2194"/>
      <c r="G8" s="2194"/>
      <c r="H8" s="2194"/>
      <c r="I8" s="2195"/>
    </row>
    <row r="9" spans="1:12" ht="12.75">
      <c r="A9" s="2885"/>
      <c r="B9" s="2847"/>
      <c r="C9" s="2897"/>
      <c r="D9" s="2910"/>
      <c r="E9" s="56" t="s">
        <v>1775</v>
      </c>
      <c r="F9" s="2194"/>
      <c r="G9" s="2194"/>
      <c r="H9" s="2194"/>
      <c r="I9" s="2195"/>
    </row>
    <row r="10" spans="1:12" ht="12.75">
      <c r="A10" s="2885" t="s">
        <v>1776</v>
      </c>
      <c r="B10" s="2847">
        <v>15</v>
      </c>
      <c r="C10" s="2896"/>
      <c r="D10" s="2910"/>
      <c r="E10" s="56" t="s">
        <v>1777</v>
      </c>
      <c r="F10" s="2194"/>
      <c r="G10" s="2194"/>
      <c r="H10" s="2194"/>
      <c r="I10" s="2195"/>
    </row>
    <row r="11" spans="1:12" ht="12.75">
      <c r="A11" s="2885"/>
      <c r="B11" s="2847"/>
      <c r="C11" s="2897"/>
      <c r="D11" s="2910"/>
      <c r="E11" s="56" t="s">
        <v>1778</v>
      </c>
      <c r="F11" s="2194"/>
      <c r="G11" s="2194"/>
      <c r="H11" s="2194"/>
      <c r="I11" s="2195"/>
    </row>
    <row r="12" spans="1:12" ht="12.75">
      <c r="A12" s="2885" t="s">
        <v>1779</v>
      </c>
      <c r="B12" s="2847">
        <v>15</v>
      </c>
      <c r="C12" s="2896"/>
      <c r="D12" s="2910"/>
      <c r="E12" s="56" t="s">
        <v>1780</v>
      </c>
      <c r="F12" s="2194"/>
      <c r="G12" s="2194"/>
      <c r="H12" s="2194"/>
      <c r="I12" s="2195"/>
    </row>
    <row r="13" spans="1:12" ht="12.75">
      <c r="A13" s="2885"/>
      <c r="B13" s="2847"/>
      <c r="C13" s="2897"/>
      <c r="D13" s="2910"/>
      <c r="E13" s="56" t="s">
        <v>1781</v>
      </c>
      <c r="F13" s="2194"/>
      <c r="G13" s="2194"/>
      <c r="H13" s="2194"/>
      <c r="I13" s="2195"/>
    </row>
    <row r="14" spans="1:12" ht="12.75">
      <c r="A14" s="2885" t="s">
        <v>1782</v>
      </c>
      <c r="B14" s="2847">
        <v>30</v>
      </c>
      <c r="C14" s="2896"/>
      <c r="D14" s="2910"/>
      <c r="E14" s="56" t="s">
        <v>1783</v>
      </c>
      <c r="F14" s="2194"/>
      <c r="G14" s="2194"/>
      <c r="H14" s="2194"/>
      <c r="I14" s="2195"/>
    </row>
    <row r="15" spans="1:12" ht="12.75">
      <c r="A15" s="2885"/>
      <c r="B15" s="2847"/>
      <c r="C15" s="2913"/>
      <c r="D15" s="2910"/>
      <c r="E15" s="56" t="s">
        <v>1784</v>
      </c>
      <c r="F15" s="2194"/>
      <c r="G15" s="2194"/>
      <c r="H15" s="2194"/>
      <c r="I15" s="2195"/>
    </row>
    <row r="16" spans="1:12" ht="12.75">
      <c r="A16" s="2885"/>
      <c r="B16" s="2847"/>
      <c r="C16" s="2897"/>
      <c r="D16" s="2910"/>
      <c r="E16" s="56" t="s">
        <v>1785</v>
      </c>
      <c r="F16" s="2194"/>
      <c r="G16" s="2194"/>
      <c r="H16" s="2194"/>
      <c r="I16" s="2195"/>
    </row>
    <row r="17" spans="1:35" ht="15">
      <c r="A17" s="2196" t="s">
        <v>1786</v>
      </c>
      <c r="B17" s="2197"/>
      <c r="C17" s="57">
        <f>SUM(C5:C16)</f>
        <v>0</v>
      </c>
      <c r="D17" s="57">
        <f>SUM(D5:D16)</f>
        <v>0</v>
      </c>
      <c r="E17" s="2189"/>
      <c r="F17" s="2189"/>
      <c r="G17" s="2189"/>
      <c r="H17" s="2189"/>
      <c r="I17" s="2189"/>
    </row>
    <row r="18" spans="1:35" ht="15.75" thickBot="1">
      <c r="A18" s="2198" t="s">
        <v>1787</v>
      </c>
      <c r="B18" s="2199"/>
      <c r="C18" s="58" t="e">
        <f>ROUND(C17/SUM(C17:D17),2)</f>
        <v>#DIV/0!</v>
      </c>
      <c r="D18" s="58" t="e">
        <f>1-C18</f>
        <v>#DIV/0!</v>
      </c>
      <c r="E18" s="2189"/>
      <c r="F18" s="2189"/>
      <c r="G18" s="2189"/>
      <c r="H18" s="2189"/>
      <c r="I18" s="2189"/>
    </row>
    <row r="19" spans="1:35" ht="15">
      <c r="A19" s="2200" t="s">
        <v>1788</v>
      </c>
      <c r="B19" s="2201" t="s">
        <v>1789</v>
      </c>
      <c r="C19" s="59" t="e">
        <f ca="1">SUMIF(INDIRECT("'"&amp;C4&amp;"'"&amp;"!A:A"),'结果表 (1修多)'!B19,INDIRECT("'"&amp;C4&amp;"'"&amp;"!B:B"))</f>
        <v>#REF!</v>
      </c>
      <c r="D19" s="60" t="e">
        <f ca="1">SUMIF(INDIRECT("'"&amp;D4&amp;"'"&amp;"!A:A"),'结果表 (1修多)'!B19,INDIRECT("'"&amp;D4&amp;"'"&amp;"!B:B"))</f>
        <v>#REF!</v>
      </c>
      <c r="E19" s="2200" t="s">
        <v>1790</v>
      </c>
      <c r="F19" s="2201" t="s">
        <v>1789</v>
      </c>
      <c r="G19" s="61" t="e">
        <f ca="1">ROUND(C19*$C$18+D19*$D$18,0)</f>
        <v>#REF!</v>
      </c>
      <c r="H19" s="2202" t="str">
        <f>'数据-取费表'!B3</f>
        <v>元</v>
      </c>
      <c r="I19" s="2189"/>
    </row>
    <row r="20" spans="1:35" ht="15">
      <c r="A20" s="2203"/>
      <c r="B20" s="2204" t="s">
        <v>1791</v>
      </c>
      <c r="C20" s="62" t="e">
        <f ca="1">SUMIF(INDIRECT("'"&amp;C4&amp;"'"&amp;"!A:A"),'结果表 (1修多)'!B20,INDIRECT("'"&amp;C4&amp;"'"&amp;"!B:B"))</f>
        <v>#REF!</v>
      </c>
      <c r="D20" s="63" t="e">
        <f ca="1">SUMIF(INDIRECT("'"&amp;D4&amp;"'"&amp;"!A:A"),'结果表 (1修多)'!B20,INDIRECT("'"&amp;D4&amp;"'"&amp;"!B:B"))</f>
        <v>#REF!</v>
      </c>
      <c r="E20" s="2203"/>
      <c r="F20" s="2204" t="s">
        <v>1791</v>
      </c>
      <c r="G20" s="64" t="e">
        <f ca="1">ROUND(C20*$C$18+D20*$D$18,0)</f>
        <v>#REF!</v>
      </c>
      <c r="H20" s="2205" t="s">
        <v>1792</v>
      </c>
      <c r="I20" s="2189"/>
    </row>
    <row r="21" spans="1:35" ht="15" customHeight="1" thickBot="1">
      <c r="A21" s="2206"/>
      <c r="B21" s="2207"/>
      <c r="C21" s="770"/>
      <c r="D21" s="771"/>
      <c r="E21" s="2206"/>
      <c r="F21" s="2207"/>
      <c r="G21" s="65"/>
      <c r="H21" s="2208"/>
      <c r="I21" s="2189"/>
    </row>
    <row r="22" spans="1:35" ht="15" thickBot="1">
      <c r="A22" s="2209" t="s">
        <v>1793</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16" t="s">
        <v>1794</v>
      </c>
      <c r="B24" s="2201" t="s">
        <v>1789</v>
      </c>
      <c r="C24" s="61">
        <f>D30</f>
        <v>0</v>
      </c>
      <c r="D24" s="990"/>
      <c r="E24" s="2189"/>
      <c r="F24" s="2189"/>
      <c r="G24" s="2189"/>
      <c r="H24" s="2189"/>
      <c r="I24" s="2189"/>
    </row>
    <row r="25" spans="1:35" ht="21.75" customHeight="1">
      <c r="A25" s="2917"/>
      <c r="B25" s="2204" t="s">
        <v>1791</v>
      </c>
      <c r="C25" s="66">
        <f>IF(B30=0,0,C30)</f>
        <v>0</v>
      </c>
      <c r="D25" s="2212"/>
      <c r="E25" s="2189"/>
      <c r="F25" s="2189"/>
      <c r="G25" s="2189"/>
      <c r="H25" s="2189"/>
      <c r="I25" s="2189"/>
    </row>
    <row r="26" spans="1:35" ht="13.5" customHeight="1">
      <c r="A26" s="2213" t="s">
        <v>1795</v>
      </c>
      <c r="B26" s="67" t="s">
        <v>1796</v>
      </c>
      <c r="C26" s="67" t="s">
        <v>1797</v>
      </c>
      <c r="D26" s="68" t="s">
        <v>1798</v>
      </c>
      <c r="E26" s="2189"/>
      <c r="F26" s="2189"/>
      <c r="G26" s="2189"/>
      <c r="H26" s="2189"/>
      <c r="I26" s="2189"/>
    </row>
    <row r="27" spans="1:35" ht="14.25">
      <c r="A27" s="2214" t="s">
        <v>1963</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1964</v>
      </c>
      <c r="B30" s="2699"/>
      <c r="C30" s="2699"/>
      <c r="D30" s="2699"/>
      <c r="E30" s="2697" t="s">
        <v>2797</v>
      </c>
      <c r="F30" s="2189"/>
      <c r="G30" s="2189"/>
      <c r="H30" s="2189"/>
      <c r="I30" s="2189"/>
    </row>
    <row r="31" spans="1:35" s="2216" customFormat="1" ht="15.75" thickBot="1">
      <c r="A31" s="2972" t="s">
        <v>1965</v>
      </c>
      <c r="B31" s="2972"/>
      <c r="C31" s="2972"/>
      <c r="D31" s="2972"/>
      <c r="E31" s="2972"/>
      <c r="F31" s="2972"/>
      <c r="G31" s="2972"/>
      <c r="H31" s="2972"/>
      <c r="I31" s="297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1966</v>
      </c>
      <c r="C32" s="1304">
        <f>典型户型修正!R27</f>
        <v>0</v>
      </c>
      <c r="D32" s="2189" t="s">
        <v>1967</v>
      </c>
      <c r="E32" s="2189"/>
      <c r="F32" s="2189"/>
      <c r="G32" s="2189"/>
      <c r="H32" s="2189"/>
      <c r="I32" s="2189"/>
    </row>
    <row r="33" spans="1:16" ht="15">
      <c r="A33" s="2316" t="s">
        <v>1968</v>
      </c>
      <c r="B33" s="2317" t="s">
        <v>1969</v>
      </c>
      <c r="C33" s="1305">
        <f>典型户型修正!B2</f>
        <v>0</v>
      </c>
      <c r="D33" s="2318" t="str">
        <f>IF('数据-取费表'!B3="万元","万元","元")</f>
        <v>元</v>
      </c>
      <c r="E33" s="2189"/>
      <c r="F33" s="2189"/>
      <c r="G33" s="2189"/>
      <c r="H33" s="2189"/>
      <c r="I33" s="2189"/>
    </row>
    <row r="34" spans="1:16" ht="15.75" thickBot="1">
      <c r="A34" s="2319"/>
      <c r="B34" s="2320" t="s">
        <v>1970</v>
      </c>
      <c r="C34" s="771" t="e">
        <f>典型户型修正!B3</f>
        <v>#DIV/0!</v>
      </c>
      <c r="D34" s="2189" t="s">
        <v>1971</v>
      </c>
      <c r="E34" s="2189"/>
      <c r="F34" s="2189"/>
      <c r="G34" s="2189"/>
      <c r="H34" s="2189"/>
      <c r="I34" s="2189"/>
    </row>
    <row r="35" spans="1:16" ht="15">
      <c r="A35" s="2321"/>
      <c r="B35" s="2322" t="s">
        <v>1972</v>
      </c>
      <c r="C35" s="1312">
        <f>IF('数据-取费表'!B3="万元",典型户型修正!V25,典型户型修正!U25)</f>
        <v>0</v>
      </c>
      <c r="D35" s="2189" t="str">
        <f>D33</f>
        <v>元</v>
      </c>
      <c r="E35" s="2189"/>
      <c r="F35" s="2189"/>
      <c r="G35" s="2189"/>
      <c r="H35" s="2189"/>
      <c r="I35" s="2189"/>
    </row>
    <row r="36" spans="1:16" ht="15.75" thickBot="1">
      <c r="A36" s="2228"/>
      <c r="B36" s="2323" t="s">
        <v>1973</v>
      </c>
      <c r="C36" s="1313">
        <f>IF('数据-取费表'!B3="万元",典型户型修正!Y25,典型户型修正!X25)</f>
        <v>0</v>
      </c>
      <c r="D36" s="2189" t="str">
        <f>D33</f>
        <v>元</v>
      </c>
      <c r="E36" s="2189"/>
      <c r="F36" s="2189"/>
      <c r="G36" s="2189"/>
      <c r="H36" s="2189"/>
      <c r="I36" s="2189"/>
    </row>
    <row r="37" spans="1:16" ht="15.75" thickBot="1">
      <c r="A37" s="2898" t="s">
        <v>1974</v>
      </c>
      <c r="B37" s="2231" t="s">
        <v>1975</v>
      </c>
      <c r="C37" s="69"/>
      <c r="D37" s="2232"/>
      <c r="E37" s="2233"/>
      <c r="F37" s="2233"/>
      <c r="G37" s="2189"/>
      <c r="H37" s="2189"/>
      <c r="I37" s="2189"/>
    </row>
    <row r="38" spans="1:16" ht="15.75" thickBot="1">
      <c r="A38" s="2899"/>
      <c r="B38" s="2234" t="s">
        <v>1976</v>
      </c>
      <c r="C38" s="71"/>
      <c r="D38" s="2199"/>
      <c r="E38" s="2199"/>
      <c r="F38" s="2233"/>
      <c r="G38" s="2199"/>
      <c r="H38" s="2199"/>
      <c r="I38" s="2199"/>
    </row>
    <row r="39" spans="1:16" ht="15.75" thickBot="1">
      <c r="A39" s="2900"/>
      <c r="B39" s="2235" t="s">
        <v>1977</v>
      </c>
      <c r="C39" s="712"/>
      <c r="D39" s="2236" t="s">
        <v>1978</v>
      </c>
      <c r="E39" s="2199"/>
      <c r="F39" s="2233"/>
      <c r="G39" s="2199"/>
      <c r="H39" s="2199"/>
      <c r="I39" s="2199"/>
    </row>
    <row r="40" spans="1:16" ht="15">
      <c r="A40" s="2203" t="s">
        <v>1979</v>
      </c>
      <c r="B40" s="2237" t="s">
        <v>1980</v>
      </c>
      <c r="C40" s="2238" t="s">
        <v>1981</v>
      </c>
      <c r="D40" s="2238" t="s">
        <v>1982</v>
      </c>
      <c r="E40" s="2239" t="s">
        <v>1983</v>
      </c>
      <c r="F40" s="2233"/>
      <c r="G40" s="2199"/>
      <c r="H40" s="2199"/>
      <c r="I40" s="2199"/>
    </row>
    <row r="41" spans="1:16" ht="14.25">
      <c r="A41" s="2240" t="s">
        <v>1984</v>
      </c>
      <c r="B41" s="74"/>
      <c r="C41" s="75"/>
      <c r="D41" s="75"/>
      <c r="E41" s="76"/>
      <c r="F41" s="2233"/>
      <c r="G41" s="2199"/>
      <c r="H41" s="2199"/>
      <c r="I41" s="2199"/>
    </row>
    <row r="42" spans="1:16" ht="14.25">
      <c r="A42" s="2240" t="s">
        <v>1985</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1986</v>
      </c>
      <c r="B45" s="2246"/>
      <c r="C45" s="2246"/>
      <c r="D45" s="2247"/>
      <c r="E45" s="2247"/>
      <c r="F45" s="2248"/>
      <c r="G45" s="2248"/>
      <c r="H45" s="2248"/>
      <c r="I45" s="2248"/>
      <c r="J45" s="2249" t="s">
        <v>1817</v>
      </c>
      <c r="K45" s="2250"/>
      <c r="L45" s="2250"/>
      <c r="M45" s="2250"/>
      <c r="N45" s="2250"/>
      <c r="O45" s="2250"/>
      <c r="P45" s="1841"/>
    </row>
    <row r="46" spans="1:16" ht="14.25" customHeight="1" thickBot="1">
      <c r="A46" s="2904" t="s">
        <v>1987</v>
      </c>
      <c r="B46" s="2905"/>
      <c r="C46" s="2906"/>
      <c r="D46" s="80">
        <f>ROUND(I103*F46,0)</f>
        <v>0</v>
      </c>
      <c r="E46" s="81" t="s">
        <v>1988</v>
      </c>
      <c r="F46" s="82">
        <v>1</v>
      </c>
      <c r="G46" s="83" t="s">
        <v>1989</v>
      </c>
      <c r="H46" s="2189"/>
      <c r="I46" s="2189"/>
      <c r="J46" s="2966" t="s">
        <v>1821</v>
      </c>
      <c r="K46" s="2966"/>
      <c r="L46" s="2966"/>
      <c r="M46" s="2966"/>
      <c r="N46" s="2966"/>
      <c r="O46" s="2966"/>
      <c r="P46" s="1841"/>
    </row>
    <row r="47" spans="1:16" ht="14.25" customHeight="1">
      <c r="A47" s="2889" t="s">
        <v>1822</v>
      </c>
      <c r="B47" s="2890"/>
      <c r="C47" s="2890"/>
      <c r="D47" s="2890"/>
      <c r="E47" s="2890"/>
      <c r="F47" s="2890"/>
      <c r="G47" s="2891"/>
      <c r="H47" s="2251"/>
      <c r="I47" s="1140"/>
      <c r="J47" s="1878">
        <v>1</v>
      </c>
      <c r="K47" s="2966" t="s">
        <v>1823</v>
      </c>
      <c r="L47" s="2966"/>
      <c r="M47" s="2982"/>
      <c r="N47" s="2982"/>
      <c r="O47" s="2982"/>
      <c r="P47" s="1841"/>
    </row>
    <row r="48" spans="1:16" ht="12" customHeight="1">
      <c r="A48" s="85" t="s">
        <v>1824</v>
      </c>
      <c r="B48" s="86"/>
      <c r="C48" s="87"/>
      <c r="D48" s="88" t="s">
        <v>1825</v>
      </c>
      <c r="E48" s="14" t="s">
        <v>1826</v>
      </c>
      <c r="F48" s="89" t="s">
        <v>1827</v>
      </c>
      <c r="G48" s="90" t="s">
        <v>1828</v>
      </c>
      <c r="H48" s="2251"/>
      <c r="I48" s="1140"/>
      <c r="J48" s="1878">
        <v>2</v>
      </c>
      <c r="K48" s="2966" t="s">
        <v>1829</v>
      </c>
      <c r="L48" s="2966"/>
      <c r="M48" s="2968">
        <f>'数据-取费表'!B2</f>
        <v>43965</v>
      </c>
      <c r="N48" s="2968"/>
      <c r="O48" s="2968"/>
      <c r="P48" s="1841"/>
    </row>
    <row r="49" spans="1:16" ht="25.5">
      <c r="A49" s="2901" t="s">
        <v>1830</v>
      </c>
      <c r="B49" s="2902"/>
      <c r="C49" s="2902"/>
      <c r="D49" s="56">
        <f>IF(H49="情况1",0,IF(H49="情况2",D53,IF(H49="情况3",D54,IF(H49="情况4",D55))))</f>
        <v>0</v>
      </c>
      <c r="E49" s="1888" t="str">
        <f>IF(H49="情况4","(销售额-原购置价)×税（费）率","销售额×税（费）率")</f>
        <v>销售额×税（费）率</v>
      </c>
      <c r="F49" s="91">
        <f>IF(H49="情况1","免征",'数据-取费表'!E29)</f>
        <v>5.6000000000000001E-2</v>
      </c>
      <c r="G49" s="2252" t="s">
        <v>1831</v>
      </c>
      <c r="H49" s="2253" t="s">
        <v>1832</v>
      </c>
      <c r="I49" s="2251"/>
      <c r="J49" s="1878">
        <v>3</v>
      </c>
      <c r="K49" s="2966" t="s">
        <v>1833</v>
      </c>
      <c r="L49" s="2966"/>
      <c r="M49" s="2967">
        <f>I103</f>
        <v>0</v>
      </c>
      <c r="N49" s="2967"/>
      <c r="O49" s="2967"/>
      <c r="P49" s="1841"/>
    </row>
    <row r="50" spans="1:16" ht="25.5" customHeight="1">
      <c r="A50" s="92" t="s">
        <v>1834</v>
      </c>
      <c r="B50" s="2894" t="s">
        <v>1835</v>
      </c>
      <c r="C50" s="2894"/>
      <c r="D50" s="93">
        <v>0</v>
      </c>
      <c r="E50" s="13" t="s">
        <v>1836</v>
      </c>
      <c r="F50" s="18" t="s">
        <v>48</v>
      </c>
      <c r="G50" s="2959"/>
      <c r="H50" s="2189"/>
      <c r="I50" s="2254"/>
      <c r="J50" s="1878">
        <v>4</v>
      </c>
      <c r="K50" s="2966" t="str">
        <f>IF(项目基本情况!F5="房地产抵押价值","房地产抵押价值","抵押担保权已注销时的房地产抵押价值")</f>
        <v>房地产抵押价值</v>
      </c>
      <c r="L50" s="2966"/>
      <c r="M50" s="2967">
        <f>IF(项目基本情况!F5="房地产抵押价值",I111,I113)</f>
        <v>0</v>
      </c>
      <c r="N50" s="2967"/>
      <c r="O50" s="2967"/>
      <c r="P50" s="1841"/>
    </row>
    <row r="51" spans="1:16" ht="25.5" customHeight="1">
      <c r="A51" s="94"/>
      <c r="B51" s="2894" t="s">
        <v>1837</v>
      </c>
      <c r="C51" s="2894"/>
      <c r="D51" s="95"/>
      <c r="E51" s="21"/>
      <c r="F51" s="96"/>
      <c r="G51" s="2960"/>
      <c r="H51" s="2189"/>
      <c r="I51" s="2254"/>
      <c r="J51" s="2966" t="s">
        <v>1838</v>
      </c>
      <c r="K51" s="2966"/>
      <c r="L51" s="2966"/>
      <c r="M51" s="2966"/>
      <c r="N51" s="2966"/>
      <c r="O51" s="2966"/>
      <c r="P51" s="1841"/>
    </row>
    <row r="52" spans="1:16" ht="12" customHeight="1">
      <c r="A52" s="97"/>
      <c r="B52" s="2894" t="s">
        <v>1839</v>
      </c>
      <c r="C52" s="2894"/>
      <c r="D52" s="98"/>
      <c r="E52" s="20"/>
      <c r="F52" s="96"/>
      <c r="G52" s="2961"/>
      <c r="H52" s="2189"/>
      <c r="I52" s="2254"/>
      <c r="J52" s="2255" t="s">
        <v>1840</v>
      </c>
      <c r="K52" s="2966" t="s">
        <v>1841</v>
      </c>
      <c r="L52" s="2966"/>
      <c r="M52" s="2255" t="s">
        <v>1842</v>
      </c>
      <c r="N52" s="2255" t="s">
        <v>1843</v>
      </c>
      <c r="O52" s="2255" t="s">
        <v>1844</v>
      </c>
      <c r="P52" s="1841"/>
    </row>
    <row r="53" spans="1:16" ht="24" customHeight="1">
      <c r="A53" s="99" t="s">
        <v>1845</v>
      </c>
      <c r="B53" s="2894" t="s">
        <v>1846</v>
      </c>
      <c r="C53" s="2894"/>
      <c r="D53" s="98">
        <f>ROUND(D46*'数据-取费表'!E29/(1+'数据-取费表'!F30),0)</f>
        <v>0</v>
      </c>
      <c r="E53" s="10" t="s">
        <v>1847</v>
      </c>
      <c r="F53" s="100">
        <f>'数据-取费表'!E29</f>
        <v>5.6000000000000001E-2</v>
      </c>
      <c r="G53" s="2256"/>
      <c r="H53" s="2189"/>
      <c r="I53" s="2254"/>
      <c r="J53" s="1878">
        <v>1</v>
      </c>
      <c r="K53" s="2926" t="s">
        <v>1848</v>
      </c>
      <c r="L53" s="2926"/>
      <c r="M53" s="778">
        <f>D49</f>
        <v>0</v>
      </c>
      <c r="N53" s="1878" t="str">
        <f>E49</f>
        <v>销售额×税（费）率</v>
      </c>
      <c r="O53" s="779">
        <f>F49</f>
        <v>5.6000000000000001E-2</v>
      </c>
      <c r="P53" s="1841"/>
    </row>
    <row r="54" spans="1:16" ht="12" customHeight="1">
      <c r="A54" s="99" t="s">
        <v>1849</v>
      </c>
      <c r="B54" s="2895" t="s">
        <v>1850</v>
      </c>
      <c r="C54" s="2825"/>
      <c r="D54" s="98">
        <f>ROUND(D46*'数据-取费表'!E29/(1+'数据-取费表'!F30),0)</f>
        <v>0</v>
      </c>
      <c r="E54" s="10" t="s">
        <v>1847</v>
      </c>
      <c r="F54" s="100">
        <f>'数据-取费表'!E29</f>
        <v>5.6000000000000001E-2</v>
      </c>
      <c r="G54" s="2256"/>
      <c r="H54" s="2189"/>
      <c r="I54" s="2254"/>
      <c r="J54" s="1878">
        <v>2</v>
      </c>
      <c r="K54" s="2926" t="s">
        <v>1851</v>
      </c>
      <c r="L54" s="2926"/>
      <c r="M54" s="778">
        <f t="shared" ref="M54:O55" si="1">D56</f>
        <v>0</v>
      </c>
      <c r="N54" s="1878" t="str">
        <f t="shared" si="1"/>
        <v>销售额×税（费）率</v>
      </c>
      <c r="O54" s="779">
        <f t="shared" si="1"/>
        <v>5.0000000000000001E-4</v>
      </c>
      <c r="P54" s="1841"/>
    </row>
    <row r="55" spans="1:16" ht="12" customHeight="1">
      <c r="A55" s="99" t="s">
        <v>1852</v>
      </c>
      <c r="B55" s="2895" t="s">
        <v>1853</v>
      </c>
      <c r="C55" s="2825"/>
      <c r="D55" s="98">
        <f>C69</f>
        <v>0</v>
      </c>
      <c r="E55" s="20" t="s">
        <v>1854</v>
      </c>
      <c r="F55" s="100">
        <f>'数据-取费表'!E29</f>
        <v>5.6000000000000001E-2</v>
      </c>
      <c r="G55" s="2256"/>
      <c r="H55" s="2257"/>
      <c r="I55" s="2254"/>
      <c r="J55" s="1878">
        <v>3</v>
      </c>
      <c r="K55" s="2926" t="s">
        <v>1855</v>
      </c>
      <c r="L55" s="2926"/>
      <c r="M55" s="778">
        <f t="shared" si="1"/>
        <v>0</v>
      </c>
      <c r="N55" s="1878" t="str">
        <f t="shared" si="1"/>
        <v>增值额×税（费）率</v>
      </c>
      <c r="O55" s="780" t="str">
        <f t="shared" si="1"/>
        <v>——</v>
      </c>
      <c r="P55" s="1841"/>
    </row>
    <row r="56" spans="1:16" ht="24" customHeight="1">
      <c r="A56" s="2817" t="s">
        <v>1856</v>
      </c>
      <c r="B56" s="2902"/>
      <c r="C56" s="2902"/>
      <c r="D56" s="101">
        <f>IF(H56="个人住宅",0,ROUND(D46*I56,0))</f>
        <v>0</v>
      </c>
      <c r="E56" s="10" t="s">
        <v>1857</v>
      </c>
      <c r="F56" s="100">
        <f>IF(H56="正常",I56,"免征")</f>
        <v>5.0000000000000001E-4</v>
      </c>
      <c r="G56" s="2256"/>
      <c r="H56" s="2253" t="s">
        <v>1858</v>
      </c>
      <c r="I56" s="102">
        <f>'数据-取费表'!E37</f>
        <v>5.0000000000000001E-4</v>
      </c>
      <c r="J56" s="1878" t="str">
        <f>IF(H60="非个人房产","",4)</f>
        <v/>
      </c>
      <c r="K56" s="2926" t="str">
        <f>IF(H60="非个人房产","——","个人所得税")</f>
        <v>——</v>
      </c>
      <c r="L56" s="2926"/>
      <c r="M56" s="781" t="str">
        <f>D60</f>
        <v>——</v>
      </c>
      <c r="N56" s="1881" t="str">
        <f>E60</f>
        <v>——</v>
      </c>
      <c r="O56" s="782" t="str">
        <f>F60</f>
        <v>——</v>
      </c>
      <c r="P56" s="1841"/>
    </row>
    <row r="57" spans="1:16" ht="24.75">
      <c r="A57" s="2817" t="s">
        <v>1859</v>
      </c>
      <c r="B57" s="2902"/>
      <c r="C57" s="2902"/>
      <c r="D57" s="101">
        <f>IF(H57="个人住宅",D58,D59)</f>
        <v>0</v>
      </c>
      <c r="E57" s="10" t="s">
        <v>1860</v>
      </c>
      <c r="F57" s="100" t="str">
        <f>IF(H57="正常",F59,"免征")</f>
        <v>——</v>
      </c>
      <c r="G57" s="2258" t="s">
        <v>1861</v>
      </c>
      <c r="H57" s="2259" t="s">
        <v>1858</v>
      </c>
      <c r="I57" s="1018"/>
      <c r="J57" s="1878" t="str">
        <f>IF(项目基本情况!I6="上海银行",IF(J56="",4,J56+1),"")</f>
        <v/>
      </c>
      <c r="K57" s="2944" t="str">
        <f>IF(项目基本情况!I6="上海银行","其他处置费用","")</f>
        <v/>
      </c>
      <c r="L57" s="2945"/>
      <c r="M57" s="778" t="str">
        <f>IF(项目基本情况!I6="上海银行",M70,"")</f>
        <v/>
      </c>
      <c r="N57" s="2957" t="str">
        <f>IF(项目基本情况!I6="上海银行","包含处置中涉及的律师、诉讼、拍卖、评估等费用","")</f>
        <v/>
      </c>
      <c r="O57" s="2958"/>
      <c r="P57" s="1841"/>
    </row>
    <row r="58" spans="1:16" ht="12.75">
      <c r="A58" s="99" t="s">
        <v>1834</v>
      </c>
      <c r="B58" s="2892" t="s">
        <v>1862</v>
      </c>
      <c r="C58" s="2903"/>
      <c r="D58" s="103">
        <v>0</v>
      </c>
      <c r="E58" s="13" t="s">
        <v>1836</v>
      </c>
      <c r="F58" s="70"/>
      <c r="G58" s="2256"/>
      <c r="H58" s="1018"/>
      <c r="I58" s="1018"/>
      <c r="J58" s="2926">
        <f>IF(AND(J56="",J57=""),4,IF(项目基本情况!I6="上海银行",J57+1,J56+1))</f>
        <v>4</v>
      </c>
      <c r="K58" s="2926" t="s">
        <v>1863</v>
      </c>
      <c r="L58" s="2260" t="s">
        <v>1864</v>
      </c>
      <c r="M58" s="783"/>
      <c r="N58" s="784">
        <f>SUMIF(M53:M57,"&lt;9e307")</f>
        <v>0</v>
      </c>
      <c r="O58" s="2261"/>
      <c r="P58" s="1837" t="e">
        <f>N58/M50</f>
        <v>#DIV/0!</v>
      </c>
    </row>
    <row r="59" spans="1:16" ht="24.75">
      <c r="A59" s="99" t="s">
        <v>1845</v>
      </c>
      <c r="B59" s="2892" t="s">
        <v>1865</v>
      </c>
      <c r="C59" s="2893"/>
      <c r="D59" s="101">
        <f>IF(H59="转让取得",C82,C98)</f>
        <v>0</v>
      </c>
      <c r="E59" s="10" t="s">
        <v>1860</v>
      </c>
      <c r="F59" s="14" t="s">
        <v>48</v>
      </c>
      <c r="G59" s="2256"/>
      <c r="H59" s="2259" t="s">
        <v>1866</v>
      </c>
      <c r="I59" s="1018"/>
      <c r="J59" s="2926"/>
      <c r="K59" s="2926"/>
      <c r="L59" s="2260" t="s">
        <v>1867</v>
      </c>
      <c r="M59" s="785"/>
      <c r="N59" s="2262" t="str">
        <f>IF(H19="元",NUMBERSTRING(INT(N58),2)&amp;"元整",NUMBERSTRING(INT(N58*10000),2)&amp;"元整")</f>
        <v>零元整</v>
      </c>
      <c r="O59" s="2263"/>
      <c r="P59" s="1841"/>
    </row>
    <row r="60" spans="1:16" ht="24.75" thickBot="1">
      <c r="A60" s="2818" t="s">
        <v>1868</v>
      </c>
      <c r="B60" s="2821"/>
      <c r="C60" s="2821"/>
      <c r="D60" s="104" t="str">
        <f>IF(H60="非个人房产","——",IF(H60="个人住宅",0,ROUND(D46*I60,0)))</f>
        <v>——</v>
      </c>
      <c r="E60" s="105" t="str">
        <f>IF(H60="非个人房产","——","销售额×税（费）率")</f>
        <v>——</v>
      </c>
      <c r="F60" s="106" t="str">
        <f>IF(H60="非个人房产","——",IF(H60="个人住宅","免征",I60))</f>
        <v>——</v>
      </c>
      <c r="G60" s="2264" t="s">
        <v>1861</v>
      </c>
      <c r="H60" s="2259" t="s">
        <v>1990</v>
      </c>
      <c r="I60" s="107">
        <v>0.01</v>
      </c>
      <c r="J60" s="2924">
        <f>J58+1</f>
        <v>5</v>
      </c>
      <c r="K60" s="2926" t="s">
        <v>1870</v>
      </c>
      <c r="L60" s="1878" t="s">
        <v>1864</v>
      </c>
      <c r="M60" s="786"/>
      <c r="N60" s="787">
        <f>M50-N58</f>
        <v>0</v>
      </c>
      <c r="O60" s="2265"/>
      <c r="P60" s="1841"/>
    </row>
    <row r="61" spans="1:16" ht="12" customHeight="1">
      <c r="A61" s="2060"/>
      <c r="B61" s="2189"/>
      <c r="C61" s="2189"/>
      <c r="D61" s="2189"/>
      <c r="E61" s="1018"/>
      <c r="F61" s="1018"/>
      <c r="G61" s="1018"/>
      <c r="H61" s="2242"/>
      <c r="I61" s="2189"/>
      <c r="J61" s="2925"/>
      <c r="K61" s="2926"/>
      <c r="L61" s="2260" t="s">
        <v>1867</v>
      </c>
      <c r="M61" s="785"/>
      <c r="N61" s="2262" t="str">
        <f>IF(H19="元",NUMBERSTRING(INT(N60),2)&amp;"元整",NUMBERSTRING(INT(N60*10000),2)&amp;"元整")</f>
        <v>零元整</v>
      </c>
      <c r="O61" s="2263"/>
      <c r="P61" s="1841"/>
    </row>
    <row r="62" spans="1:16" ht="13.5" thickBot="1">
      <c r="A62" s="2907" t="s">
        <v>1871</v>
      </c>
      <c r="B62" s="2907"/>
      <c r="C62" s="2907"/>
      <c r="D62" s="2907"/>
      <c r="E62" s="2907"/>
      <c r="F62" s="1018"/>
      <c r="G62" s="1018"/>
      <c r="H62" s="2242"/>
      <c r="I62" s="2189"/>
      <c r="J62" s="1878">
        <f>J60+1</f>
        <v>6</v>
      </c>
      <c r="K62" s="2926" t="s">
        <v>1872</v>
      </c>
      <c r="L62" s="2926"/>
      <c r="M62" s="788"/>
      <c r="N62" s="789">
        <f>IF(H19="元",ROUND(N60/项目基本情况!C12,0),ROUND(N60*10000/项目基本情况!C12,0))</f>
        <v>0</v>
      </c>
      <c r="O62" s="2266"/>
      <c r="P62" s="1841"/>
    </row>
    <row r="63" spans="1:16" ht="12.75">
      <c r="A63" s="2914" t="s">
        <v>1873</v>
      </c>
      <c r="B63" s="2915"/>
      <c r="C63" s="1880"/>
      <c r="D63" s="1880" t="s">
        <v>1874</v>
      </c>
      <c r="E63" s="108" t="s">
        <v>1875</v>
      </c>
      <c r="F63" s="1018"/>
      <c r="G63" s="1018"/>
      <c r="H63" s="2242"/>
      <c r="I63" s="2189"/>
      <c r="J63" s="1841"/>
      <c r="K63" s="1841"/>
      <c r="L63" s="1841"/>
      <c r="M63" s="1841"/>
      <c r="N63" s="1841"/>
      <c r="O63" s="1841"/>
      <c r="P63" s="1841"/>
    </row>
    <row r="64" spans="1:16" ht="12.75">
      <c r="A64" s="109">
        <v>1</v>
      </c>
      <c r="B64" s="110" t="s">
        <v>1876</v>
      </c>
      <c r="C64" s="111">
        <f>ROUND((C65+C66)/(1+'数据-取费表'!F30),0)</f>
        <v>0</v>
      </c>
      <c r="D64" s="112"/>
      <c r="E64" s="113"/>
      <c r="F64" s="1018"/>
      <c r="G64" s="1018"/>
      <c r="H64" s="2242"/>
      <c r="I64" s="2189"/>
      <c r="J64" s="2946" t="s">
        <v>1877</v>
      </c>
      <c r="K64" s="2267" t="s">
        <v>1878</v>
      </c>
      <c r="L64" s="1840">
        <f>IF(M50&gt;10000,M50*0.5%,IF(AND(M50&gt;1000,M50&lt;=10000),M50*1%,IF(AND(M50&gt;100,M50&lt;=1000),M50*3%,IF(AND(M50&gt;10,M50&lt;=100),M50*5%,M50*8%))))</f>
        <v>0</v>
      </c>
      <c r="M64" s="14">
        <f>ROUND(L64,1)</f>
        <v>0</v>
      </c>
      <c r="N64" s="1841"/>
      <c r="O64" s="1841"/>
      <c r="P64" s="1841"/>
    </row>
    <row r="65" spans="1:35" ht="12.75">
      <c r="A65" s="114" t="s">
        <v>71</v>
      </c>
      <c r="B65" s="115" t="s">
        <v>1879</v>
      </c>
      <c r="C65" s="116">
        <f>D46</f>
        <v>0</v>
      </c>
      <c r="D65" s="117" t="s">
        <v>41</v>
      </c>
      <c r="E65" s="118"/>
      <c r="F65" s="1018"/>
      <c r="G65" s="1018"/>
      <c r="H65" s="2242"/>
      <c r="I65" s="2189"/>
      <c r="J65" s="2946"/>
      <c r="K65" s="2267" t="s">
        <v>1880</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1881</v>
      </c>
      <c r="O65" s="1841"/>
      <c r="P65" s="1841"/>
    </row>
    <row r="66" spans="1:35" ht="12.75">
      <c r="A66" s="114" t="s">
        <v>72</v>
      </c>
      <c r="B66" s="115" t="s">
        <v>1882</v>
      </c>
      <c r="C66" s="119"/>
      <c r="D66" s="117"/>
      <c r="E66" s="118"/>
      <c r="F66" s="1018"/>
      <c r="G66" s="1018"/>
      <c r="H66" s="2242"/>
      <c r="I66" s="2189"/>
      <c r="J66" s="2946"/>
      <c r="K66" s="2267" t="s">
        <v>1883</v>
      </c>
      <c r="L66" s="1840" t="b">
        <f>IF(M50&gt;1000,M50*0.1%,IF(AND(M50&gt;500,M50&lt;=1000),M50*0.5%,IF(AND(M50&gt;50,M50&lt;=500),M50*1%,IF(AND(M50&gt;1,M50&lt;=50),M50*1.5%))))</f>
        <v>0</v>
      </c>
      <c r="M66" s="14">
        <f t="shared" si="2"/>
        <v>0</v>
      </c>
      <c r="N66" s="1841" t="s">
        <v>1881</v>
      </c>
      <c r="O66" s="1841"/>
      <c r="P66" s="1841"/>
    </row>
    <row r="67" spans="1:35" ht="12.75">
      <c r="A67" s="120" t="s">
        <v>47</v>
      </c>
      <c r="B67" s="121" t="s">
        <v>1884</v>
      </c>
      <c r="C67" s="122"/>
      <c r="D67" s="123" t="s">
        <v>41</v>
      </c>
      <c r="E67" s="1857" t="s">
        <v>1885</v>
      </c>
      <c r="F67" s="1018"/>
      <c r="G67" s="1018"/>
      <c r="H67" s="2242"/>
      <c r="I67" s="2189"/>
      <c r="J67" s="2946"/>
      <c r="K67" s="2267" t="s">
        <v>1886</v>
      </c>
      <c r="L67" s="1840">
        <f>M50*0.5%</f>
        <v>0</v>
      </c>
      <c r="M67" s="14">
        <f>IF(L67&gt;0.5,0.5,ROUND(L67,0))</f>
        <v>0</v>
      </c>
      <c r="N67" s="1841" t="s">
        <v>1887</v>
      </c>
      <c r="O67" s="1841"/>
      <c r="P67" s="1841"/>
    </row>
    <row r="68" spans="1:35" ht="12.75">
      <c r="A68" s="120" t="s">
        <v>42</v>
      </c>
      <c r="B68" s="121" t="s">
        <v>1888</v>
      </c>
      <c r="C68" s="124">
        <f>C64-C67</f>
        <v>0</v>
      </c>
      <c r="D68" s="117" t="s">
        <v>41</v>
      </c>
      <c r="E68" s="118"/>
      <c r="F68" s="1018"/>
      <c r="G68" s="1018"/>
      <c r="H68" s="2242"/>
      <c r="I68" s="2189"/>
      <c r="J68" s="2946"/>
      <c r="K68" s="2267" t="s">
        <v>1889</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1890</v>
      </c>
      <c r="C69" s="127">
        <f>IF(C68&lt;=0,0,ROUND(C68*D69,0))</f>
        <v>0</v>
      </c>
      <c r="D69" s="128">
        <f>'数据-取费表'!E29</f>
        <v>5.6000000000000001E-2</v>
      </c>
      <c r="E69" s="129"/>
      <c r="F69" s="1018"/>
      <c r="G69" s="1018"/>
      <c r="H69" s="2242"/>
      <c r="I69" s="2189"/>
      <c r="J69" s="2946"/>
      <c r="K69" s="2267" t="s">
        <v>1891</v>
      </c>
      <c r="L69" s="1840">
        <f>IF(M50&gt;10000,M50*0.5%,IF(AND(M50&gt;5000,M50&lt;=10000),M50*1%,IF(AND(M50&gt;1000,M50&lt;=5000),M50*2%,IF(AND(M50&gt;200,M50&lt;=1000),M50*3%,M50*5%))))</f>
        <v>0</v>
      </c>
      <c r="M69" s="14">
        <f>ROUND(L69,1)</f>
        <v>0</v>
      </c>
      <c r="N69" s="1841"/>
      <c r="O69" s="1841"/>
      <c r="P69" s="1841"/>
    </row>
    <row r="70" spans="1:35" s="2216" customFormat="1" ht="7.5" customHeight="1">
      <c r="A70" s="2268"/>
      <c r="B70" s="2269"/>
      <c r="C70" s="2270"/>
      <c r="D70" s="2271"/>
      <c r="E70" s="2272"/>
      <c r="F70" s="1018"/>
      <c r="G70" s="1018"/>
      <c r="H70" s="2242"/>
      <c r="I70" s="2189"/>
      <c r="J70" s="2946"/>
      <c r="K70" s="2267" t="s">
        <v>1892</v>
      </c>
      <c r="L70" s="2273"/>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18" t="s">
        <v>1893</v>
      </c>
      <c r="B71" s="2919"/>
      <c r="C71" s="2919"/>
      <c r="D71" s="2919"/>
      <c r="E71" s="2919"/>
      <c r="F71" s="2919"/>
      <c r="G71" s="2919"/>
      <c r="H71" s="2919"/>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14" t="s">
        <v>1873</v>
      </c>
      <c r="B72" s="2915"/>
      <c r="C72" s="1880"/>
      <c r="D72" s="1880" t="s">
        <v>1874</v>
      </c>
      <c r="E72" s="130" t="s">
        <v>1875</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1894</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1896</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1897</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1898</v>
      </c>
      <c r="C76" s="137"/>
      <c r="D76" s="117" t="s">
        <v>41</v>
      </c>
      <c r="E76" s="138" t="s">
        <v>1899</v>
      </c>
      <c r="F76" s="2278"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1902</v>
      </c>
      <c r="C77" s="117">
        <f>IF(F76="购房发票",ROUND(C76*H76*D77,0),0)</f>
        <v>0</v>
      </c>
      <c r="D77" s="141">
        <v>0.05</v>
      </c>
      <c r="E77" s="2895" t="s">
        <v>1903</v>
      </c>
      <c r="F77" s="2894"/>
      <c r="G77" s="2894"/>
      <c r="H77" s="2909"/>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9" t="s">
        <v>1906</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1907</v>
      </c>
      <c r="C79" s="144">
        <f>ROUND(D46*D79/(1+'数据-取费表'!F30),0)</f>
        <v>0</v>
      </c>
      <c r="D79" s="145">
        <f>'数据-取费表'!E31</f>
        <v>6.000000000000001E-3</v>
      </c>
      <c r="E79" s="2886" t="s">
        <v>1908</v>
      </c>
      <c r="F79" s="2887"/>
      <c r="G79" s="2887"/>
      <c r="H79" s="2888"/>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1909</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18" t="s">
        <v>1912</v>
      </c>
      <c r="B84" s="2919"/>
      <c r="C84" s="2919"/>
      <c r="D84" s="2919"/>
      <c r="E84" s="2919"/>
      <c r="F84" s="2919"/>
      <c r="G84" s="2919"/>
      <c r="H84" s="2919"/>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14" t="s">
        <v>1873</v>
      </c>
      <c r="B85" s="2915"/>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1914</v>
      </c>
      <c r="C89" s="157"/>
      <c r="D89" s="145"/>
      <c r="E89" s="158" t="s">
        <v>1915</v>
      </c>
      <c r="F89" s="1877"/>
      <c r="G89" s="159" t="s">
        <v>1916</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1919</v>
      </c>
      <c r="C92" s="144">
        <f>IF(H92="——",成本法!C33,I92)</f>
        <v>0</v>
      </c>
      <c r="D92" s="145"/>
      <c r="E92" s="2886" t="s">
        <v>1920</v>
      </c>
      <c r="F92" s="2887"/>
      <c r="G92" s="2887"/>
      <c r="H92" s="2282" t="s">
        <v>1921</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1922</v>
      </c>
      <c r="C93" s="144">
        <f>ROUND((C88+C91+C92)*D93,0)</f>
        <v>0</v>
      </c>
      <c r="D93" s="145">
        <v>0.1</v>
      </c>
      <c r="E93" s="2886" t="s">
        <v>1923</v>
      </c>
      <c r="F93" s="2887"/>
      <c r="G93" s="2887"/>
      <c r="H93" s="2888"/>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1907</v>
      </c>
      <c r="C94" s="144">
        <f>ROUND(D46*D94/(1+'数据-取费表'!F30),0)</f>
        <v>0</v>
      </c>
      <c r="D94" s="145">
        <f>'数据-取费表'!E31</f>
        <v>6.000000000000001E-3</v>
      </c>
      <c r="E94" s="2886" t="s">
        <v>1908</v>
      </c>
      <c r="F94" s="2887"/>
      <c r="G94" s="2887"/>
      <c r="H94" s="2888"/>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1924</v>
      </c>
      <c r="C95" s="144">
        <f>ROUND((C88+C91+C92)*D95,0)</f>
        <v>0</v>
      </c>
      <c r="D95" s="145">
        <v>0.2</v>
      </c>
      <c r="E95" s="2886" t="s">
        <v>1925</v>
      </c>
      <c r="F95" s="2887"/>
      <c r="G95" s="2887"/>
      <c r="H95" s="2888"/>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1926</v>
      </c>
      <c r="B99" s="2189"/>
      <c r="C99" s="2189"/>
      <c r="D99" s="2189"/>
      <c r="E99" s="1018"/>
      <c r="F99" s="1018"/>
      <c r="G99" s="1018"/>
      <c r="H99" s="2242"/>
      <c r="I99" s="2189"/>
    </row>
    <row r="100" spans="1:35" ht="15.75">
      <c r="A100" s="2941" t="s">
        <v>1927</v>
      </c>
      <c r="B100" s="2942"/>
      <c r="C100" s="2942"/>
      <c r="D100" s="2943"/>
      <c r="E100" s="2189"/>
      <c r="F100" s="2952" t="s">
        <v>1928</v>
      </c>
      <c r="G100" s="2953"/>
      <c r="H100" s="2953"/>
      <c r="I100" s="2954"/>
    </row>
    <row r="101" spans="1:35" ht="15.75">
      <c r="A101" s="2955" t="s">
        <v>1929</v>
      </c>
      <c r="B101" s="2956"/>
      <c r="C101" s="720">
        <f>C4</f>
        <v>0</v>
      </c>
      <c r="D101" s="721">
        <f>D4</f>
        <v>0</v>
      </c>
      <c r="E101" s="2189"/>
      <c r="F101" s="2851" t="s">
        <v>1930</v>
      </c>
      <c r="G101" s="2852"/>
      <c r="H101" s="2977" t="s">
        <v>1931</v>
      </c>
      <c r="I101" s="2850"/>
    </row>
    <row r="102" spans="1:35" ht="15.75">
      <c r="A102" s="2978" t="s">
        <v>1991</v>
      </c>
      <c r="B102" s="2284" t="str">
        <f>IF(H19="元","总价（元）","总价（万元）")</f>
        <v>总价（元）</v>
      </c>
      <c r="C102" s="720" t="e">
        <f ca="1">C19</f>
        <v>#REF!</v>
      </c>
      <c r="D102" s="721" t="e">
        <f ca="1">D19</f>
        <v>#REF!</v>
      </c>
      <c r="E102" s="2189"/>
      <c r="F102" s="2979"/>
      <c r="G102" s="2980"/>
      <c r="H102" s="2849">
        <f>典型户型修正!B25</f>
        <v>0</v>
      </c>
      <c r="I102" s="2850"/>
    </row>
    <row r="103" spans="1:35" ht="15.75">
      <c r="A103" s="2978"/>
      <c r="B103" s="2284" t="s">
        <v>1933</v>
      </c>
      <c r="C103" s="722" t="e">
        <f ca="1">C20</f>
        <v>#REF!</v>
      </c>
      <c r="D103" s="723" t="e">
        <f ca="1">D20</f>
        <v>#REF!</v>
      </c>
      <c r="E103" s="2189"/>
      <c r="F103" s="2878" t="s">
        <v>1934</v>
      </c>
      <c r="G103" s="2879"/>
      <c r="H103" s="2285" t="str">
        <f>C109</f>
        <v>总价（元）</v>
      </c>
      <c r="I103" s="1858">
        <f>H124</f>
        <v>0</v>
      </c>
    </row>
    <row r="104" spans="1:35" ht="15">
      <c r="A104" s="2978" t="s">
        <v>1992</v>
      </c>
      <c r="B104" s="2286" t="str">
        <f>B102</f>
        <v>总价（元）</v>
      </c>
      <c r="C104" s="1186" t="e">
        <f ca="1">ROUND(IF('数据-取费表'!B4="总价",G19,IF(H19="元",G20*'数据-取费表'!E5,G20*'数据-取费表'!E5/10000)),0)</f>
        <v>#REF!</v>
      </c>
      <c r="D104" s="725"/>
      <c r="E104" s="2189"/>
      <c r="F104" s="2878"/>
      <c r="G104" s="2879"/>
      <c r="H104" s="2285" t="s">
        <v>1933</v>
      </c>
      <c r="I104" s="1046" t="e">
        <f>I124</f>
        <v>#DIV/0!</v>
      </c>
    </row>
    <row r="105" spans="1:35" ht="15.75">
      <c r="A105" s="2978"/>
      <c r="B105" s="2284" t="s">
        <v>1933</v>
      </c>
      <c r="C105" s="1187" t="e">
        <f ca="1">ROUND(IF('数据-取费表'!B4="楼面单价",G20,IF(H19="元",G19/'数据-取费表'!E5,G19*10000/'数据-取费表'!E5)),0)</f>
        <v>#REF!</v>
      </c>
      <c r="D105" s="725"/>
      <c r="E105" s="2189"/>
      <c r="F105" s="2950"/>
      <c r="G105" s="2951"/>
      <c r="H105" s="2935"/>
      <c r="I105" s="2936"/>
    </row>
    <row r="106" spans="1:35" ht="15.75">
      <c r="A106" s="2971" t="s">
        <v>1993</v>
      </c>
      <c r="B106" s="2324" t="str">
        <f>B102</f>
        <v>总价（元）</v>
      </c>
      <c r="C106" s="724">
        <f>H124</f>
        <v>0</v>
      </c>
      <c r="D106" s="1185"/>
      <c r="E106" s="2189"/>
      <c r="F106" s="2939" t="s">
        <v>1937</v>
      </c>
      <c r="G106" s="2940"/>
      <c r="H106" s="2288" t="str">
        <f>C111</f>
        <v>总额（元）</v>
      </c>
      <c r="I106" s="1858">
        <f>SUMIF(I107:I109,"&lt;9E307")</f>
        <v>0</v>
      </c>
    </row>
    <row r="107" spans="1:35" ht="15.75" thickBot="1">
      <c r="A107" s="2934"/>
      <c r="B107" s="2287" t="s">
        <v>1933</v>
      </c>
      <c r="C107" s="726" t="e">
        <f>I124</f>
        <v>#DIV/0!</v>
      </c>
      <c r="D107" s="727"/>
      <c r="E107" s="2189"/>
      <c r="F107" s="2867" t="s">
        <v>1939</v>
      </c>
      <c r="G107" s="2868"/>
      <c r="H107" s="2288" t="str">
        <f>C112</f>
        <v>总额（元）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4" t="s">
        <v>1936</v>
      </c>
      <c r="B108" s="2975"/>
      <c r="C108" s="2975"/>
      <c r="D108" s="2976"/>
      <c r="E108" s="2189"/>
      <c r="F108" s="2867" t="s">
        <v>1940</v>
      </c>
      <c r="G108" s="2868"/>
      <c r="H108" s="2288" t="str">
        <f>C113</f>
        <v>总额（元）</v>
      </c>
      <c r="I108" s="1046">
        <f>C38</f>
        <v>0</v>
      </c>
      <c r="K108" s="2289"/>
    </row>
    <row r="109" spans="1:35" ht="15">
      <c r="A109" s="2865" t="s">
        <v>1994</v>
      </c>
      <c r="B109" s="2866"/>
      <c r="C109" s="2285" t="str">
        <f>B102</f>
        <v>总价（元）</v>
      </c>
      <c r="D109" s="1047">
        <f>H124</f>
        <v>0</v>
      </c>
      <c r="E109" s="2189"/>
      <c r="F109" s="2867" t="s">
        <v>1942</v>
      </c>
      <c r="G109" s="2868"/>
      <c r="H109" s="2288" t="str">
        <f>C114</f>
        <v>总额（元）</v>
      </c>
      <c r="I109" s="1046">
        <f>C39</f>
        <v>0</v>
      </c>
    </row>
    <row r="110" spans="1:35" ht="15.75">
      <c r="A110" s="2865"/>
      <c r="B110" s="2866"/>
      <c r="C110" s="2285" t="s">
        <v>1933</v>
      </c>
      <c r="D110" s="1048" t="e">
        <f>I124</f>
        <v>#DIV/0!</v>
      </c>
      <c r="E110" s="2189"/>
      <c r="F110" s="2950"/>
      <c r="G110" s="2951"/>
      <c r="H110" s="2937"/>
      <c r="I110" s="2938"/>
    </row>
    <row r="111" spans="1:35" ht="28.5" customHeight="1">
      <c r="A111" s="2872" t="s">
        <v>1941</v>
      </c>
      <c r="B111" s="2873"/>
      <c r="C111" s="2288" t="str">
        <f>IF(H19="元","总额（元）","总额（万元）")</f>
        <v>总额（元）</v>
      </c>
      <c r="D111" s="1047">
        <f>IF(D37="正常操作",I107+I108+I109,I108+I109)</f>
        <v>0</v>
      </c>
      <c r="E111" s="2189"/>
      <c r="F111" s="2853" t="str">
        <f>IF(项目基本情况!F5="已注销","——","3.房地产抵押价值")</f>
        <v>3.房地产抵押价值</v>
      </c>
      <c r="G111" s="2854"/>
      <c r="H111" s="2325" t="str">
        <f>C115</f>
        <v>总价（元）</v>
      </c>
      <c r="I111" s="1858">
        <f>IF(F111="——","——",I103-I106)</f>
        <v>0</v>
      </c>
    </row>
    <row r="112" spans="1:35" ht="15">
      <c r="A112" s="2867" t="s">
        <v>1939</v>
      </c>
      <c r="B112" s="2868"/>
      <c r="C112" s="2288" t="str">
        <f>C111</f>
        <v>总额（元）</v>
      </c>
      <c r="D112" s="637">
        <f>IF(D37="同一抵押权人同一抵押物续贷",C37&amp;"（未扣减，详见特别提示）",C37)</f>
        <v>0</v>
      </c>
      <c r="E112" s="2189"/>
      <c r="F112" s="2969"/>
      <c r="G112" s="2970"/>
      <c r="H112" s="2285" t="s">
        <v>1933</v>
      </c>
      <c r="I112" s="2291" t="e">
        <f>D116</f>
        <v>#DIV/0!</v>
      </c>
    </row>
    <row r="113" spans="1:26" ht="15.75">
      <c r="A113" s="2867" t="s">
        <v>1940</v>
      </c>
      <c r="B113" s="2868"/>
      <c r="C113" s="2288" t="str">
        <f>C111</f>
        <v>总额（元）</v>
      </c>
      <c r="D113" s="637">
        <f>C38</f>
        <v>0</v>
      </c>
      <c r="E113" s="2189"/>
      <c r="F113" s="2853" t="str">
        <f>IF(项目基本情况!F5="已注销及未注销","4.抵押担保权已注销时的房地产抵押价值",IF(项目基本情况!F5="已注销","3.抵押担保权已注销时的房地产抵押价值","——"))</f>
        <v>——</v>
      </c>
      <c r="G113" s="2854"/>
      <c r="H113" s="2325" t="str">
        <f>C117</f>
        <v>总价（元）</v>
      </c>
      <c r="I113" s="1858" t="str">
        <f>IF(F113="——","——",I103-I108-I109)</f>
        <v>——</v>
      </c>
    </row>
    <row r="114" spans="1:26" ht="15">
      <c r="A114" s="2867" t="s">
        <v>1942</v>
      </c>
      <c r="B114" s="2868"/>
      <c r="C114" s="2288" t="str">
        <f>C111</f>
        <v>总额（元）</v>
      </c>
      <c r="D114" s="637">
        <f>C39</f>
        <v>0</v>
      </c>
      <c r="E114" s="2189"/>
      <c r="F114" s="2969"/>
      <c r="G114" s="2970"/>
      <c r="H114" s="2285" t="s">
        <v>1933</v>
      </c>
      <c r="I114" s="1046" t="str">
        <f>D118</f>
        <v>——</v>
      </c>
    </row>
    <row r="115" spans="1:26" ht="15.75">
      <c r="A115" s="2865" t="str">
        <f>IF(项目基本情况!F5="已注销","——","3.房地产抵押价值")</f>
        <v>3.房地产抵押价值</v>
      </c>
      <c r="B115" s="2866"/>
      <c r="C115" s="2285" t="str">
        <f>B102</f>
        <v>总价（元）</v>
      </c>
      <c r="D115" s="1047">
        <f>IF(A115="——","——",D109-D111)</f>
        <v>0</v>
      </c>
      <c r="E115" s="2189"/>
      <c r="F115" s="2853" t="str">
        <f>IF(项目基本情况!G5="抵押净值",IF(OR(项目基本情况!F5="已注销",项目基本情况!F5="房地产抵押价值"),"4.抵押净值","5.抵押净值"),"——")</f>
        <v>——</v>
      </c>
      <c r="G115" s="2854"/>
      <c r="H115" s="2285" t="str">
        <f>C119</f>
        <v>总价（元）</v>
      </c>
      <c r="I115" s="1858" t="str">
        <f>IF(F115="——","——",N60)</f>
        <v>——</v>
      </c>
    </row>
    <row r="116" spans="1:26" ht="15.75" thickBot="1">
      <c r="A116" s="2865"/>
      <c r="B116" s="2866"/>
      <c r="C116" s="2285" t="s">
        <v>1995</v>
      </c>
      <c r="D116" s="1048" t="e">
        <f>ROUND(IF(D115=D109,D110,IF(H19="元",D115/B124,D115*10000/B124)),0)</f>
        <v>#DIV/0!</v>
      </c>
      <c r="E116" s="2189"/>
      <c r="F116" s="2855"/>
      <c r="G116" s="2856"/>
      <c r="H116" s="2293" t="s">
        <v>1995</v>
      </c>
      <c r="I116" s="1860" t="str">
        <f>D120</f>
        <v>——</v>
      </c>
    </row>
    <row r="117" spans="1:26" ht="15.75">
      <c r="A117" s="2865" t="str">
        <f>IF(项目基本情况!F5="已注销及未注销","4.抵押担保权已注销时的房地产抵押价值",IF(项目基本情况!F5="已注销","3.抵押担保权已注销时的房地产抵押价值","——"))</f>
        <v>——</v>
      </c>
      <c r="B117" s="2866"/>
      <c r="C117" s="2285" t="str">
        <f>B102</f>
        <v>总价（元）</v>
      </c>
      <c r="D117" s="1047" t="str">
        <f>IF(A117="——","——",D109-D113-D114)</f>
        <v>——</v>
      </c>
      <c r="E117" s="2189"/>
      <c r="F117" s="2965"/>
      <c r="G117" s="2965"/>
      <c r="H117" s="2921"/>
      <c r="I117" s="2921"/>
      <c r="N117" s="55"/>
      <c r="O117" s="55"/>
    </row>
    <row r="118" spans="1:26" s="1841" customFormat="1" ht="15">
      <c r="A118" s="2865"/>
      <c r="B118" s="2866"/>
      <c r="C118" s="2285" t="s">
        <v>1995</v>
      </c>
      <c r="D118" s="1048" t="str">
        <f>IF(A117="——","——",IF(H19="元",ROUND(D117/B124,0),ROUND(D117*10000/B124,0)))</f>
        <v>——</v>
      </c>
      <c r="E118" s="2189"/>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1" customFormat="1" ht="15">
      <c r="A119" s="2865" t="str">
        <f>IF(项目基本情况!G5="抵押净值",IF(OR(项目基本情况!F5="已注销",项目基本情况!F5="房地产抵押价值"),"4.抵押净值","5.抵押净值"),"——")</f>
        <v>——</v>
      </c>
      <c r="B119" s="2866"/>
      <c r="C119" s="2285" t="str">
        <f>B102</f>
        <v>总价（元）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0"/>
      <c r="B120" s="2871"/>
      <c r="C120" s="2293" t="s">
        <v>1995</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22" t="s">
        <v>1996</v>
      </c>
      <c r="B121" s="2923"/>
      <c r="C121" s="2923"/>
      <c r="D121" s="2923"/>
      <c r="E121" s="2923"/>
      <c r="F121" s="2923"/>
      <c r="G121" s="2923"/>
      <c r="H121" s="2923"/>
      <c r="I121" s="2923"/>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6" t="s">
        <v>1944</v>
      </c>
      <c r="B122" s="2876" t="s">
        <v>1997</v>
      </c>
      <c r="C122" s="2876" t="s">
        <v>1998</v>
      </c>
      <c r="D122" s="2948" t="s">
        <v>1947</v>
      </c>
      <c r="E122" s="2949"/>
      <c r="F122" s="2847" t="s">
        <v>1999</v>
      </c>
      <c r="G122" s="2847"/>
      <c r="H122" s="2847" t="s">
        <v>1948</v>
      </c>
      <c r="I122" s="2947"/>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6"/>
      <c r="B123" s="2877"/>
      <c r="C123" s="2877"/>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71.25">
      <c r="A124" s="2175" t="str">
        <f>项目基本情况!I1</f>
        <v>北京市北京市通州区枫露苑一区甲1号楼1至4层甲1号楼房地产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6" t="s">
        <v>1952</v>
      </c>
      <c r="B125" s="2847"/>
      <c r="C125" s="2847"/>
      <c r="D125" s="2880" t="str">
        <f>IF(H19="元",NUMBERSTRING(INT(D124),2)&amp;"元整",NUMBERSTRING(INT(D124*10000),2)&amp;"元整")</f>
        <v>零元整</v>
      </c>
      <c r="E125" s="2927"/>
      <c r="F125" s="2880" t="str">
        <f>IF(H19="元",NUMBERSTRING(INT(F124),2)&amp;"元整",NUMBERSTRING(INT(F124*10000),2)&amp;"元整")</f>
        <v>零元整</v>
      </c>
      <c r="G125" s="2927"/>
      <c r="H125" s="2880" t="str">
        <f>IF(H19="元",NUMBERSTRING(INT(H124),2)&amp;"元整",NUMBERSTRING(INT(H124*10000),2)&amp;"元整")</f>
        <v>零元整</v>
      </c>
      <c r="I125" s="2881"/>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8" t="str">
        <f>IF(项目基本情况!D5="房地产市场价值","——",MID(A111,3,LEN(A111)-2))</f>
        <v>估价师所知悉的法定优先受偿款</v>
      </c>
      <c r="B126" s="2858"/>
      <c r="C126" s="2929"/>
      <c r="D126" s="2857">
        <f>I106</f>
        <v>0</v>
      </c>
      <c r="E126" s="2858"/>
      <c r="F126" s="2858"/>
      <c r="G126" s="2858"/>
      <c r="H126" s="2858"/>
      <c r="I126" s="2859"/>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0" t="s">
        <v>1952</v>
      </c>
      <c r="B127" s="2931"/>
      <c r="C127" s="2932"/>
      <c r="D127" s="2860">
        <f>H110</f>
        <v>0</v>
      </c>
      <c r="E127" s="2861"/>
      <c r="F127" s="2861"/>
      <c r="G127" s="2861"/>
      <c r="H127" s="2861"/>
      <c r="I127" s="2862"/>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63" t="str">
        <f>IF(项目基本情况!D5="房地产市场价值","——",MID(A115,3,LEN(A115)-2))</f>
        <v>房地产抵押价值</v>
      </c>
      <c r="B128" s="2864"/>
      <c r="C128" s="2864"/>
      <c r="D128" s="2857">
        <f>I111</f>
        <v>0</v>
      </c>
      <c r="E128" s="2858"/>
      <c r="F128" s="2858"/>
      <c r="G128" s="2858"/>
      <c r="H128" s="2858"/>
      <c r="I128" s="2859"/>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6" t="s">
        <v>1952</v>
      </c>
      <c r="B129" s="2847"/>
      <c r="C129" s="2847"/>
      <c r="D129" s="2860" t="e">
        <f>I112</f>
        <v>#DIV/0!</v>
      </c>
      <c r="E129" s="2861"/>
      <c r="F129" s="2861"/>
      <c r="G129" s="2861"/>
      <c r="H129" s="2861"/>
      <c r="I129" s="2862"/>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63" t="str">
        <f>IF(项目基本情况!D5="房地产市场价值","——",MID(A117,3,LEN(A117)-2))</f>
        <v/>
      </c>
      <c r="B130" s="2864"/>
      <c r="C130" s="2864"/>
      <c r="D130" s="2962" t="str">
        <f>I113</f>
        <v>——</v>
      </c>
      <c r="E130" s="2963"/>
      <c r="F130" s="2963"/>
      <c r="G130" s="2963"/>
      <c r="H130" s="2963"/>
      <c r="I130" s="2964"/>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6" t="s">
        <v>1952</v>
      </c>
      <c r="B131" s="2847"/>
      <c r="C131" s="2848"/>
      <c r="D131" s="2920" t="str">
        <f>I114</f>
        <v>——</v>
      </c>
      <c r="E131" s="2920"/>
      <c r="F131" s="2920"/>
      <c r="G131" s="2920"/>
      <c r="H131" s="2920"/>
      <c r="I131" s="2920"/>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63" t="str">
        <f>IF(项目基本情况!D5="房地产市场价值","——",MID(F115,3,LEN(F115)-2))</f>
        <v/>
      </c>
      <c r="B132" s="2864"/>
      <c r="C132" s="2857"/>
      <c r="D132" s="2869" t="str">
        <f>I115</f>
        <v>——</v>
      </c>
      <c r="E132" s="2869"/>
      <c r="F132" s="2869"/>
      <c r="G132" s="2869"/>
      <c r="H132" s="2869"/>
      <c r="I132" s="2869"/>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74" t="s">
        <v>1952</v>
      </c>
      <c r="B133" s="2875"/>
      <c r="C133" s="2875"/>
      <c r="D133" s="2882">
        <f>H117</f>
        <v>0</v>
      </c>
      <c r="E133" s="2883"/>
      <c r="F133" s="2883"/>
      <c r="G133" s="2883"/>
      <c r="H133" s="2883"/>
      <c r="I133" s="2884"/>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1953</v>
      </c>
      <c r="B136" s="2295"/>
      <c r="C136" s="2296" t="s">
        <v>1954</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1955</v>
      </c>
      <c r="G142" s="2308"/>
      <c r="H142" s="2308"/>
      <c r="I142" s="2309"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t="s">
        <v>2839</v>
      </c>
      <c r="C1" s="162"/>
      <c r="D1" s="162"/>
      <c r="E1" s="162"/>
      <c r="F1" s="162"/>
      <c r="G1" s="163"/>
    </row>
    <row r="2" spans="1:7" s="164" customFormat="1" ht="18" customHeight="1">
      <c r="A2" s="165" t="s">
        <v>2001</v>
      </c>
      <c r="B2" s="166">
        <f ca="1">IF(D2="——",IF(C2="元",C52,ROUND(C52/10000,0)),IF(C2="元",C52,ROUND(C52/10000,0))-E2)</f>
        <v>77804821</v>
      </c>
      <c r="C2" s="163" t="str">
        <f>'数据-取费表'!B3</f>
        <v>元</v>
      </c>
      <c r="D2" s="2327" t="s">
        <v>1247</v>
      </c>
      <c r="E2" s="1542" t="e">
        <f ca="1">SUMIF(INDIRECT("'"&amp;G2&amp;"'"&amp;"!A:A"),"承租人权益价值",INDIRECT("'"&amp;G2&amp;"'"&amp;"!c:c"))</f>
        <v>#REF!</v>
      </c>
      <c r="F2" s="2328" t="str">
        <f>C2</f>
        <v>元</v>
      </c>
      <c r="G2" s="1901"/>
    </row>
    <row r="3" spans="1:7" s="164" customFormat="1" ht="18" customHeight="1" thickBot="1">
      <c r="A3" s="167" t="s">
        <v>2002</v>
      </c>
      <c r="B3" s="168">
        <f ca="1">ROUND(C52/IF(B1="仅计算典型户型",'数据-取费表'!E5,'数据-取费表'!B5),0)</f>
        <v>21609</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48031012</v>
      </c>
      <c r="D5" s="195" t="s">
        <v>2007</v>
      </c>
      <c r="E5" s="1528" t="s">
        <v>2008</v>
      </c>
      <c r="F5" s="1528" t="s">
        <v>2009</v>
      </c>
      <c r="G5" s="174"/>
    </row>
    <row r="6" spans="1:7" s="175" customFormat="1" ht="13.5" customHeight="1">
      <c r="A6" s="176" t="s">
        <v>2010</v>
      </c>
      <c r="B6" s="177" t="s">
        <v>2011</v>
      </c>
      <c r="C6" s="1527">
        <f ca="1">基准地价修正!E29</f>
        <v>46050395</v>
      </c>
      <c r="D6" s="1529"/>
      <c r="E6" s="1530"/>
      <c r="F6" s="1530"/>
      <c r="G6" s="179"/>
    </row>
    <row r="7" spans="1:7" s="175" customFormat="1" ht="13.5" customHeight="1">
      <c r="A7" s="176" t="s">
        <v>2012</v>
      </c>
      <c r="B7" s="177" t="s">
        <v>2013</v>
      </c>
      <c r="C7" s="199">
        <f ca="1">ROUND(C6*F7,0)</f>
        <v>1404537</v>
      </c>
      <c r="D7" s="199"/>
      <c r="E7" s="1530"/>
      <c r="F7" s="1531">
        <f>'数据-取费表'!E36+'数据-取费表'!E37</f>
        <v>3.0499999999999999E-2</v>
      </c>
      <c r="G7" s="179"/>
    </row>
    <row r="8" spans="1:7" s="180" customFormat="1">
      <c r="A8" s="176" t="s">
        <v>2014</v>
      </c>
      <c r="B8" s="177" t="s">
        <v>2015</v>
      </c>
      <c r="C8" s="199">
        <f>IF(G8="已包含在土地购买价格中","0",'数据-取费表'!E13)</f>
        <v>576080</v>
      </c>
      <c r="D8" s="1532"/>
      <c r="E8" s="199"/>
      <c r="F8" s="1531"/>
      <c r="G8" s="2329" t="s">
        <v>2848</v>
      </c>
    </row>
    <row r="9" spans="1:7" s="175" customFormat="1" ht="13.5" customHeight="1">
      <c r="A9" s="1300" t="s">
        <v>949</v>
      </c>
      <c r="B9" s="181" t="s">
        <v>2016</v>
      </c>
      <c r="C9" s="1533">
        <f>ROUND(D9*E9,0)</f>
        <v>576080</v>
      </c>
      <c r="D9" s="1534">
        <f>IF('数据-取费表'!B10="住宅",IF(B1="仅计算典型户型",'数据-取费表'!E5,'数据-取费表'!B5),0)</f>
        <v>3600.5</v>
      </c>
      <c r="E9" s="1533">
        <f>'数据-取费表'!E11</f>
        <v>160</v>
      </c>
      <c r="F9" s="1531"/>
      <c r="G9" s="182"/>
    </row>
    <row r="10" spans="1:7" s="175" customFormat="1" ht="13.5" customHeight="1">
      <c r="A10" s="1300" t="s">
        <v>950</v>
      </c>
      <c r="B10" s="181" t="s">
        <v>2017</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t="str">
        <f>IF(G19="已包含在土地取得成本中","0",ROUND(D19*E19,0))</f>
        <v>0</v>
      </c>
      <c r="D19" s="1537">
        <f>IF(B1="仅计算典型户型",'数据-取费表'!E5,'数据-取费表'!B5)</f>
        <v>3600.5</v>
      </c>
      <c r="E19" s="195">
        <f>'数据-取费表'!E15</f>
        <v>200</v>
      </c>
      <c r="F19" s="196"/>
      <c r="G19" s="2329" t="s">
        <v>2849</v>
      </c>
    </row>
    <row r="20" spans="1:7" s="175" customFormat="1" ht="13.5" customHeight="1">
      <c r="A20" s="204" t="s">
        <v>2029</v>
      </c>
      <c r="B20" s="173" t="s">
        <v>2030</v>
      </c>
      <c r="C20" s="183">
        <f ca="1">ROUND((C5+C19)*F20,0)</f>
        <v>960620</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4716945</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1">
        <f ca="1">ROUND(IF('数据-取费表'!B23&lt;=1,C5*F22*'数据-取费表'!B24,C5*(POWER((1+F22),'数据-取费表'!B24)-1)),0)</f>
        <v>4671316</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1">
        <f ca="1">ROUND(IF('数据-取费表'!B23&lt;=1,C20*F22*'数据-取费表'!B24/2,C20*(POWER((1+F22),'数据-取费表'!B24/2)-1)),0)</f>
        <v>45629</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1" t="s">
        <v>2047</v>
      </c>
      <c r="B27" s="194" t="s">
        <v>2048</v>
      </c>
      <c r="C27" s="195">
        <f ca="1">C28</f>
        <v>9798326</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9798326</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68901924</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9212599</v>
      </c>
      <c r="D33" s="183"/>
      <c r="E33" s="1528"/>
      <c r="F33" s="191"/>
      <c r="G33" s="184"/>
    </row>
    <row r="34" spans="1:7" s="206" customFormat="1" ht="13.5" customHeight="1">
      <c r="A34" s="176" t="s">
        <v>2038</v>
      </c>
      <c r="B34" s="177" t="s">
        <v>2060</v>
      </c>
      <c r="C34" s="199">
        <f>IF(B1="仅计算典型户型",'数据-取费表'!F18,'数据-取费表'!E18)</f>
        <v>7417030</v>
      </c>
      <c r="D34" s="1529"/>
      <c r="E34" s="199"/>
      <c r="F34" s="1540" t="str">
        <f>IF('数据-取费表'!B25=0,"",'数据-取费表'!E20)</f>
        <v/>
      </c>
      <c r="G34" s="179"/>
    </row>
    <row r="35" spans="1:7" ht="13.5" customHeight="1">
      <c r="A35" s="176" t="s">
        <v>2012</v>
      </c>
      <c r="B35" s="177" t="s">
        <v>2061</v>
      </c>
      <c r="C35" s="199">
        <f>ROUND(C34*F35,0)</f>
        <v>222511</v>
      </c>
      <c r="D35" s="199"/>
      <c r="E35" s="199"/>
      <c r="F35" s="1541">
        <f>'数据-取费表'!E21</f>
        <v>0.03</v>
      </c>
      <c r="G35" s="179" t="s">
        <v>2062</v>
      </c>
    </row>
    <row r="36" spans="1:7" ht="24">
      <c r="A36" s="176" t="s">
        <v>2014</v>
      </c>
      <c r="B36" s="177" t="s">
        <v>2063</v>
      </c>
      <c r="C36" s="199">
        <f>ROUND(IF('数据-取费表'!B10="住宅",C34*F36,0),0)</f>
        <v>741703</v>
      </c>
      <c r="D36" s="199"/>
      <c r="E36" s="199"/>
      <c r="F36" s="1541">
        <f>'数据-取费表'!E22</f>
        <v>0.1</v>
      </c>
      <c r="G36" s="207" t="s">
        <v>2064</v>
      </c>
    </row>
    <row r="37" spans="1:7" s="206" customFormat="1" ht="13.5" customHeight="1">
      <c r="A37" s="176" t="s">
        <v>2045</v>
      </c>
      <c r="B37" s="177" t="s">
        <v>2065</v>
      </c>
      <c r="C37" s="199">
        <f>ROUND(E37*D37,0)</f>
        <v>720100</v>
      </c>
      <c r="D37" s="1529">
        <f>IF(B1="仅计算典型户型",'数据-取费表'!E5,'数据-取费表'!B5)</f>
        <v>3600.5</v>
      </c>
      <c r="E37" s="199">
        <f>'数据-取费表'!E23</f>
        <v>200</v>
      </c>
      <c r="F37" s="1541"/>
      <c r="G37" s="208" t="s">
        <v>2066</v>
      </c>
    </row>
    <row r="38" spans="1:7" ht="13.5" customHeight="1">
      <c r="A38" s="176" t="s">
        <v>2067</v>
      </c>
      <c r="B38" s="177" t="s">
        <v>2068</v>
      </c>
      <c r="C38" s="199">
        <f>ROUND(C34*F38,0)</f>
        <v>111255</v>
      </c>
      <c r="D38" s="199"/>
      <c r="E38" s="199"/>
      <c r="F38" s="1541">
        <f>'数据-取费表'!E24</f>
        <v>1.4999999999999999E-2</v>
      </c>
      <c r="G38" s="179" t="s">
        <v>2062</v>
      </c>
    </row>
    <row r="39" spans="1:7" s="175" customFormat="1" ht="13.5" customHeight="1">
      <c r="A39" s="204" t="s">
        <v>2027</v>
      </c>
      <c r="B39" s="173" t="s">
        <v>2030</v>
      </c>
      <c r="C39" s="183">
        <f>ROUND(C33*F20,0)</f>
        <v>184252</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446350</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437598</v>
      </c>
      <c r="D42" s="188"/>
      <c r="E42" s="188"/>
      <c r="F42" s="189"/>
      <c r="G42" s="2983" t="s">
        <v>2072</v>
      </c>
    </row>
    <row r="43" spans="1:7" ht="13.5" customHeight="1">
      <c r="A43" s="176" t="s">
        <v>2012</v>
      </c>
      <c r="B43" s="177" t="s">
        <v>2041</v>
      </c>
      <c r="C43" s="188">
        <f ca="1">ROUND(IF('数据-取费表'!B23&lt;=1,C39*F22*'数据-取费表'!B22/2,C39*(POWER((1+F22),'数据-取费表'!B22/2)-1)),0)</f>
        <v>8752</v>
      </c>
      <c r="D43" s="188"/>
      <c r="E43" s="188"/>
      <c r="F43" s="189"/>
      <c r="G43" s="2984"/>
    </row>
    <row r="44" spans="1:7" ht="13.5" customHeight="1">
      <c r="A44" s="176" t="s">
        <v>2014</v>
      </c>
      <c r="B44" s="177" t="s">
        <v>2043</v>
      </c>
      <c r="C44" s="188">
        <f ca="1">ROUND(IF('数据-取费表'!B23&lt;=1,C40*F22*'数据-取费表'!B22/2,C40*(POWER((1+F22),'数据-取费表'!B22/2)-1)),4)</f>
        <v>1E-3</v>
      </c>
      <c r="D44" s="188"/>
      <c r="E44" s="188"/>
      <c r="F44" s="189"/>
      <c r="G44" s="2985"/>
    </row>
    <row r="45" spans="1:7" s="175" customFormat="1" ht="13.5" customHeight="1">
      <c r="A45" s="204" t="s">
        <v>2036</v>
      </c>
      <c r="B45" s="194" t="s">
        <v>2048</v>
      </c>
      <c r="C45" s="195">
        <f>C46</f>
        <v>1879370</v>
      </c>
      <c r="D45" s="185">
        <f>C47</f>
        <v>4.0000000000000001E-3</v>
      </c>
      <c r="E45" s="186" t="s">
        <v>2070</v>
      </c>
      <c r="F45" s="196"/>
      <c r="G45" s="197" t="s">
        <v>2073</v>
      </c>
    </row>
    <row r="46" spans="1:7" s="175" customFormat="1" ht="13.5" customHeight="1">
      <c r="A46" s="176" t="s">
        <v>2038</v>
      </c>
      <c r="B46" s="198" t="s">
        <v>2074</v>
      </c>
      <c r="C46" s="199">
        <f>ROUND((C33+C39)*F27,0)</f>
        <v>1879370</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1" t="s">
        <v>2047</v>
      </c>
      <c r="B48" s="173" t="s">
        <v>2076</v>
      </c>
      <c r="C48" s="1815">
        <f>ROUND(F30/(1+'数据-取费表'!F30),4)</f>
        <v>5.33E-2</v>
      </c>
      <c r="D48" s="186" t="s">
        <v>2070</v>
      </c>
      <c r="E48" s="183"/>
      <c r="F48" s="187"/>
      <c r="G48" s="184" t="s">
        <v>2077</v>
      </c>
    </row>
    <row r="49" spans="1:7" ht="16.5" customHeight="1">
      <c r="A49" s="1301" t="s">
        <v>2078</v>
      </c>
      <c r="B49" s="173" t="s">
        <v>2079</v>
      </c>
      <c r="C49" s="183">
        <f ca="1">ROUND((C33+C39+C41+C45)/(1-C40-D41-D45-C48),0)</f>
        <v>12718424</v>
      </c>
      <c r="D49" s="183"/>
      <c r="E49" s="183"/>
      <c r="F49" s="210"/>
      <c r="G49" s="184" t="s">
        <v>2080</v>
      </c>
    </row>
    <row r="50" spans="1:7" s="206" customFormat="1" ht="24">
      <c r="A50" s="1301" t="s">
        <v>2081</v>
      </c>
      <c r="B50" s="173" t="s">
        <v>2082</v>
      </c>
      <c r="C50" s="183"/>
      <c r="D50" s="183"/>
      <c r="E50" s="183"/>
      <c r="F50" s="210">
        <f>IF('数据-取费表'!B25=0,'数据-取费表'!E20,1)</f>
        <v>0.7</v>
      </c>
      <c r="G50" s="197" t="s">
        <v>2083</v>
      </c>
    </row>
    <row r="51" spans="1:7" ht="16.5" customHeight="1">
      <c r="A51" s="1301" t="s">
        <v>2084</v>
      </c>
      <c r="B51" s="173" t="s">
        <v>2085</v>
      </c>
      <c r="C51" s="183">
        <f ca="1">ROUND(C49*F50,0)</f>
        <v>8902897</v>
      </c>
      <c r="D51" s="183"/>
      <c r="E51" s="183"/>
      <c r="F51" s="210"/>
      <c r="G51" s="184" t="s">
        <v>2086</v>
      </c>
    </row>
    <row r="52" spans="1:7" s="172" customFormat="1" ht="16.5" thickBot="1">
      <c r="A52" s="211" t="s">
        <v>2087</v>
      </c>
      <c r="B52" s="212"/>
      <c r="C52" s="213">
        <f ca="1">C31+C51</f>
        <v>77804821</v>
      </c>
      <c r="D52" s="212"/>
      <c r="E52" s="212"/>
      <c r="F52" s="212"/>
      <c r="G52" s="214"/>
    </row>
    <row r="55" spans="1:7" ht="15">
      <c r="B55" s="216" t="s">
        <v>2088</v>
      </c>
      <c r="C55" s="217"/>
    </row>
    <row r="56" spans="1:7">
      <c r="B56" s="219" t="s">
        <v>2089</v>
      </c>
      <c r="C56" s="220">
        <f ca="1">ROUND(C51/C52,3)</f>
        <v>0.114</v>
      </c>
    </row>
    <row r="57" spans="1:7">
      <c r="B57" s="219" t="s">
        <v>2090</v>
      </c>
      <c r="C57" s="221">
        <f ca="1">1-C56</f>
        <v>0.88600000000000001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571041</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0.03</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0.1</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-576080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-576080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-11522</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-117520</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-117520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571041</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D1" sqref="D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0" t="s">
        <v>2839</v>
      </c>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118661141</v>
      </c>
      <c r="C2" s="2330" t="str">
        <f>'数据-取费表'!B3</f>
        <v>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32957</v>
      </c>
      <c r="C3" s="2330"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4052742</v>
      </c>
      <c r="D5" s="2744" t="s">
        <v>2819</v>
      </c>
      <c r="E5" s="1210"/>
      <c r="F5" s="1379"/>
      <c r="G5" s="1234"/>
      <c r="H5" s="316">
        <v>1</v>
      </c>
      <c r="I5" s="317" t="s">
        <v>2099</v>
      </c>
      <c r="J5" s="318">
        <f ca="1">J6+J10+J12</f>
        <v>0</v>
      </c>
      <c r="K5" s="2331" t="s">
        <v>2100</v>
      </c>
      <c r="L5" s="1210"/>
      <c r="M5" s="1379"/>
    </row>
    <row r="6" spans="1:37" ht="18" customHeight="1">
      <c r="A6" s="1380" t="s">
        <v>2101</v>
      </c>
      <c r="B6" s="2017" t="s">
        <v>2102</v>
      </c>
      <c r="C6" s="318">
        <f>ROUND(F6*F8*F7*(1-F9),0)</f>
        <v>4047682</v>
      </c>
      <c r="D6" s="80" t="s">
        <v>2793</v>
      </c>
      <c r="E6" s="319" t="s">
        <v>2103</v>
      </c>
      <c r="F6" s="320">
        <f>'数据-取费表'!B29</f>
        <v>3.5</v>
      </c>
      <c r="G6" s="1234"/>
      <c r="H6" s="1380" t="s">
        <v>2101</v>
      </c>
      <c r="I6" s="2017" t="s">
        <v>2102</v>
      </c>
      <c r="J6" s="318">
        <f>ROUND(M6*M8*M7*(1-M9),0)</f>
        <v>0</v>
      </c>
      <c r="K6" s="80" t="s">
        <v>2793</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3600.5</v>
      </c>
      <c r="G7" s="1234"/>
      <c r="H7" s="321"/>
      <c r="I7" s="322"/>
      <c r="J7" s="323"/>
      <c r="K7" s="324"/>
      <c r="L7" s="319" t="s">
        <v>2104</v>
      </c>
      <c r="M7" s="320">
        <f>IF('数据-取费表'!B41="",IF(D1="仅计算典型户型",'数据-取费表'!E5,'数据-取费表'!B5),'数据-取费表'!B41)</f>
        <v>3600.5</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0.12</v>
      </c>
      <c r="G9" s="1234"/>
      <c r="H9" s="321"/>
      <c r="I9" s="322"/>
      <c r="J9" s="1382"/>
      <c r="K9" s="95"/>
      <c r="L9" s="330" t="s">
        <v>2107</v>
      </c>
      <c r="M9" s="329">
        <f>'数据-取费表'!B38</f>
        <v>0</v>
      </c>
    </row>
    <row r="10" spans="1:37" ht="18" customHeight="1">
      <c r="A10" s="1380" t="s">
        <v>2108</v>
      </c>
      <c r="B10" s="2332" t="s">
        <v>2109</v>
      </c>
      <c r="C10" s="1381">
        <f ca="1">ROUND(IF(F10="押一",C6/12*F11,IF(F10="押二",C6/12*2*F11,IF(F10="押三",C6/12*3*F11,C11*F11))),0)</f>
        <v>5060</v>
      </c>
      <c r="D10" s="2333" t="s">
        <v>2801</v>
      </c>
      <c r="E10" s="330" t="s">
        <v>2110</v>
      </c>
      <c r="F10" s="2334" t="s">
        <v>2111</v>
      </c>
      <c r="G10" s="1234"/>
      <c r="H10" s="1380" t="s">
        <v>2108</v>
      </c>
      <c r="I10" s="2332" t="s">
        <v>2109</v>
      </c>
      <c r="J10" s="1381">
        <f ca="1">ROUND(IF(M10="押一",J6/12*M11,IF(M10="押二",J6/12*2*M11,IF(M10="押三",J6/12*3*M11,J11*M11))),0)</f>
        <v>0</v>
      </c>
      <c r="K10" s="80" t="s">
        <v>2801</v>
      </c>
      <c r="L10" s="330" t="s">
        <v>2110</v>
      </c>
      <c r="M10" s="2334"/>
    </row>
    <row r="11" spans="1:37" s="341" customFormat="1" ht="18" customHeight="1">
      <c r="A11" s="348"/>
      <c r="B11" s="2335" t="s">
        <v>2112</v>
      </c>
      <c r="C11" s="1414"/>
      <c r="D11" s="324"/>
      <c r="E11" s="330" t="s">
        <v>2113</v>
      </c>
      <c r="F11" s="331">
        <f ca="1">'数据-取费表'!B30</f>
        <v>1.4999999999999999E-2</v>
      </c>
      <c r="G11" s="1235"/>
      <c r="H11" s="325"/>
      <c r="I11" s="2335"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6" t="s">
        <v>2116</v>
      </c>
      <c r="C12" s="1421"/>
      <c r="D12" s="2337"/>
      <c r="E12" s="1427"/>
      <c r="F12" s="1422"/>
      <c r="G12" s="1234"/>
      <c r="H12" s="1420" t="s">
        <v>2115</v>
      </c>
      <c r="I12" s="2336" t="s">
        <v>2116</v>
      </c>
      <c r="J12" s="1421"/>
      <c r="K12" s="1437"/>
      <c r="L12" s="1427"/>
      <c r="M12" s="1438"/>
    </row>
    <row r="13" spans="1:37" s="341" customFormat="1" ht="18" customHeight="1" thickTop="1">
      <c r="A13" s="1416">
        <v>2</v>
      </c>
      <c r="B13" s="1417" t="s">
        <v>2117</v>
      </c>
      <c r="C13" s="327">
        <f ca="1">ROUND(C29*F13,0)</f>
        <v>8902897</v>
      </c>
      <c r="D13" s="1418" t="s">
        <v>2118</v>
      </c>
      <c r="E13" s="1418" t="s">
        <v>2119</v>
      </c>
      <c r="F13" s="1419">
        <f>'数据-取费表'!E20</f>
        <v>0.7</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7417030</v>
      </c>
      <c r="D14" s="1883" t="s">
        <v>2122</v>
      </c>
      <c r="E14" s="1884"/>
      <c r="F14" s="975"/>
      <c r="G14" s="1235"/>
      <c r="H14" s="337" t="s">
        <v>2101</v>
      </c>
      <c r="I14" s="319" t="s">
        <v>2123</v>
      </c>
      <c r="J14" s="14">
        <f ca="1">C29</f>
        <v>12718424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222511</v>
      </c>
      <c r="D15" s="339" t="s">
        <v>2126</v>
      </c>
      <c r="E15" s="339" t="s">
        <v>2127</v>
      </c>
      <c r="F15" s="340">
        <f>'数据-取费表'!E21</f>
        <v>0.03</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741703</v>
      </c>
      <c r="D16" s="319" t="s">
        <v>2126</v>
      </c>
      <c r="E16" s="319" t="s">
        <v>2127</v>
      </c>
      <c r="F16" s="342">
        <f>IF('数据-取费表'!B10="住宅",'数据-取费表'!E22,0)</f>
        <v>0.1</v>
      </c>
      <c r="G16" s="1235"/>
      <c r="H16" s="1416" t="s">
        <v>14</v>
      </c>
      <c r="I16" s="1417" t="s">
        <v>2132</v>
      </c>
      <c r="J16" s="327">
        <f ca="1">ROUND(J17+J22+J23+J24,0)</f>
        <v>299774</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720100</v>
      </c>
      <c r="D17" s="319" t="s">
        <v>2136</v>
      </c>
      <c r="E17" s="319" t="s">
        <v>2137</v>
      </c>
      <c r="F17" s="16">
        <f>'数据-取费表'!E23</f>
        <v>200</v>
      </c>
      <c r="G17" s="1235"/>
      <c r="H17" s="337" t="s">
        <v>2138</v>
      </c>
      <c r="I17" s="319" t="s">
        <v>2139</v>
      </c>
      <c r="J17" s="14">
        <f ca="1">ROUND(IF(项目基本情况!B7="自然人",J6*M17/(1+'数据-取费表'!F30),J18+J19+J20),0)</f>
        <v>108998</v>
      </c>
      <c r="K17" s="1883" t="s">
        <v>2140</v>
      </c>
      <c r="L17" s="1888"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111255</v>
      </c>
      <c r="D18" s="319" t="s">
        <v>2126</v>
      </c>
      <c r="E18" s="319" t="s">
        <v>2127</v>
      </c>
      <c r="F18" s="342">
        <f>'数据-取费表'!E24</f>
        <v>1.4999999999999999E-2</v>
      </c>
      <c r="G18" s="1234"/>
      <c r="H18" s="337" t="s">
        <v>2144</v>
      </c>
      <c r="I18" s="319" t="s">
        <v>2145</v>
      </c>
      <c r="J18" s="14">
        <f>IF(项目基本情况!B7="自然人","——",ROUND(J6*M18/(1+'数据-取费表'!F30),0))</f>
        <v>0</v>
      </c>
      <c r="K18" s="1888" t="s">
        <v>2821</v>
      </c>
      <c r="L18" s="319" t="s">
        <v>2127</v>
      </c>
      <c r="M18" s="342">
        <f>'数据-取费表'!E29</f>
        <v>5.6000000000000001E-2</v>
      </c>
    </row>
    <row r="19" spans="1:37" s="341" customFormat="1" ht="18" customHeight="1">
      <c r="A19" s="337" t="s">
        <v>2138</v>
      </c>
      <c r="B19" s="319" t="s">
        <v>2146</v>
      </c>
      <c r="C19" s="14">
        <f>SUM(C14:C18)</f>
        <v>9212599</v>
      </c>
      <c r="D19" s="56" t="s">
        <v>2147</v>
      </c>
      <c r="E19" s="1893"/>
      <c r="F19" s="16"/>
      <c r="G19" s="1235"/>
      <c r="H19" s="337" t="s">
        <v>2124</v>
      </c>
      <c r="I19" s="319" t="s">
        <v>2148</v>
      </c>
      <c r="J19" s="14">
        <f ca="1">IF(项目基本情况!B7="自然人","——",IF(K19="按租金收入计税",ROUND(J6*M19/(1+'数据-取费表'!F30),0),ROUND(C29*M19*0.7,0)))</f>
        <v>106835</v>
      </c>
      <c r="K19" s="2007"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184252</v>
      </c>
      <c r="D20" s="344" t="s">
        <v>2151</v>
      </c>
      <c r="E20" s="319" t="s">
        <v>2152</v>
      </c>
      <c r="F20" s="342">
        <f>'数据-取费表'!E25</f>
        <v>0.02</v>
      </c>
      <c r="G20" s="1235"/>
      <c r="H20" s="337" t="s">
        <v>2130</v>
      </c>
      <c r="I20" s="80" t="s">
        <v>2153</v>
      </c>
      <c r="J20" s="15">
        <f>IF(项目基本情况!B7="自然人","——",ROUND(M20*M21,0))</f>
        <v>2163</v>
      </c>
      <c r="K20" s="346" t="s">
        <v>2154</v>
      </c>
      <c r="L20" s="319" t="s">
        <v>2155</v>
      </c>
      <c r="M20" s="347">
        <f>'数据-取费表'!E40</f>
        <v>1.5</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1441.8</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3"/>
      <c r="F22" s="16"/>
      <c r="G22" s="1234"/>
      <c r="H22" s="337" t="s">
        <v>2128</v>
      </c>
      <c r="I22" s="319" t="s">
        <v>2163</v>
      </c>
      <c r="J22" s="14">
        <f ca="1">ROUND(J14*M22,0)</f>
        <v>190776</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446350</v>
      </c>
      <c r="D23" s="2001" t="str">
        <f>IF(F23&lt;=1,"(建造成本+管理费用)×利率×(建设周期÷2)","(建造成本+管理费用)×((1+利率)^(建设周期÷2)-1)")</f>
        <v>(建造成本+管理费用)×((1+利率)^(建设周期÷2)-1)</v>
      </c>
      <c r="E23" s="319" t="s">
        <v>2166</v>
      </c>
      <c r="F23" s="347">
        <f>'数据-取费表'!B21</f>
        <v>2</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1" t="str">
        <f>IF(F23&lt;=1,"销售费用×利率×(建设周期÷2)","销售费用×((1+利率)^(建设周期÷2)-1)")</f>
        <v>销售费用×((1+利率)^(建设周期÷2)-1)</v>
      </c>
      <c r="E24" s="319" t="s">
        <v>2172</v>
      </c>
      <c r="F24" s="352">
        <f ca="1">'数据-取费表'!E27</f>
        <v>4.7500000000000001E-2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-299774</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1879370</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0.04</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12718424</v>
      </c>
      <c r="D29" s="1429"/>
      <c r="E29" s="1427"/>
      <c r="F29" s="1430"/>
      <c r="G29" s="791"/>
      <c r="H29" s="356" t="s">
        <v>24</v>
      </c>
      <c r="I29" s="357" t="s">
        <v>2196</v>
      </c>
      <c r="J29" s="358">
        <f ca="1">ROUND(J26/(1+F40)^F41,0)</f>
        <v>0</v>
      </c>
      <c r="K29" s="359" t="s">
        <v>2197</v>
      </c>
      <c r="L29" s="360"/>
      <c r="M29" s="361">
        <f>IF(D1="仅计算典型户型",'数据-取费表'!E5,'数据-取费表'!B5)</f>
        <v>3600.5</v>
      </c>
    </row>
    <row r="30" spans="1:37" ht="18" customHeight="1" thickTop="1">
      <c r="A30" s="1416" t="s">
        <v>14</v>
      </c>
      <c r="B30" s="1417" t="s">
        <v>2198</v>
      </c>
      <c r="C30" s="327">
        <f ca="1">ROUND(C31+C36+C37+C38,0)</f>
        <v>569531</v>
      </c>
      <c r="D30" s="1423" t="s">
        <v>2199</v>
      </c>
      <c r="E30" s="1424"/>
      <c r="F30" s="1425"/>
      <c r="G30" s="791"/>
      <c r="H30" s="1214"/>
      <c r="I30" s="1215"/>
      <c r="J30" s="1216"/>
      <c r="K30" s="1217"/>
      <c r="L30" s="1218"/>
      <c r="M30" s="1219"/>
    </row>
    <row r="31" spans="1:37" ht="18" customHeight="1">
      <c r="A31" s="337" t="s">
        <v>2101</v>
      </c>
      <c r="B31" s="319" t="s">
        <v>2139</v>
      </c>
      <c r="C31" s="14">
        <f ca="1">ROUND(IF(项目基本情况!B7="自然人",C6*F31/(1+'数据-取费表'!F30),C32+C33+C34),0)</f>
        <v>324874</v>
      </c>
      <c r="D31" s="1883" t="s">
        <v>2200</v>
      </c>
      <c r="E31" s="1888" t="s">
        <v>2201</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2202</v>
      </c>
      <c r="C32" s="14">
        <f>IF(项目基本情况!B7="自然人","——",ROUND(C6*F32/(1+'数据-取费表'!F30),0))</f>
        <v>215876</v>
      </c>
      <c r="D32" s="1888" t="s">
        <v>2820</v>
      </c>
      <c r="E32" s="319" t="s">
        <v>2152</v>
      </c>
      <c r="F32" s="352">
        <f>'数据-取费表'!E29</f>
        <v>5.6000000000000001E-2</v>
      </c>
      <c r="G32" s="791"/>
      <c r="H32" s="1220"/>
      <c r="I32" s="1221"/>
      <c r="J32" s="1222"/>
      <c r="K32" s="1223"/>
      <c r="L32" s="1224"/>
      <c r="M32" s="1225"/>
    </row>
    <row r="33" spans="1:18" ht="18" customHeight="1">
      <c r="A33" s="337" t="s">
        <v>2124</v>
      </c>
      <c r="B33" s="319" t="s">
        <v>2148</v>
      </c>
      <c r="C33" s="14">
        <f ca="1">IF(项目基本情况!B7="自然人","——",IF(D33="按租金收入计税",ROUND(C6*F33/(1+'数据-取费表'!F30),0),IF(D33="按房产原值计税",ROUND(C29*F33*0.7,0),'数据-取费表'!B43)))</f>
        <v>106835</v>
      </c>
      <c r="D33" s="2007" t="s">
        <v>2149</v>
      </c>
      <c r="E33" s="319" t="s">
        <v>2127</v>
      </c>
      <c r="F33" s="342">
        <f>IF(D33="按票据","——",IF(D33="按租金收入计税",'数据-取费表'!E39,'数据-取费表'!E38))</f>
        <v>1.2E-2</v>
      </c>
      <c r="G33" s="791"/>
      <c r="H33" s="1226"/>
      <c r="I33" s="363" t="s">
        <v>2204</v>
      </c>
      <c r="J33" s="364"/>
      <c r="K33" s="1227"/>
      <c r="L33" s="1226"/>
      <c r="M33" s="1226"/>
    </row>
    <row r="34" spans="1:18" ht="18" customHeight="1">
      <c r="A34" s="1380" t="s">
        <v>2130</v>
      </c>
      <c r="B34" s="80" t="s">
        <v>2153</v>
      </c>
      <c r="C34" s="15">
        <f>IF(项目基本情况!B7="自然人","——",ROUND(F34*F35,0))</f>
        <v>2163</v>
      </c>
      <c r="D34" s="346" t="s">
        <v>2154</v>
      </c>
      <c r="E34" s="319" t="s">
        <v>2155</v>
      </c>
      <c r="F34" s="347">
        <f>'数据-取费表'!E40</f>
        <v>1.5</v>
      </c>
      <c r="G34" s="791"/>
      <c r="H34" s="1214"/>
      <c r="I34" s="365" t="s">
        <v>2205</v>
      </c>
      <c r="J34" s="366">
        <f ca="1">ROUND(C13*J35,0)</f>
        <v>534174</v>
      </c>
      <c r="K34" s="1228"/>
      <c r="L34" s="1229"/>
      <c r="M34" s="1229"/>
    </row>
    <row r="35" spans="1:18" ht="24.6" customHeight="1">
      <c r="A35" s="1384"/>
      <c r="B35" s="328"/>
      <c r="C35" s="19"/>
      <c r="D35" s="349"/>
      <c r="E35" s="319" t="s">
        <v>2160</v>
      </c>
      <c r="F35" s="320">
        <f>IF(D1="仅计算典型户型",'数据-取费表'!E6,'数据-取费表'!B6)</f>
        <v>1441.8</v>
      </c>
      <c r="G35" s="791"/>
      <c r="H35" s="1214"/>
      <c r="I35" s="367" t="s">
        <v>2206</v>
      </c>
      <c r="J35" s="368">
        <f>'数据-取费表'!B17</f>
        <v>0.06</v>
      </c>
      <c r="K35" s="1227"/>
      <c r="L35" s="1226"/>
      <c r="M35" s="1226"/>
    </row>
    <row r="36" spans="1:18" ht="18" customHeight="1">
      <c r="A36" s="1383" t="s">
        <v>2108</v>
      </c>
      <c r="B36" s="319" t="s">
        <v>2207</v>
      </c>
      <c r="C36" s="14">
        <f ca="1">ROUND(C29*F36,0)</f>
        <v>190776</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13354</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40527</v>
      </c>
      <c r="D38" s="1429" t="s">
        <v>2173</v>
      </c>
      <c r="E38" s="1427" t="s">
        <v>2169</v>
      </c>
      <c r="F38" s="1422">
        <f>'数据-取费表'!B46</f>
        <v>0.01</v>
      </c>
      <c r="G38" s="791"/>
      <c r="H38" s="1226"/>
      <c r="I38" s="365" t="s">
        <v>2211</v>
      </c>
      <c r="J38" s="220">
        <f ca="1">ROUND(J34/C39,3)</f>
        <v>0.153</v>
      </c>
      <c r="K38" s="1231"/>
      <c r="L38" s="1226"/>
      <c r="M38" s="1226"/>
    </row>
    <row r="39" spans="1:18" ht="18" customHeight="1" thickTop="1">
      <c r="A39" s="1416" t="s">
        <v>22</v>
      </c>
      <c r="B39" s="1431" t="s">
        <v>2212</v>
      </c>
      <c r="C39" s="327">
        <f ca="1">C5-C30</f>
        <v>3483211</v>
      </c>
      <c r="D39" s="1432" t="s">
        <v>2213</v>
      </c>
      <c r="E39" s="1433"/>
      <c r="F39" s="1434"/>
      <c r="G39" s="791"/>
      <c r="H39" s="1226"/>
      <c r="I39" s="365" t="s">
        <v>2214</v>
      </c>
      <c r="J39" s="220">
        <f ca="1">1-J38</f>
        <v>0.84699999999999998</v>
      </c>
      <c r="K39" s="1231"/>
      <c r="L39" s="1226"/>
      <c r="M39" s="1226"/>
    </row>
    <row r="40" spans="1:18" s="791" customFormat="1" ht="18" customHeight="1">
      <c r="A40" s="316" t="s">
        <v>23</v>
      </c>
      <c r="B40" s="317" t="s">
        <v>2215</v>
      </c>
      <c r="C40" s="318">
        <f ca="1">ROUND(C39*(1-((1+F42)/(1+F40))^F41)/(F40-F42),0)</f>
        <v>118661141</v>
      </c>
      <c r="D40" s="346" t="s">
        <v>2183</v>
      </c>
      <c r="E40" s="319" t="s">
        <v>2184</v>
      </c>
      <c r="F40" s="329">
        <f>'数据-取费表'!B16</f>
        <v>0.04</v>
      </c>
      <c r="H40" s="1232"/>
      <c r="I40" s="216" t="s">
        <v>2216</v>
      </c>
      <c r="J40" s="217"/>
      <c r="K40" s="1231"/>
      <c r="L40" s="1232"/>
      <c r="M40" s="1232"/>
      <c r="Q40" s="795"/>
    </row>
    <row r="41" spans="1:18" s="791" customFormat="1" ht="18" customHeight="1">
      <c r="A41" s="321"/>
      <c r="B41" s="322"/>
      <c r="C41" s="323"/>
      <c r="D41" s="354" t="s">
        <v>2217</v>
      </c>
      <c r="E41" s="1821" t="s">
        <v>2804</v>
      </c>
      <c r="F41" s="355">
        <f>IF('数据-取费表'!B28="租赁期内按合同租金",'数据-取费表'!B34,IF(E41="收益年期(n)",'数据-取费表'!B33,'数据-取费表'!B13))</f>
        <v>43.11</v>
      </c>
      <c r="H41" s="1233"/>
      <c r="I41" s="219" t="s">
        <v>2089</v>
      </c>
      <c r="J41" s="220">
        <f ca="1">ROUND(C13/C40,3)</f>
        <v>7.4999999999999997E-2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0.92500000000000004</v>
      </c>
      <c r="K42" s="1230"/>
      <c r="L42" s="1233"/>
      <c r="M42" s="1233"/>
      <c r="Q42" s="795"/>
    </row>
    <row r="43" spans="1:18" s="791" customFormat="1" ht="18" customHeight="1" thickBot="1">
      <c r="A43" s="356" t="s">
        <v>24</v>
      </c>
      <c r="B43" s="357" t="s">
        <v>2218</v>
      </c>
      <c r="C43" s="358">
        <f ca="1">ROUND(C40/F43,0)</f>
        <v>32957</v>
      </c>
      <c r="D43" s="359" t="s">
        <v>2219</v>
      </c>
      <c r="E43" s="360" t="s">
        <v>2220</v>
      </c>
      <c r="F43" s="361">
        <f>IF(D1="仅计算典型户型",'数据-取费表'!E5,'数据-取费表'!B5)</f>
        <v>3600.5</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118661141</v>
      </c>
      <c r="R45" s="1366" t="s">
        <v>2227</v>
      </c>
    </row>
    <row r="46" spans="1:18" s="791" customFormat="1" ht="18" customHeight="1" thickBot="1">
      <c r="A46" s="776"/>
      <c r="D46" s="776"/>
      <c r="E46" s="776"/>
      <c r="F46" s="776"/>
      <c r="K46" s="792"/>
      <c r="O46" s="1363" t="s">
        <v>954</v>
      </c>
      <c r="P46" s="1364" t="s">
        <v>2228</v>
      </c>
      <c r="Q46" s="1365" t="str">
        <f>J61</f>
        <v>0</v>
      </c>
      <c r="R46" s="1366" t="s">
        <v>2229</v>
      </c>
    </row>
    <row r="47" spans="1:18" s="791" customFormat="1" ht="21.75" thickBot="1">
      <c r="A47" s="2338" t="s">
        <v>2230</v>
      </c>
      <c r="C47" s="1299">
        <f ca="1">IF(C2="元",C69-C40,ROUND((C69-C40)/10000,0))</f>
        <v>-125046048</v>
      </c>
      <c r="D47" s="2339" t="str">
        <f>C2</f>
        <v>元</v>
      </c>
      <c r="E47" s="776"/>
      <c r="F47" s="776"/>
      <c r="I47" s="2340" t="s">
        <v>2231</v>
      </c>
      <c r="J47" s="1339"/>
      <c r="K47" s="1340"/>
      <c r="L47" s="1353">
        <f>IF(M48="住宅",0,IF(L49&gt;J52,L61,J61))</f>
        <v>0</v>
      </c>
      <c r="O47" s="1367" t="s">
        <v>955</v>
      </c>
      <c r="P47" s="1364" t="s">
        <v>2232</v>
      </c>
      <c r="Q47" s="1365">
        <f ca="1">C29</f>
        <v>12718424</v>
      </c>
      <c r="R47" s="1366" t="s">
        <v>2227</v>
      </c>
    </row>
    <row r="48" spans="1:18" s="791" customFormat="1" ht="15.75" thickBot="1">
      <c r="A48" s="312" t="s">
        <v>2233</v>
      </c>
      <c r="B48" s="313" t="s">
        <v>2234</v>
      </c>
      <c r="C48" s="313" t="s">
        <v>2235</v>
      </c>
      <c r="D48" s="313" t="s">
        <v>2236</v>
      </c>
      <c r="E48" s="1293" t="s">
        <v>2237</v>
      </c>
      <c r="F48" s="1294"/>
      <c r="I48" s="2341" t="s">
        <v>2238</v>
      </c>
      <c r="J48" s="2342"/>
      <c r="K48" s="2343" t="s">
        <v>2239</v>
      </c>
      <c r="L48" s="1341">
        <f>'数据-取费表'!B11</f>
        <v>70</v>
      </c>
      <c r="M48" s="1354" t="str">
        <f>IF('数据-取费表'!B10="住宅","住宅","非住宅")</f>
        <v>住宅</v>
      </c>
      <c r="O48" s="1367" t="s">
        <v>956</v>
      </c>
      <c r="P48" s="1364" t="s">
        <v>2240</v>
      </c>
      <c r="Q48" s="1368" t="e">
        <f>J59</f>
        <v>#VALUE!</v>
      </c>
      <c r="R48" s="1366"/>
    </row>
    <row r="49" spans="1:18" s="791" customFormat="1" ht="15.75" thickBot="1">
      <c r="A49" s="1453" t="s">
        <v>1026</v>
      </c>
      <c r="B49" s="317" t="s">
        <v>2241</v>
      </c>
      <c r="C49" s="1454">
        <f ca="1">C50+C54+C56</f>
        <v>0</v>
      </c>
      <c r="D49" s="1455"/>
      <c r="E49" s="101"/>
      <c r="F49" s="16"/>
      <c r="I49" s="2344" t="s">
        <v>2242</v>
      </c>
      <c r="J49" s="2345"/>
      <c r="K49" s="2346" t="s">
        <v>2243</v>
      </c>
      <c r="L49" s="1124">
        <f>'数据-取费表'!B13</f>
        <v>43.11</v>
      </c>
      <c r="O49" s="1367" t="s">
        <v>957</v>
      </c>
      <c r="P49" s="1364" t="s">
        <v>2244</v>
      </c>
      <c r="Q49" s="1368">
        <f>J53</f>
        <v>0</v>
      </c>
      <c r="R49" s="1366"/>
    </row>
    <row r="50" spans="1:18" s="791" customFormat="1" ht="15.75" thickBot="1">
      <c r="A50" s="345" t="s">
        <v>2101</v>
      </c>
      <c r="B50" s="2017" t="s">
        <v>2245</v>
      </c>
      <c r="C50" s="318">
        <f>ROUND(F50*F52*F51*(1-F53),0)</f>
        <v>0</v>
      </c>
      <c r="D50" s="93" t="s">
        <v>2794</v>
      </c>
      <c r="E50" s="2347" t="s">
        <v>2246</v>
      </c>
      <c r="F50" s="1295"/>
      <c r="I50" s="2344" t="s">
        <v>2247</v>
      </c>
      <c r="J50" s="1124">
        <f>'数据-取费表'!B26</f>
        <v>2000</v>
      </c>
      <c r="K50" s="2348" t="s">
        <v>2248</v>
      </c>
      <c r="L50" s="1342"/>
      <c r="O50" s="1367" t="s">
        <v>958</v>
      </c>
      <c r="P50" s="1364" t="s">
        <v>2249</v>
      </c>
      <c r="Q50" s="1365">
        <f>J54</f>
        <v>43.11</v>
      </c>
      <c r="R50" s="1366" t="s">
        <v>2250</v>
      </c>
    </row>
    <row r="51" spans="1:18" s="791" customFormat="1" ht="15.75" thickBot="1">
      <c r="A51" s="321"/>
      <c r="B51" s="322"/>
      <c r="C51" s="323"/>
      <c r="D51" s="324"/>
      <c r="E51" s="339" t="s">
        <v>2104</v>
      </c>
      <c r="F51" s="1292">
        <f>F7</f>
        <v>3600.5</v>
      </c>
      <c r="I51" s="2344" t="s">
        <v>2251</v>
      </c>
      <c r="J51" s="1343">
        <f>SUMPRODUCT((I64:I66=J48)*(J63:L63=J49)*(J64:L66))</f>
        <v>0</v>
      </c>
      <c r="K51" s="2348" t="s">
        <v>2252</v>
      </c>
      <c r="L51" s="1342"/>
      <c r="O51" s="1363" t="s">
        <v>959</v>
      </c>
      <c r="P51" s="1364" t="str">
        <f>IF(C2="元","收益价值(元)","收益价值(万元)")</f>
        <v>收益价值(元)</v>
      </c>
      <c r="Q51" s="1365">
        <f ca="1">ROUND(IF(C2="元",Q45+Q46,(Q45+Q46)/10000),0)</f>
        <v>118661141</v>
      </c>
      <c r="R51" s="1366" t="s">
        <v>960</v>
      </c>
    </row>
    <row r="52" spans="1:18" s="791" customFormat="1" ht="16.5" thickBot="1">
      <c r="A52" s="321"/>
      <c r="B52" s="322"/>
      <c r="C52" s="323"/>
      <c r="D52" s="324"/>
      <c r="E52" s="319" t="s">
        <v>2106</v>
      </c>
      <c r="F52" s="320">
        <f>F8</f>
        <v>365</v>
      </c>
      <c r="I52" s="2349" t="s">
        <v>2253</v>
      </c>
      <c r="J52" s="1344">
        <f>IF(J50="",J51,J50+J51-YEAR('数据-取费表'!B2))</f>
        <v>-20</v>
      </c>
      <c r="K52" s="2350" t="s">
        <v>2254</v>
      </c>
      <c r="L52" s="1345">
        <f ca="1">ROUND(-PV('数据-取费表'!B15,L49,(C40-C13*J35)),0)</f>
        <v>2836495288</v>
      </c>
      <c r="O52" s="1357" t="s">
        <v>2255</v>
      </c>
      <c r="P52" s="1358"/>
      <c r="Q52" s="1354"/>
      <c r="R52" s="1358"/>
    </row>
    <row r="53" spans="1:18" s="791" customFormat="1" ht="15.75" thickBot="1">
      <c r="A53" s="325"/>
      <c r="B53" s="326"/>
      <c r="C53" s="327"/>
      <c r="D53" s="328"/>
      <c r="E53" s="319" t="s">
        <v>2107</v>
      </c>
      <c r="F53" s="1352"/>
      <c r="I53" s="2351" t="s">
        <v>2256</v>
      </c>
      <c r="J53" s="1346"/>
      <c r="K53" s="2351" t="s">
        <v>2257</v>
      </c>
      <c r="L53" s="1346"/>
      <c r="O53" s="1359" t="s">
        <v>2222</v>
      </c>
      <c r="P53" s="1360" t="s">
        <v>2223</v>
      </c>
      <c r="Q53" s="1361" t="s">
        <v>2224</v>
      </c>
      <c r="R53" s="1362" t="s">
        <v>2225</v>
      </c>
    </row>
    <row r="54" spans="1:18" s="791" customFormat="1" ht="29.25" customHeight="1" thickBot="1">
      <c r="A54" s="1380" t="s">
        <v>2108</v>
      </c>
      <c r="B54" s="2332" t="s">
        <v>2109</v>
      </c>
      <c r="C54" s="1381">
        <f ca="1">ROUND(IF(F54="押一",C50/12*F11,IF(F54="押二",C50/12*2*F11,IF(F54="押三",C50/12*3*F11,C55*F11))),0)</f>
        <v>0</v>
      </c>
      <c r="D54" s="2333" t="s">
        <v>2802</v>
      </c>
      <c r="E54" s="330" t="s">
        <v>2110</v>
      </c>
      <c r="F54" s="2334"/>
      <c r="I54" s="2713" t="s">
        <v>2805</v>
      </c>
      <c r="J54" s="1347">
        <f>IF(M48="住宅",IF(E1="——",MAX(J52,L49),MAX(J52,L49-'数据-取费表'!B25)),IF(E1="——",MIN(J52,L49),MIN(J52,L49-'数据-取费表'!B25)))</f>
        <v>43.11</v>
      </c>
      <c r="K54" s="2986" t="s">
        <v>2792</v>
      </c>
      <c r="L54" s="2987"/>
      <c r="O54" s="1363" t="s">
        <v>953</v>
      </c>
      <c r="P54" s="1364" t="s">
        <v>2226</v>
      </c>
      <c r="Q54" s="1365">
        <f ca="1">C40+J29</f>
        <v>118661141</v>
      </c>
      <c r="R54" s="1366" t="s">
        <v>2227</v>
      </c>
    </row>
    <row r="55" spans="1:18" s="791" customFormat="1" ht="20.25" thickBot="1">
      <c r="A55" s="1380"/>
      <c r="B55" s="2352" t="s">
        <v>2114</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954</v>
      </c>
      <c r="P55" s="1364" t="s">
        <v>2258</v>
      </c>
      <c r="Q55" s="1365">
        <f>L61</f>
        <v>0</v>
      </c>
      <c r="R55" s="1366" t="s">
        <v>2259</v>
      </c>
    </row>
    <row r="56" spans="1:18" s="791" customFormat="1" ht="20.25" thickBot="1">
      <c r="A56" s="1420" t="s">
        <v>2115</v>
      </c>
      <c r="B56" s="2336" t="s">
        <v>2116</v>
      </c>
      <c r="C56" s="1421"/>
      <c r="D56" s="1437"/>
      <c r="E56" s="2355"/>
      <c r="F56" s="1497"/>
      <c r="I56" s="2356" t="s">
        <v>2260</v>
      </c>
      <c r="J56" s="1867" t="e">
        <f>ROUND(IF(J48="钢混",J58/J51,1-(1-2%)*(J51-J58)/J51),3)</f>
        <v>#VALUE!</v>
      </c>
      <c r="K56" s="2357" t="s">
        <v>2261</v>
      </c>
      <c r="L56" s="1348"/>
      <c r="O56" s="1367" t="s">
        <v>955</v>
      </c>
      <c r="P56" s="1364" t="s">
        <v>2262</v>
      </c>
      <c r="Q56" s="1365">
        <f>IF(L56="比较法",L50,IF(L56="基准地价",L51,0))</f>
        <v>0</v>
      </c>
      <c r="R56" s="1366" t="s">
        <v>2227</v>
      </c>
    </row>
    <row r="57" spans="1:18" s="791" customFormat="1" ht="44.25" thickTop="1" thickBot="1">
      <c r="A57" s="1416">
        <v>2</v>
      </c>
      <c r="B57" s="1417" t="s">
        <v>2117</v>
      </c>
      <c r="C57" s="1496">
        <f ca="1">C13</f>
        <v>8902897</v>
      </c>
      <c r="D57" s="1290"/>
      <c r="E57" s="1291"/>
      <c r="F57" s="1298"/>
      <c r="I57" s="2358" t="s">
        <v>2263</v>
      </c>
      <c r="J57" s="1351"/>
      <c r="K57" s="2344" t="s">
        <v>2264</v>
      </c>
      <c r="L57" s="1124">
        <f>IF(L49&lt;J52,"——",L49-J52)</f>
        <v>63.11</v>
      </c>
      <c r="O57" s="1367" t="s">
        <v>956</v>
      </c>
      <c r="P57" s="1364" t="s">
        <v>2265</v>
      </c>
      <c r="Q57" s="1368">
        <f>L53</f>
        <v>0</v>
      </c>
      <c r="R57" s="1366"/>
    </row>
    <row r="58" spans="1:18" s="791" customFormat="1" ht="29.25" thickBot="1">
      <c r="A58" s="1297"/>
      <c r="B58" s="319" t="s">
        <v>2195</v>
      </c>
      <c r="C58" s="188">
        <f ca="1">C29</f>
        <v>12718424</v>
      </c>
      <c r="D58" s="1290"/>
      <c r="E58" s="1291"/>
      <c r="F58" s="1298"/>
      <c r="I58" s="2359" t="s">
        <v>2266</v>
      </c>
      <c r="J58" s="1350" t="str">
        <f>IF(OR(M48="住宅",J52&lt;L49,J57="是"),"——",J52-L49)</f>
        <v>——</v>
      </c>
      <c r="K58" s="2344" t="s">
        <v>2267</v>
      </c>
      <c r="L58" s="1124">
        <f ca="1">IF(L49&lt;J52,"——",IF(L56="比较法",L50,IF(L56="基准地价",L51,L52)))</f>
        <v>2836495288</v>
      </c>
      <c r="O58" s="1367" t="s">
        <v>957</v>
      </c>
      <c r="P58" s="1364" t="s">
        <v>2268</v>
      </c>
      <c r="Q58" s="1365" t="e">
        <f>L59</f>
        <v>#DIV/0!</v>
      </c>
      <c r="R58" s="1366" t="s">
        <v>2269</v>
      </c>
    </row>
    <row r="59" spans="1:18" s="791" customFormat="1" ht="29.25" thickBot="1">
      <c r="A59" s="332" t="s">
        <v>14</v>
      </c>
      <c r="B59" s="333" t="s">
        <v>2198</v>
      </c>
      <c r="C59" s="334">
        <f ca="1">ROUND(C60+C65+C66+C67,0)</f>
        <v>313128</v>
      </c>
      <c r="D59" s="12" t="s">
        <v>2199</v>
      </c>
      <c r="E59" s="1893"/>
      <c r="F59" s="16"/>
      <c r="I59" s="2359" t="s">
        <v>2270</v>
      </c>
      <c r="J59" s="1866" t="e">
        <f>IF(J56&lt;0.4,0.4,J56)</f>
        <v>#VALUE!</v>
      </c>
      <c r="K59" s="2350" t="s">
        <v>2271</v>
      </c>
      <c r="L59" s="1124" t="e">
        <f>ROUND(POWER(1+L53,L48-L49)*(POWER(1+L53,L49)-1)/(POWER(1+L53,L48)-1),4)</f>
        <v>#DIV/0!</v>
      </c>
      <c r="O59" s="1367" t="s">
        <v>958</v>
      </c>
      <c r="P59" s="1364" t="str">
        <f>K60</f>
        <v>建设期及建筑物耐用年限下的土地年期修正系数Kn</v>
      </c>
      <c r="Q59" s="1365" t="e">
        <f>L60</f>
        <v>#DIV/0!</v>
      </c>
      <c r="R59" s="1366" t="s">
        <v>2272</v>
      </c>
    </row>
    <row r="60" spans="1:18" s="791" customFormat="1" ht="29.25" thickBot="1">
      <c r="A60" s="337" t="s">
        <v>15</v>
      </c>
      <c r="B60" s="319" t="s">
        <v>2139</v>
      </c>
      <c r="C60" s="14">
        <f ca="1">ROUND(IF(项目基本情况!B7="自然人",C49*F60,C61+C62+C63),0)</f>
        <v>108998</v>
      </c>
      <c r="D60" s="1883" t="s">
        <v>2200</v>
      </c>
      <c r="E60" s="1888" t="s">
        <v>2201</v>
      </c>
      <c r="F60" s="343" t="str">
        <f>IF(项目基本情况!B7="企业","",IF('数据-取费表'!B10="住宅",5%,IF(F50*F51*F52/12/(1+'数据-取费表'!F30)&gt;20000,12%,7%)))</f>
        <v/>
      </c>
      <c r="I60" s="2359" t="s">
        <v>2273</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f ca="1">ROUND(IF(C2="元",Q54+Q55,(Q54+Q55)/10000),0)</f>
        <v>118661141</v>
      </c>
      <c r="R60" s="1366" t="s">
        <v>960</v>
      </c>
    </row>
    <row r="61" spans="1:18" s="791" customFormat="1" ht="16.5" thickBot="1">
      <c r="A61" s="337" t="s">
        <v>16</v>
      </c>
      <c r="B61" s="319" t="s">
        <v>2202</v>
      </c>
      <c r="C61" s="14">
        <f ca="1">IF(项目基本情况!B7="自然人","——",ROUND(C49*F61/(1+'数据-取费表'!F30),0))</f>
        <v>0</v>
      </c>
      <c r="D61" s="1888" t="s">
        <v>2203</v>
      </c>
      <c r="E61" s="319" t="s">
        <v>2152</v>
      </c>
      <c r="F61" s="352">
        <f t="shared" ref="F61:F67" si="0">F32</f>
        <v>5.6000000000000001E-2</v>
      </c>
      <c r="I61" s="2360" t="s">
        <v>2274</v>
      </c>
      <c r="J61" s="1349" t="str">
        <f>IF(OR(M48="住宅",J52&lt;L49,J57="是"),"0",ROUND(J60/(1+J53)^J54,0))</f>
        <v>0</v>
      </c>
      <c r="K61" s="2361" t="s">
        <v>2275</v>
      </c>
      <c r="L61" s="1349">
        <f>IF(OR(M48="住宅",L49&lt;J52),0,ROUND(L58*(L59/L60-1),0))</f>
        <v>0</v>
      </c>
      <c r="O61" s="1357" t="s">
        <v>2276</v>
      </c>
      <c r="P61" s="1358"/>
      <c r="Q61" s="1354"/>
      <c r="R61" s="1358"/>
    </row>
    <row r="62" spans="1:18" s="791" customFormat="1" ht="15.75" thickBot="1">
      <c r="A62" s="337" t="s">
        <v>17</v>
      </c>
      <c r="B62" s="319" t="s">
        <v>2277</v>
      </c>
      <c r="C62" s="14">
        <f ca="1">IF(项目基本情况!B7="自然人","——",IF(D62="按租金收入计税",ROUND(C49*F62,0),IF(D62="按房产原值计税",ROUND(C58*F62*0.7,0),'数据-取费表'!B43)))</f>
        <v>106835</v>
      </c>
      <c r="D62" s="2007" t="s">
        <v>2149</v>
      </c>
      <c r="E62" s="319" t="s">
        <v>2152</v>
      </c>
      <c r="F62" s="342">
        <f t="shared" si="0"/>
        <v>1.2E-2</v>
      </c>
      <c r="O62" s="1359" t="s">
        <v>2222</v>
      </c>
      <c r="P62" s="1360" t="s">
        <v>2223</v>
      </c>
      <c r="Q62" s="1361" t="s">
        <v>2224</v>
      </c>
      <c r="R62" s="1362" t="s">
        <v>2225</v>
      </c>
    </row>
    <row r="63" spans="1:18" s="791" customFormat="1" ht="15.75" thickBot="1">
      <c r="A63" s="345" t="s">
        <v>18</v>
      </c>
      <c r="B63" s="80" t="s">
        <v>2278</v>
      </c>
      <c r="C63" s="15">
        <f>IF(项目基本情况!B7="自然人","——",ROUND(F63*F64,0))</f>
        <v>2163</v>
      </c>
      <c r="D63" s="346" t="s">
        <v>2279</v>
      </c>
      <c r="E63" s="319" t="s">
        <v>2280</v>
      </c>
      <c r="F63" s="347">
        <f t="shared" si="0"/>
        <v>1.5</v>
      </c>
      <c r="I63" s="2362" t="s">
        <v>2281</v>
      </c>
      <c r="J63" s="1870" t="s">
        <v>2282</v>
      </c>
      <c r="K63" s="1870" t="s">
        <v>2283</v>
      </c>
      <c r="L63" s="1870" t="s">
        <v>2284</v>
      </c>
      <c r="M63" s="1869" t="s">
        <v>2285</v>
      </c>
      <c r="O63" s="1363" t="s">
        <v>953</v>
      </c>
      <c r="P63" s="1364" t="s">
        <v>2226</v>
      </c>
      <c r="Q63" s="1365">
        <f ca="1">C40+J29</f>
        <v>118661141</v>
      </c>
      <c r="R63" s="1366" t="s">
        <v>2227</v>
      </c>
    </row>
    <row r="64" spans="1:18" s="791" customFormat="1" ht="20.25" thickBot="1">
      <c r="A64" s="348"/>
      <c r="B64" s="328"/>
      <c r="C64" s="19"/>
      <c r="D64" s="349"/>
      <c r="E64" s="319" t="s">
        <v>2286</v>
      </c>
      <c r="F64" s="320">
        <f t="shared" si="0"/>
        <v>1441.8</v>
      </c>
      <c r="I64" s="2362" t="s">
        <v>2287</v>
      </c>
      <c r="J64" s="1870">
        <v>70</v>
      </c>
      <c r="K64" s="1870">
        <v>50</v>
      </c>
      <c r="L64" s="1870">
        <v>80</v>
      </c>
      <c r="M64" s="1868">
        <v>0.02</v>
      </c>
      <c r="O64" s="1363" t="s">
        <v>954</v>
      </c>
      <c r="P64" s="1364" t="s">
        <v>2258</v>
      </c>
      <c r="Q64" s="1365">
        <f>L61</f>
        <v>0</v>
      </c>
      <c r="R64" s="1366" t="s">
        <v>2259</v>
      </c>
    </row>
    <row r="65" spans="1:18" s="791" customFormat="1" ht="23.25" thickBot="1">
      <c r="A65" s="337" t="s">
        <v>19</v>
      </c>
      <c r="B65" s="319" t="s">
        <v>2207</v>
      </c>
      <c r="C65" s="14">
        <f ca="1">ROUND(C58*F65,0)</f>
        <v>190776</v>
      </c>
      <c r="D65" s="1888" t="s">
        <v>2208</v>
      </c>
      <c r="E65" s="319" t="s">
        <v>2152</v>
      </c>
      <c r="F65" s="350">
        <f t="shared" si="0"/>
        <v>1.4999999999999999E-2</v>
      </c>
      <c r="I65" s="2362" t="s">
        <v>2288</v>
      </c>
      <c r="J65" s="1870">
        <v>50</v>
      </c>
      <c r="K65" s="1870">
        <v>35</v>
      </c>
      <c r="L65" s="1870">
        <v>60</v>
      </c>
      <c r="M65" s="1869">
        <v>0</v>
      </c>
      <c r="O65" s="1367" t="s">
        <v>955</v>
      </c>
      <c r="P65" s="1364" t="s">
        <v>2262</v>
      </c>
      <c r="Q65" s="1369">
        <f ca="1">L52</f>
        <v>2836495288</v>
      </c>
      <c r="R65" s="1370" t="s">
        <v>2289</v>
      </c>
    </row>
    <row r="66" spans="1:18" s="791" customFormat="1" ht="20.25" thickBot="1">
      <c r="A66" s="337" t="s">
        <v>20</v>
      </c>
      <c r="B66" s="319" t="s">
        <v>2167</v>
      </c>
      <c r="C66" s="14">
        <f ca="1">ROUND(C57*F66,0)</f>
        <v>13354</v>
      </c>
      <c r="D66" s="1888" t="s">
        <v>2168</v>
      </c>
      <c r="E66" s="319" t="s">
        <v>2169</v>
      </c>
      <c r="F66" s="351">
        <f t="shared" si="0"/>
        <v>1.5E-3</v>
      </c>
      <c r="I66" s="2362" t="s">
        <v>2290</v>
      </c>
      <c r="J66" s="1870">
        <v>40</v>
      </c>
      <c r="K66" s="1870">
        <v>30</v>
      </c>
      <c r="L66" s="1870">
        <v>50</v>
      </c>
      <c r="M66" s="1868">
        <v>0.02</v>
      </c>
      <c r="O66" s="1367" t="s">
        <v>956</v>
      </c>
      <c r="P66" s="1371" t="s">
        <v>2291</v>
      </c>
      <c r="Q66" s="1365">
        <f ca="1">ROUND(Q67-Q68*Q69,0)</f>
        <v>2949037</v>
      </c>
      <c r="R66" s="1366"/>
    </row>
    <row r="67" spans="1:18" s="791" customFormat="1" ht="15.75" thickBot="1">
      <c r="A67" s="337" t="s">
        <v>21</v>
      </c>
      <c r="B67" s="319" t="s">
        <v>2150</v>
      </c>
      <c r="C67" s="14">
        <f ca="1">ROUND(C49*F67,0)</f>
        <v>0</v>
      </c>
      <c r="D67" s="1888" t="s">
        <v>2173</v>
      </c>
      <c r="E67" s="319" t="s">
        <v>2169</v>
      </c>
      <c r="F67" s="329">
        <f t="shared" si="0"/>
        <v>0.01</v>
      </c>
      <c r="O67" s="1367" t="s">
        <v>961</v>
      </c>
      <c r="P67" s="1371" t="s">
        <v>2292</v>
      </c>
      <c r="Q67" s="1365">
        <f ca="1">C39</f>
        <v>3483211</v>
      </c>
      <c r="R67" s="1366" t="s">
        <v>2227</v>
      </c>
    </row>
    <row r="68" spans="1:18" ht="15.75" thickBot="1">
      <c r="A68" s="332" t="s">
        <v>22</v>
      </c>
      <c r="B68" s="89" t="s">
        <v>2177</v>
      </c>
      <c r="C68" s="334">
        <f ca="1">C49-C59</f>
        <v>-313128</v>
      </c>
      <c r="D68" s="1883" t="s">
        <v>2178</v>
      </c>
      <c r="E68" s="1887"/>
      <c r="F68" s="353"/>
      <c r="H68" s="791"/>
      <c r="I68" s="791"/>
      <c r="J68" s="791"/>
      <c r="K68" s="791"/>
      <c r="L68" s="791"/>
      <c r="M68" s="791"/>
      <c r="O68" s="1367" t="s">
        <v>962</v>
      </c>
      <c r="P68" s="1371" t="s">
        <v>2293</v>
      </c>
      <c r="Q68" s="1365">
        <f ca="1">C13</f>
        <v>8902897</v>
      </c>
      <c r="R68" s="1366" t="s">
        <v>2227</v>
      </c>
    </row>
    <row r="69" spans="1:18" ht="15.75" thickBot="1">
      <c r="A69" s="316" t="s">
        <v>23</v>
      </c>
      <c r="B69" s="317" t="s">
        <v>2215</v>
      </c>
      <c r="C69" s="318">
        <f ca="1">ROUND(C68*(1-((1+F71)/(1+F69))^F70)/(F69-F71),0)</f>
        <v>-6384907</v>
      </c>
      <c r="D69" s="346" t="s">
        <v>2183</v>
      </c>
      <c r="E69" s="319" t="s">
        <v>2184</v>
      </c>
      <c r="F69" s="329">
        <f>F40</f>
        <v>0.04</v>
      </c>
      <c r="H69" s="791"/>
      <c r="I69" s="791"/>
      <c r="J69" s="791"/>
      <c r="K69" s="791"/>
      <c r="L69" s="791"/>
      <c r="M69" s="791"/>
      <c r="O69" s="1367" t="s">
        <v>963</v>
      </c>
      <c r="P69" s="1371" t="s">
        <v>2294</v>
      </c>
      <c r="Q69" s="1368">
        <f>J35</f>
        <v>0.06</v>
      </c>
      <c r="R69" s="1366"/>
    </row>
    <row r="70" spans="1:18" ht="15.75" thickBot="1">
      <c r="A70" s="321"/>
      <c r="B70" s="322"/>
      <c r="C70" s="323"/>
      <c r="D70" s="354" t="s">
        <v>2217</v>
      </c>
      <c r="E70" s="319" t="s">
        <v>2189</v>
      </c>
      <c r="F70" s="355">
        <f>F41</f>
        <v>43.11</v>
      </c>
      <c r="H70" s="791"/>
      <c r="I70" s="791"/>
      <c r="J70" s="791"/>
      <c r="K70" s="791"/>
      <c r="L70" s="791"/>
      <c r="M70" s="791"/>
      <c r="O70" s="1367" t="s">
        <v>957</v>
      </c>
      <c r="P70" s="1364" t="s">
        <v>2265</v>
      </c>
      <c r="Q70" s="1368">
        <f>L53</f>
        <v>0</v>
      </c>
      <c r="R70" s="1366"/>
    </row>
    <row r="71" spans="1:18" ht="20.25" thickBot="1">
      <c r="A71" s="325"/>
      <c r="B71" s="326"/>
      <c r="C71" s="327"/>
      <c r="D71" s="349"/>
      <c r="E71" s="319" t="s">
        <v>2193</v>
      </c>
      <c r="F71" s="1352"/>
      <c r="H71" s="791"/>
      <c r="M71" s="791"/>
      <c r="O71" s="1367" t="s">
        <v>958</v>
      </c>
      <c r="P71" s="1364" t="s">
        <v>2268</v>
      </c>
      <c r="Q71" s="1365" t="e">
        <f>L59</f>
        <v>#DIV/0!</v>
      </c>
      <c r="R71" s="1366" t="s">
        <v>2269</v>
      </c>
    </row>
    <row r="72" spans="1:18" ht="15.75" thickBot="1">
      <c r="A72" s="356" t="s">
        <v>24</v>
      </c>
      <c r="B72" s="357" t="s">
        <v>2218</v>
      </c>
      <c r="C72" s="358">
        <f ca="1">ROUND(C69/F72,0)</f>
        <v>-1773</v>
      </c>
      <c r="D72" s="359" t="s">
        <v>2219</v>
      </c>
      <c r="E72" s="360" t="s">
        <v>2220</v>
      </c>
      <c r="F72" s="361">
        <f>F43</f>
        <v>3600.5</v>
      </c>
      <c r="O72" s="1367" t="s">
        <v>964</v>
      </c>
      <c r="P72" s="1364" t="str">
        <f>K60</f>
        <v>建设期及建筑物耐用年限下的土地年期修正系数Kn</v>
      </c>
      <c r="Q72" s="1365" t="e">
        <f>L60</f>
        <v>#DIV/0!</v>
      </c>
      <c r="R72" s="1366" t="s">
        <v>2272</v>
      </c>
    </row>
    <row r="73" spans="1:18" ht="15.75" thickBot="1">
      <c r="A73" s="791"/>
      <c r="B73" s="795"/>
      <c r="C73" s="795"/>
      <c r="D73" s="791"/>
      <c r="E73" s="791"/>
      <c r="F73" s="791"/>
      <c r="O73" s="1363" t="s">
        <v>959</v>
      </c>
      <c r="P73" s="1364" t="str">
        <f>IF(C2="元","收益价值(元)","收益价值(万元)")</f>
        <v>收益价值(元)</v>
      </c>
      <c r="Q73" s="1365">
        <f ca="1">ROUND(IF(C2="元",Q63+Q64,(Q63+Q64)/10000),0)</f>
        <v>118661141</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34" zoomScale="80" zoomScaleNormal="100" zoomScaleSheetLayoutView="110" zoomScalePageLayoutView="80" workbookViewId="0">
      <selection activeCell="C10" sqref="C10:D1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北京市北京市通州区枫露苑一区甲1号楼1至4层甲1号楼房地产抵押价值预评估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北京银行华安支行</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陈颖（注册号:1120060040）、叶凌（注册号:1119970111)</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 2020-1-0240号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4" t="s">
        <v>1020</v>
      </c>
      <c r="B1" s="3005"/>
      <c r="C1" s="3006"/>
      <c r="D1" s="3007">
        <f>SUM(I10,I15,I20,I21,I23)</f>
        <v>0</v>
      </c>
      <c r="E1" s="3007"/>
      <c r="F1" s="3007"/>
      <c r="G1" s="3007"/>
      <c r="H1" s="3007"/>
      <c r="I1" s="3008"/>
    </row>
    <row r="2" spans="1:9">
      <c r="A2" s="2994" t="s">
        <v>1021</v>
      </c>
      <c r="B2" s="2995" t="s">
        <v>970</v>
      </c>
      <c r="C2" s="2995"/>
      <c r="D2" s="1385" t="s">
        <v>971</v>
      </c>
      <c r="E2" s="1385" t="s">
        <v>972</v>
      </c>
      <c r="F2" s="1385" t="s">
        <v>973</v>
      </c>
      <c r="G2" s="1385" t="s">
        <v>974</v>
      </c>
      <c r="H2" s="1385" t="s">
        <v>975</v>
      </c>
      <c r="I2" s="1386" t="s">
        <v>976</v>
      </c>
    </row>
    <row r="3" spans="1:9">
      <c r="A3" s="2994"/>
      <c r="B3" s="2995" t="s">
        <v>977</v>
      </c>
      <c r="C3" s="2995"/>
      <c r="D3" s="1387"/>
      <c r="E3" s="1385"/>
      <c r="F3" s="1388"/>
      <c r="G3" s="1388"/>
      <c r="H3" s="1389"/>
      <c r="I3" s="1390">
        <f>ROUND(D3*E3*F3*G3*H3/10000,0)</f>
        <v>0</v>
      </c>
    </row>
    <row r="4" spans="1:9">
      <c r="A4" s="2994"/>
      <c r="B4" s="2995" t="s">
        <v>978</v>
      </c>
      <c r="C4" s="2995"/>
      <c r="D4" s="1387"/>
      <c r="E4" s="1385"/>
      <c r="F4" s="1388"/>
      <c r="G4" s="1388"/>
      <c r="H4" s="1389"/>
      <c r="I4" s="1390">
        <f t="shared" ref="I4:I9" si="0">ROUND(D4*E4*F4*G4*H4/10000,0)</f>
        <v>0</v>
      </c>
    </row>
    <row r="5" spans="1:9">
      <c r="A5" s="2994"/>
      <c r="B5" s="2995" t="s">
        <v>979</v>
      </c>
      <c r="C5" s="2995"/>
      <c r="D5" s="1387"/>
      <c r="E5" s="1385"/>
      <c r="F5" s="1388"/>
      <c r="G5" s="1388"/>
      <c r="H5" s="1389"/>
      <c r="I5" s="1390">
        <f t="shared" si="0"/>
        <v>0</v>
      </c>
    </row>
    <row r="6" spans="1:9">
      <c r="A6" s="2994"/>
      <c r="B6" s="2995" t="s">
        <v>980</v>
      </c>
      <c r="C6" s="2995"/>
      <c r="D6" s="1387"/>
      <c r="E6" s="1385"/>
      <c r="F6" s="1388"/>
      <c r="G6" s="1388"/>
      <c r="H6" s="1389"/>
      <c r="I6" s="1390">
        <f t="shared" si="0"/>
        <v>0</v>
      </c>
    </row>
    <row r="7" spans="1:9">
      <c r="A7" s="2994"/>
      <c r="B7" s="2995" t="s">
        <v>981</v>
      </c>
      <c r="C7" s="2995"/>
      <c r="D7" s="1387"/>
      <c r="E7" s="1385"/>
      <c r="F7" s="1388"/>
      <c r="G7" s="1388"/>
      <c r="H7" s="1389"/>
      <c r="I7" s="1390">
        <f t="shared" si="0"/>
        <v>0</v>
      </c>
    </row>
    <row r="8" spans="1:9">
      <c r="A8" s="2994"/>
      <c r="B8" s="2995" t="s">
        <v>982</v>
      </c>
      <c r="C8" s="2995"/>
      <c r="D8" s="1387"/>
      <c r="E8" s="1385"/>
      <c r="F8" s="1388"/>
      <c r="G8" s="1388"/>
      <c r="H8" s="1389"/>
      <c r="I8" s="1390">
        <f t="shared" si="0"/>
        <v>0</v>
      </c>
    </row>
    <row r="9" spans="1:9">
      <c r="A9" s="2994"/>
      <c r="B9" s="2995" t="s">
        <v>983</v>
      </c>
      <c r="C9" s="2995"/>
      <c r="D9" s="1387"/>
      <c r="E9" s="1385"/>
      <c r="F9" s="1388"/>
      <c r="G9" s="1388"/>
      <c r="H9" s="1389"/>
      <c r="I9" s="1390">
        <f t="shared" si="0"/>
        <v>0</v>
      </c>
    </row>
    <row r="10" spans="1:9">
      <c r="A10" s="2994"/>
      <c r="B10" s="2996" t="s">
        <v>984</v>
      </c>
      <c r="C10" s="2996"/>
      <c r="D10" s="1391">
        <v>527</v>
      </c>
      <c r="E10" s="1391" t="e">
        <f>ROUND(D1*10000/D10/H9,0)</f>
        <v>#DIV/0!</v>
      </c>
      <c r="F10" s="1392"/>
      <c r="G10" s="1392"/>
      <c r="H10" s="1393"/>
      <c r="I10" s="1394">
        <f>SUM(I3:I9)</f>
        <v>0</v>
      </c>
    </row>
    <row r="11" spans="1:9" ht="14.25">
      <c r="A11" s="2994" t="s">
        <v>1022</v>
      </c>
      <c r="B11" s="2995" t="s">
        <v>985</v>
      </c>
      <c r="C11" s="2995"/>
      <c r="D11" s="1387" t="s">
        <v>986</v>
      </c>
      <c r="E11" s="1387" t="s">
        <v>987</v>
      </c>
      <c r="F11" s="1388" t="s">
        <v>988</v>
      </c>
      <c r="G11" s="1388" t="s">
        <v>975</v>
      </c>
      <c r="H11" s="1395" t="s">
        <v>989</v>
      </c>
      <c r="I11" s="1386" t="s">
        <v>976</v>
      </c>
    </row>
    <row r="12" spans="1:9">
      <c r="A12" s="2994"/>
      <c r="B12" s="2995" t="s">
        <v>990</v>
      </c>
      <c r="C12" s="2995"/>
      <c r="D12" s="1387"/>
      <c r="E12" s="1387"/>
      <c r="F12" s="1388"/>
      <c r="G12" s="1389"/>
      <c r="H12" s="1396"/>
      <c r="I12" s="1386">
        <f>ROUND(D12*E12*F12*G12/10000,0)</f>
        <v>0</v>
      </c>
    </row>
    <row r="13" spans="1:9">
      <c r="A13" s="2994"/>
      <c r="B13" s="2995" t="s">
        <v>991</v>
      </c>
      <c r="C13" s="2995"/>
      <c r="D13" s="1387"/>
      <c r="E13" s="1387"/>
      <c r="F13" s="1388"/>
      <c r="G13" s="1389"/>
      <c r="H13" s="1396"/>
      <c r="I13" s="1386">
        <f>ROUND(D13*E13*F13*G13/10000,0)</f>
        <v>0</v>
      </c>
    </row>
    <row r="14" spans="1:9">
      <c r="A14" s="2994"/>
      <c r="B14" s="2995" t="s">
        <v>992</v>
      </c>
      <c r="C14" s="2995"/>
      <c r="D14" s="1387"/>
      <c r="E14" s="1387"/>
      <c r="F14" s="1388"/>
      <c r="G14" s="1389"/>
      <c r="H14" s="1396"/>
      <c r="I14" s="1386">
        <f>ROUND(D14*E14*F14*G14/10000,0)</f>
        <v>0</v>
      </c>
    </row>
    <row r="15" spans="1:9">
      <c r="A15" s="2994"/>
      <c r="B15" s="2996" t="s">
        <v>984</v>
      </c>
      <c r="C15" s="2996"/>
      <c r="D15" s="1391"/>
      <c r="E15" s="1391">
        <f>SUM(E12:E14)</f>
        <v>0</v>
      </c>
      <c r="F15" s="1392"/>
      <c r="G15" s="1389"/>
      <c r="H15" s="1396"/>
      <c r="I15" s="1397">
        <f>SUM(I12:I14)</f>
        <v>0</v>
      </c>
    </row>
    <row r="16" spans="1:9" ht="24">
      <c r="A16" s="2994" t="s">
        <v>1023</v>
      </c>
      <c r="B16" s="2995" t="s">
        <v>993</v>
      </c>
      <c r="C16" s="2995"/>
      <c r="D16" s="1387" t="s">
        <v>971</v>
      </c>
      <c r="E16" s="1398" t="s">
        <v>994</v>
      </c>
      <c r="F16" s="1388" t="s">
        <v>995</v>
      </c>
      <c r="G16" s="1389" t="s">
        <v>975</v>
      </c>
      <c r="H16" s="1395" t="s">
        <v>989</v>
      </c>
      <c r="I16" s="1386" t="s">
        <v>976</v>
      </c>
    </row>
    <row r="17" spans="1:9" ht="14.25">
      <c r="A17" s="2994"/>
      <c r="B17" s="2995" t="s">
        <v>996</v>
      </c>
      <c r="C17" s="2995"/>
      <c r="D17" s="1387"/>
      <c r="E17" s="1387"/>
      <c r="F17" s="1388"/>
      <c r="G17" s="1389"/>
      <c r="H17" s="1399"/>
      <c r="I17" s="1400">
        <f>ROUND(D17*E17*F17*G17/10000,0)</f>
        <v>0</v>
      </c>
    </row>
    <row r="18" spans="1:9" ht="14.25">
      <c r="A18" s="2994"/>
      <c r="B18" s="2995" t="s">
        <v>997</v>
      </c>
      <c r="C18" s="2995"/>
      <c r="D18" s="1387"/>
      <c r="E18" s="1387"/>
      <c r="F18" s="1388"/>
      <c r="G18" s="1389"/>
      <c r="H18" s="1399"/>
      <c r="I18" s="1400">
        <f>ROUND(D18*E18*F18*G18/10000,0)</f>
        <v>0</v>
      </c>
    </row>
    <row r="19" spans="1:9" ht="14.25">
      <c r="A19" s="2994"/>
      <c r="B19" s="2995" t="s">
        <v>998</v>
      </c>
      <c r="C19" s="2995"/>
      <c r="D19" s="1387"/>
      <c r="E19" s="1387"/>
      <c r="F19" s="1388"/>
      <c r="G19" s="1389"/>
      <c r="H19" s="1399"/>
      <c r="I19" s="1400">
        <f>ROUND(D19*E19*F19*G19/10000,0)</f>
        <v>0</v>
      </c>
    </row>
    <row r="20" spans="1:9">
      <c r="A20" s="2994"/>
      <c r="B20" s="2996" t="s">
        <v>984</v>
      </c>
      <c r="C20" s="2996"/>
      <c r="D20" s="1391">
        <f>SUM(D17:D19)</f>
        <v>0</v>
      </c>
      <c r="E20" s="1391"/>
      <c r="F20" s="1392"/>
      <c r="G20" s="1389"/>
      <c r="H20" s="1396"/>
      <c r="I20" s="1397">
        <f>SUM(I17:I19)</f>
        <v>0</v>
      </c>
    </row>
    <row r="21" spans="1:9">
      <c r="A21" s="2994" t="s">
        <v>1024</v>
      </c>
      <c r="B21" s="2997"/>
      <c r="C21" s="2997"/>
      <c r="D21" s="2997"/>
      <c r="E21" s="2997"/>
      <c r="F21" s="2997"/>
      <c r="G21" s="2997"/>
      <c r="H21" s="1401">
        <v>0.1</v>
      </c>
      <c r="I21" s="1394">
        <f>ROUND(I10*H21,0)</f>
        <v>0</v>
      </c>
    </row>
    <row r="22" spans="1:9" ht="14.25">
      <c r="A22" s="2998" t="s">
        <v>1025</v>
      </c>
      <c r="B22" s="2999"/>
      <c r="C22" s="3000"/>
      <c r="D22" s="1402" t="s">
        <v>999</v>
      </c>
      <c r="E22" s="1402" t="s">
        <v>1000</v>
      </c>
      <c r="F22" s="1403" t="s">
        <v>975</v>
      </c>
      <c r="G22" s="1403" t="s">
        <v>1001</v>
      </c>
      <c r="H22" s="1395" t="s">
        <v>989</v>
      </c>
      <c r="I22" s="1386" t="s">
        <v>976</v>
      </c>
    </row>
    <row r="23" spans="1:9" ht="14.25" thickBot="1">
      <c r="A23" s="3001"/>
      <c r="B23" s="3002"/>
      <c r="C23" s="3003"/>
      <c r="D23" s="1404"/>
      <c r="E23" s="1404"/>
      <c r="F23" s="1404"/>
      <c r="G23" s="1405"/>
      <c r="H23" s="1406"/>
      <c r="I23" s="1407">
        <f>ROUND(E23*D23*F23*(1-G23)/10000,0)</f>
        <v>0</v>
      </c>
    </row>
    <row r="26" spans="1:9">
      <c r="A26" s="1408" t="s">
        <v>1002</v>
      </c>
      <c r="B26" s="1408"/>
      <c r="C26" s="1408"/>
      <c r="D26" s="1408"/>
      <c r="E26" s="2991">
        <f>C27-C30-C31-C32</f>
        <v>0</v>
      </c>
      <c r="F26" s="2991"/>
      <c r="G26" s="2991"/>
      <c r="H26" s="1825" t="s">
        <v>1213</v>
      </c>
    </row>
    <row r="27" spans="1:9">
      <c r="A27" s="1409">
        <v>1</v>
      </c>
      <c r="B27" s="1410" t="s">
        <v>1003</v>
      </c>
      <c r="C27" s="1410">
        <f>C28+C29</f>
        <v>0</v>
      </c>
      <c r="D27" s="1410"/>
      <c r="E27" s="2992"/>
      <c r="F27" s="2992"/>
      <c r="G27" s="2992"/>
    </row>
    <row r="28" spans="1:9">
      <c r="A28" s="1411" t="s">
        <v>1004</v>
      </c>
      <c r="B28" s="1410" t="s">
        <v>1005</v>
      </c>
      <c r="C28" s="1410"/>
      <c r="D28" s="1410"/>
      <c r="E28" s="2992"/>
      <c r="F28" s="2992"/>
      <c r="G28" s="2992"/>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2993"/>
      <c r="F32" s="2993"/>
      <c r="G32" s="2993"/>
    </row>
    <row r="33" spans="1:7" hidden="1">
      <c r="A33" s="2988" t="s">
        <v>1014</v>
      </c>
      <c r="B33" s="2989"/>
      <c r="C33" s="2989"/>
      <c r="D33" s="2990"/>
      <c r="E33" s="2991"/>
      <c r="F33" s="2991"/>
      <c r="G33" s="2991"/>
    </row>
    <row r="34" spans="1:7" hidden="1">
      <c r="A34" s="1413">
        <v>1</v>
      </c>
      <c r="B34" s="1410" t="s">
        <v>1015</v>
      </c>
      <c r="C34" s="1410"/>
      <c r="D34" s="1410"/>
      <c r="E34" s="2992"/>
      <c r="F34" s="2992"/>
      <c r="G34" s="2992"/>
    </row>
    <row r="35" spans="1:7" hidden="1">
      <c r="A35" s="1413">
        <v>2</v>
      </c>
      <c r="B35" s="1410" t="s">
        <v>1016</v>
      </c>
      <c r="C35" s="1410"/>
      <c r="D35" s="1410"/>
      <c r="E35" s="2992"/>
      <c r="F35" s="2992"/>
      <c r="G35" s="2992"/>
    </row>
    <row r="36" spans="1:7" hidden="1">
      <c r="A36" s="1413">
        <v>3</v>
      </c>
      <c r="B36" s="1410" t="s">
        <v>1017</v>
      </c>
      <c r="C36" s="1410"/>
      <c r="D36" s="1410"/>
      <c r="E36" s="2992"/>
      <c r="F36" s="2992"/>
      <c r="G36" s="2992"/>
    </row>
    <row r="37" spans="1:7" hidden="1">
      <c r="A37" s="1413">
        <v>4</v>
      </c>
      <c r="B37" s="1410" t="s">
        <v>1018</v>
      </c>
      <c r="C37" s="1410"/>
      <c r="D37" s="1410"/>
      <c r="E37" s="2992"/>
      <c r="F37" s="2992"/>
      <c r="G37" s="2992"/>
    </row>
    <row r="38" spans="1:7" hidden="1">
      <c r="A38" s="2988" t="s">
        <v>1019</v>
      </c>
      <c r="B38" s="2989"/>
      <c r="C38" s="2989"/>
      <c r="D38" s="2990"/>
      <c r="E38" s="2991"/>
      <c r="F38" s="2991"/>
      <c r="G38" s="29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12" t="s">
        <v>2300</v>
      </c>
      <c r="D4" s="3013"/>
      <c r="E4" s="3013"/>
      <c r="F4" s="3013"/>
      <c r="G4" s="3013"/>
      <c r="H4" s="3013"/>
      <c r="I4" s="3013"/>
      <c r="J4" s="3013"/>
      <c r="K4" s="3013"/>
      <c r="L4" s="3013"/>
      <c r="M4" s="3013"/>
      <c r="N4" s="3013"/>
      <c r="O4" s="3013"/>
      <c r="P4" s="3013"/>
      <c r="Q4" s="3013"/>
      <c r="R4" s="3013"/>
      <c r="S4" s="3014"/>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2309</v>
      </c>
      <c r="B20" s="2364"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2311</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6" t="str">
        <f>'数据-取费表'!B3</f>
        <v>元</v>
      </c>
      <c r="D23" s="84"/>
      <c r="E23" s="84"/>
      <c r="F23" s="2367" t="s">
        <v>1247</v>
      </c>
      <c r="G23" s="1875"/>
      <c r="H23" s="678" t="e">
        <f ca="1">SUMIF(INDIRECT("'"&amp;J23&amp;"'"&amp;"!A:A"),"承租人权益价值",INDIRECT("'"&amp;J23&amp;"'"&amp;"!c:c"))</f>
        <v>#REF!</v>
      </c>
      <c r="I23" s="678" t="str">
        <f>C2</f>
        <v>元</v>
      </c>
      <c r="J23" s="2368"/>
      <c r="K23" s="84"/>
      <c r="L23" s="84"/>
      <c r="M23" s="84"/>
      <c r="N23" s="84"/>
      <c r="O23" s="84"/>
      <c r="P23" s="84"/>
      <c r="Q23" s="84"/>
      <c r="R23" s="769"/>
      <c r="S23" s="54"/>
      <c r="T23" s="54"/>
      <c r="V23" s="1309"/>
      <c r="W23" s="801"/>
      <c r="X23" s="36"/>
      <c r="Y23" s="36"/>
      <c r="Z23" s="801"/>
    </row>
    <row r="24" spans="1:45" ht="15.75">
      <c r="A24" s="2366"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69" t="s">
        <v>2316</v>
      </c>
      <c r="V24" s="1338"/>
      <c r="W24" s="2370" t="s">
        <v>2317</v>
      </c>
      <c r="X24" s="2369" t="s">
        <v>2318</v>
      </c>
      <c r="Y24" s="1338"/>
      <c r="Z24" s="2371" t="s">
        <v>2317</v>
      </c>
    </row>
    <row r="25" spans="1:45">
      <c r="A25" s="334" t="s">
        <v>2319</v>
      </c>
      <c r="B25" s="14">
        <f>SUM(B27:B10000)</f>
        <v>0</v>
      </c>
      <c r="C25" s="3009" t="s">
        <v>45</v>
      </c>
      <c r="D25" s="3010"/>
      <c r="E25" s="3010"/>
      <c r="F25" s="3010"/>
      <c r="G25" s="3010"/>
      <c r="H25" s="3010"/>
      <c r="I25" s="3010"/>
      <c r="J25" s="3010"/>
      <c r="K25" s="3010"/>
      <c r="L25" s="3010"/>
      <c r="M25" s="3010"/>
      <c r="N25" s="3010"/>
      <c r="O25" s="3010"/>
      <c r="P25" s="3010"/>
      <c r="Q25" s="301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3" t="s">
        <v>2326</v>
      </c>
      <c r="W26" s="2374" t="s">
        <v>2327</v>
      </c>
      <c r="X26" s="1878" t="s">
        <v>2325</v>
      </c>
      <c r="Y26" s="2373" t="s">
        <v>2326</v>
      </c>
      <c r="Z26" s="2374"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activeCell="J22" sqref="J2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c r="D1" s="2375"/>
      <c r="E1" s="2376"/>
      <c r="F1" s="1736" t="s">
        <v>2331</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元</v>
      </c>
      <c r="D2" s="2378"/>
      <c r="E2" s="1839" t="e">
        <f ca="1">SUMIF(INDIRECT("'"&amp;G2&amp;"'"&amp;"!A:A"),"承租人权益价值",INDIRECT("'"&amp;G2&amp;"'"&amp;"!c:c"))</f>
        <v>#REF!</v>
      </c>
      <c r="F2" s="2379" t="str">
        <f>C2</f>
        <v>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2002</v>
      </c>
      <c r="B3" s="378" t="e">
        <f ca="1">ROUND(IF(D2="——",C49,IF(C2="万元",B2*10000/D3,B2/D3)),0)</f>
        <v>#DIV/0!</v>
      </c>
      <c r="C3" s="379" t="s">
        <v>2332</v>
      </c>
      <c r="D3" s="378">
        <f>IF(C1="仅计算典型户型",'数据-取费表'!E5,'数据-取费表'!B5)</f>
        <v>3600.5</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2333</v>
      </c>
      <c r="B4" s="381"/>
      <c r="C4" s="3048" t="s">
        <v>2334</v>
      </c>
      <c r="D4" s="3049"/>
      <c r="E4" s="3050" t="s">
        <v>2335</v>
      </c>
      <c r="F4" s="3051"/>
      <c r="G4" s="3048" t="s">
        <v>2336</v>
      </c>
      <c r="H4" s="3049"/>
      <c r="I4" s="3048" t="s">
        <v>2337</v>
      </c>
      <c r="J4" s="3049"/>
      <c r="K4" s="2389" t="s">
        <v>2338</v>
      </c>
      <c r="L4" s="1239"/>
      <c r="M4" s="1240"/>
      <c r="N4" s="1240"/>
      <c r="O4" s="1240"/>
      <c r="P4" s="3052" t="s">
        <v>2339</v>
      </c>
      <c r="Q4" s="3053"/>
      <c r="R4" s="3037" t="s">
        <v>2335</v>
      </c>
      <c r="S4" s="3038"/>
      <c r="T4" s="3037" t="s">
        <v>2336</v>
      </c>
      <c r="U4" s="3038"/>
      <c r="V4" s="3058" t="s">
        <v>2337</v>
      </c>
      <c r="W4" s="3058"/>
      <c r="X4" s="1895"/>
      <c r="Y4" s="3037" t="s">
        <v>2339</v>
      </c>
      <c r="Z4" s="3038"/>
      <c r="AA4" s="3045" t="s">
        <v>2335</v>
      </c>
      <c r="AB4" s="3045" t="s">
        <v>2336</v>
      </c>
      <c r="AC4" s="3045" t="s">
        <v>2337</v>
      </c>
    </row>
    <row r="5" spans="1:29" ht="15">
      <c r="A5" s="383"/>
      <c r="B5" s="384"/>
      <c r="C5" s="3033" t="s">
        <v>2340</v>
      </c>
      <c r="D5" s="3034"/>
      <c r="E5" s="3059" t="s">
        <v>2341</v>
      </c>
      <c r="F5" s="3060"/>
      <c r="G5" s="3033" t="s">
        <v>2342</v>
      </c>
      <c r="H5" s="3034"/>
      <c r="I5" s="3033" t="s">
        <v>2343</v>
      </c>
      <c r="J5" s="3034"/>
      <c r="K5" s="2390"/>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2344</v>
      </c>
      <c r="D6" s="3032"/>
      <c r="E6" s="3061" t="s">
        <v>2344</v>
      </c>
      <c r="F6" s="3062"/>
      <c r="G6" s="3031" t="s">
        <v>2344</v>
      </c>
      <c r="H6" s="3032"/>
      <c r="I6" s="3031" t="s">
        <v>2344</v>
      </c>
      <c r="J6" s="3032"/>
      <c r="K6" s="2390" t="s">
        <v>2345</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2346</v>
      </c>
      <c r="B7" s="388"/>
      <c r="C7" s="389">
        <f>'数据-取费表'!B2</f>
        <v>43965</v>
      </c>
      <c r="D7" s="390">
        <v>100</v>
      </c>
      <c r="E7" s="391"/>
      <c r="F7" s="392">
        <f>SUMIF(58:58,YEAR(E7)&amp;"-"&amp;MONTH(E7),59:59)</f>
        <v>0</v>
      </c>
      <c r="G7" s="391"/>
      <c r="H7" s="390">
        <f>SUMIF(58:58,YEAR(G7)&amp;"-"&amp;MONTH(G7),59:59)</f>
        <v>0</v>
      </c>
      <c r="I7" s="391"/>
      <c r="J7" s="390">
        <f>SUMIF(58:58,YEAR(I7)&amp;"-"&amp;MONTH(I7),59:59)</f>
        <v>0</v>
      </c>
      <c r="K7" s="2391"/>
      <c r="L7" s="1241"/>
      <c r="M7" s="1242"/>
      <c r="N7" s="1242"/>
      <c r="O7" s="1242"/>
      <c r="P7" s="3035" t="s">
        <v>2347</v>
      </c>
      <c r="Q7" s="3043"/>
      <c r="R7" s="749" t="s">
        <v>34</v>
      </c>
      <c r="S7" s="750">
        <f t="shared" ref="S7:S15" si="0">F7</f>
        <v>0</v>
      </c>
      <c r="T7" s="749" t="s">
        <v>34</v>
      </c>
      <c r="U7" s="750">
        <f t="shared" ref="U7:U15" si="1">H7</f>
        <v>0</v>
      </c>
      <c r="V7" s="749" t="s">
        <v>34</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2392"/>
      <c r="F8" s="392">
        <f>SUMIF(61:61,E8,62:62)-SUMIF(61:61,C8,62:62)+100</f>
        <v>0</v>
      </c>
      <c r="G8" s="394"/>
      <c r="H8" s="390">
        <f>SUMIF(61:61,G8,62:62)-SUMIF(61:61,C8,62:62)+100</f>
        <v>0</v>
      </c>
      <c r="I8" s="2392"/>
      <c r="J8" s="390">
        <f>SUMIF(61:61,I8,62:62)-SUMIF(61:61,C8,62:62)+100</f>
        <v>0</v>
      </c>
      <c r="K8" s="2391"/>
      <c r="L8" s="1241"/>
      <c r="M8" s="1242"/>
      <c r="N8" s="1242"/>
      <c r="O8" s="1242"/>
      <c r="P8" s="3035" t="s">
        <v>2350</v>
      </c>
      <c r="Q8" s="3036"/>
      <c r="R8" s="749" t="s">
        <v>34</v>
      </c>
      <c r="S8" s="750">
        <f t="shared" si="0"/>
        <v>0</v>
      </c>
      <c r="T8" s="749" t="s">
        <v>34</v>
      </c>
      <c r="U8" s="750">
        <f t="shared" si="1"/>
        <v>0</v>
      </c>
      <c r="V8" s="749" t="s">
        <v>34</v>
      </c>
      <c r="W8" s="750">
        <f t="shared" si="2"/>
        <v>0</v>
      </c>
      <c r="X8" s="751"/>
      <c r="Y8" s="3035" t="s">
        <v>2350</v>
      </c>
      <c r="Z8" s="3036"/>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1"/>
      <c r="L9" s="1241"/>
      <c r="M9" s="1242"/>
      <c r="N9" s="1242"/>
      <c r="O9" s="1242"/>
      <c r="P9" s="3044" t="s">
        <v>2353</v>
      </c>
      <c r="Q9" s="1882" t="str">
        <f t="shared" ref="Q9:Q15" si="6">B9</f>
        <v>用途</v>
      </c>
      <c r="R9" s="749" t="s">
        <v>25</v>
      </c>
      <c r="S9" s="750">
        <f t="shared" si="0"/>
        <v>100</v>
      </c>
      <c r="T9" s="749" t="s">
        <v>25</v>
      </c>
      <c r="U9" s="750">
        <f t="shared" si="1"/>
        <v>100</v>
      </c>
      <c r="V9" s="749" t="s">
        <v>25</v>
      </c>
      <c r="W9" s="750">
        <f t="shared" si="2"/>
        <v>100</v>
      </c>
      <c r="X9" s="751"/>
      <c r="Y9" s="284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4"/>
      <c r="Q10" s="1882"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44"/>
      <c r="Q11" s="1882" t="str">
        <f t="shared" si="6"/>
        <v>容积率</v>
      </c>
      <c r="R11" s="749" t="s">
        <v>28</v>
      </c>
      <c r="S11" s="750" t="e">
        <f t="shared" si="0"/>
        <v>#N/A</v>
      </c>
      <c r="T11" s="749" t="s">
        <v>28</v>
      </c>
      <c r="U11" s="750" t="e">
        <f t="shared" si="1"/>
        <v>#N/A</v>
      </c>
      <c r="V11" s="749" t="s">
        <v>28</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44"/>
      <c r="Q12" s="1882">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44"/>
      <c r="Q13" s="1882">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44"/>
      <c r="Q14" s="1882">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99.75">
      <c r="A15" s="419" t="s">
        <v>2357</v>
      </c>
      <c r="B15" s="26" t="s">
        <v>1731</v>
      </c>
      <c r="C15" s="2397"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2" t="s">
        <v>2358</v>
      </c>
      <c r="Q15" s="1894" t="str">
        <f t="shared" si="6"/>
        <v>居住社区成熟度</v>
      </c>
      <c r="R15" s="753" t="s">
        <v>28</v>
      </c>
      <c r="S15" s="754">
        <f t="shared" si="0"/>
        <v>100</v>
      </c>
      <c r="T15" s="753" t="s">
        <v>28</v>
      </c>
      <c r="U15" s="754">
        <f t="shared" si="1"/>
        <v>100</v>
      </c>
      <c r="V15" s="753" t="s">
        <v>28</v>
      </c>
      <c r="W15" s="754">
        <f t="shared" si="2"/>
        <v>100</v>
      </c>
      <c r="X15" s="1895"/>
      <c r="Y15" s="3024"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398"/>
      <c r="H16" s="430"/>
      <c r="I16" s="428"/>
      <c r="J16" s="427"/>
      <c r="K16" s="2399"/>
      <c r="L16" s="1249"/>
      <c r="M16" s="1240"/>
      <c r="N16" s="1240"/>
      <c r="O16" s="1240"/>
      <c r="P16" s="3023"/>
      <c r="Q16" s="1894"/>
      <c r="R16" s="753"/>
      <c r="S16" s="754"/>
      <c r="T16" s="753"/>
      <c r="U16" s="754"/>
      <c r="V16" s="753"/>
      <c r="W16" s="754"/>
      <c r="X16" s="1895"/>
      <c r="Y16" s="3025"/>
      <c r="Z16" s="1897"/>
      <c r="AA16" s="1898">
        <v>1</v>
      </c>
      <c r="AB16" s="1898">
        <v>1</v>
      </c>
      <c r="AC16" s="1898">
        <v>1</v>
      </c>
    </row>
    <row r="17" spans="1:29" ht="85.5">
      <c r="A17" s="408"/>
      <c r="B17" s="431" t="s">
        <v>1743</v>
      </c>
      <c r="C17" s="2400"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3"/>
      <c r="Q17" s="1894" t="str">
        <f>B17</f>
        <v>交通便捷度</v>
      </c>
      <c r="R17" s="753" t="s">
        <v>28</v>
      </c>
      <c r="S17" s="754">
        <f>F17</f>
        <v>100</v>
      </c>
      <c r="T17" s="753" t="s">
        <v>28</v>
      </c>
      <c r="U17" s="754">
        <f>H17</f>
        <v>100</v>
      </c>
      <c r="V17" s="753" t="s">
        <v>28</v>
      </c>
      <c r="W17" s="754">
        <f>J17</f>
        <v>100</v>
      </c>
      <c r="X17" s="1895"/>
      <c r="Y17" s="302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2399"/>
      <c r="L18" s="1249"/>
      <c r="M18" s="1240"/>
      <c r="N18" s="1240"/>
      <c r="O18" s="1240"/>
      <c r="P18" s="3023"/>
      <c r="Q18" s="1894"/>
      <c r="R18" s="753"/>
      <c r="S18" s="754"/>
      <c r="T18" s="753"/>
      <c r="U18" s="754"/>
      <c r="V18" s="753"/>
      <c r="W18" s="754"/>
      <c r="X18" s="1895"/>
      <c r="Y18" s="3025"/>
      <c r="Z18" s="1897"/>
      <c r="AA18" s="1898">
        <v>1</v>
      </c>
      <c r="AB18" s="1898">
        <v>1</v>
      </c>
      <c r="AC18" s="1898">
        <v>1</v>
      </c>
    </row>
    <row r="19" spans="1:29" ht="42.75">
      <c r="A19" s="408"/>
      <c r="B19" s="431" t="s">
        <v>1741</v>
      </c>
      <c r="C19" s="2400"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3"/>
      <c r="Q19" s="1894" t="str">
        <f>B19</f>
        <v>公共配套设施</v>
      </c>
      <c r="R19" s="753" t="s">
        <v>28</v>
      </c>
      <c r="S19" s="754">
        <f>F19</f>
        <v>100</v>
      </c>
      <c r="T19" s="753" t="s">
        <v>28</v>
      </c>
      <c r="U19" s="754">
        <f>H19</f>
        <v>100</v>
      </c>
      <c r="V19" s="753" t="s">
        <v>28</v>
      </c>
      <c r="W19" s="754">
        <f>J19</f>
        <v>100</v>
      </c>
      <c r="X19" s="1895"/>
      <c r="Y19" s="3025"/>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2399"/>
      <c r="L20" s="1249"/>
      <c r="M20" s="1240"/>
      <c r="N20" s="1240"/>
      <c r="O20" s="1240"/>
      <c r="P20" s="3023"/>
      <c r="Q20" s="1894"/>
      <c r="R20" s="753"/>
      <c r="S20" s="754"/>
      <c r="T20" s="753"/>
      <c r="U20" s="754"/>
      <c r="V20" s="753"/>
      <c r="W20" s="754"/>
      <c r="X20" s="1895"/>
      <c r="Y20" s="3025"/>
      <c r="Z20" s="1897"/>
      <c r="AA20" s="1898">
        <v>1</v>
      </c>
      <c r="AB20" s="1898">
        <v>1</v>
      </c>
      <c r="AC20" s="1898">
        <v>1</v>
      </c>
    </row>
    <row r="21" spans="1:29" ht="28.5">
      <c r="A21" s="408"/>
      <c r="B21" s="2402" t="s">
        <v>1744</v>
      </c>
      <c r="C21" s="2400"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3"/>
      <c r="Q21" s="1894" t="str">
        <f>B21</f>
        <v>基础设施水平</v>
      </c>
      <c r="R21" s="753" t="s">
        <v>28</v>
      </c>
      <c r="S21" s="754">
        <f>F21</f>
        <v>100</v>
      </c>
      <c r="T21" s="753" t="s">
        <v>28</v>
      </c>
      <c r="U21" s="754">
        <f>H21</f>
        <v>100</v>
      </c>
      <c r="V21" s="753" t="s">
        <v>28</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2403"/>
      <c r="L22" s="1249"/>
      <c r="M22" s="1240"/>
      <c r="N22" s="1240"/>
      <c r="O22" s="1240"/>
      <c r="P22" s="3023"/>
      <c r="Q22" s="1894"/>
      <c r="R22" s="753"/>
      <c r="S22" s="754"/>
      <c r="T22" s="753"/>
      <c r="U22" s="754"/>
      <c r="V22" s="753"/>
      <c r="W22" s="754"/>
      <c r="X22" s="1895"/>
      <c r="Y22" s="3025"/>
      <c r="Z22" s="1897"/>
      <c r="AA22" s="1898">
        <v>1</v>
      </c>
      <c r="AB22" s="1898">
        <v>1</v>
      </c>
      <c r="AC22" s="1898">
        <v>1</v>
      </c>
    </row>
    <row r="23" spans="1:29" ht="57">
      <c r="A23" s="408"/>
      <c r="B23" s="431" t="s">
        <v>1748</v>
      </c>
      <c r="C23" s="240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3"/>
      <c r="Q23" s="1894" t="str">
        <f>B23</f>
        <v>自然及人文环境</v>
      </c>
      <c r="R23" s="753" t="s">
        <v>28</v>
      </c>
      <c r="S23" s="754">
        <f>F23</f>
        <v>100</v>
      </c>
      <c r="T23" s="753" t="s">
        <v>28</v>
      </c>
      <c r="U23" s="754">
        <f>H23</f>
        <v>100</v>
      </c>
      <c r="V23" s="753" t="s">
        <v>28</v>
      </c>
      <c r="W23" s="754">
        <f>J23</f>
        <v>100</v>
      </c>
      <c r="X23" s="1895"/>
      <c r="Y23" s="3025"/>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2399"/>
      <c r="L24" s="1249"/>
      <c r="M24" s="1240"/>
      <c r="N24" s="1240"/>
      <c r="O24" s="1240"/>
      <c r="P24" s="3023"/>
      <c r="Q24" s="1894"/>
      <c r="R24" s="753"/>
      <c r="S24" s="754"/>
      <c r="T24" s="753"/>
      <c r="U24" s="754"/>
      <c r="V24" s="753"/>
      <c r="W24" s="754"/>
      <c r="X24" s="1895"/>
      <c r="Y24" s="3025"/>
      <c r="Z24" s="1897"/>
      <c r="AA24" s="1898">
        <v>1</v>
      </c>
      <c r="AB24" s="1898">
        <v>1</v>
      </c>
      <c r="AC24" s="1898">
        <v>1</v>
      </c>
    </row>
    <row r="25" spans="1:29" ht="15">
      <c r="A25" s="408"/>
      <c r="B25" s="402" t="s">
        <v>2359</v>
      </c>
      <c r="C25" s="441"/>
      <c r="D25" s="415">
        <v>100</v>
      </c>
      <c r="E25" s="2404"/>
      <c r="F25" s="442">
        <f>SUMIF(86:86,E25,87:87)-SUMIF(86:86,C25,87:87)+100</f>
        <v>100</v>
      </c>
      <c r="G25" s="2405"/>
      <c r="H25" s="415">
        <f>SUMIF(86:86,G25,87:87)-SUMIF(86:86,C25,87:87)+100</f>
        <v>100</v>
      </c>
      <c r="I25" s="2404"/>
      <c r="J25" s="415">
        <f>SUMIF(86:86,I25,87:87)-SUMIF(86:86,C25,87:87)+100</f>
        <v>100</v>
      </c>
      <c r="K25" s="406"/>
      <c r="L25" s="1249"/>
      <c r="M25" s="1240"/>
      <c r="N25" s="1240"/>
      <c r="O25" s="1240"/>
      <c r="P25" s="3023"/>
      <c r="Q25" s="1894" t="str">
        <f t="shared" ref="Q25:Q46" si="11">B25</f>
        <v>楼层-1</v>
      </c>
      <c r="R25" s="753" t="s">
        <v>28</v>
      </c>
      <c r="S25" s="754">
        <f>F25</f>
        <v>100</v>
      </c>
      <c r="T25" s="753" t="s">
        <v>28</v>
      </c>
      <c r="U25" s="754">
        <f>H25</f>
        <v>100</v>
      </c>
      <c r="V25" s="753" t="s">
        <v>28</v>
      </c>
      <c r="W25" s="754">
        <f>J25</f>
        <v>100</v>
      </c>
      <c r="X25" s="1895"/>
      <c r="Y25" s="3025"/>
      <c r="Z25" s="1897" t="str">
        <f>Q25</f>
        <v>楼层-1</v>
      </c>
      <c r="AA25" s="1898">
        <f t="shared" si="3"/>
        <v>1</v>
      </c>
      <c r="AB25" s="1898">
        <f t="shared" si="4"/>
        <v>1</v>
      </c>
      <c r="AC25" s="1898">
        <f t="shared" si="5"/>
        <v>1</v>
      </c>
    </row>
    <row r="26" spans="1:29" ht="15">
      <c r="A26" s="408"/>
      <c r="B26" s="402" t="s">
        <v>2360</v>
      </c>
      <c r="C26" s="441"/>
      <c r="D26" s="415">
        <v>100</v>
      </c>
      <c r="E26" s="2404"/>
      <c r="F26" s="442">
        <f>SUMIF(88:88,E26,89:89)-SUMIF(88:88,C26,89:89)+100</f>
        <v>100</v>
      </c>
      <c r="G26" s="2405"/>
      <c r="H26" s="415">
        <f>SUMIF(88:88,G26,89:89)-SUMIF(88:88,C26,89:89)+100</f>
        <v>100</v>
      </c>
      <c r="I26" s="2404"/>
      <c r="J26" s="415">
        <f>SUMIF(88:88,I26,89:89)-SUMIF(88:88,C26,89:89)+100</f>
        <v>100</v>
      </c>
      <c r="K26" s="406"/>
      <c r="L26" s="1249"/>
      <c r="M26" s="1240"/>
      <c r="N26" s="1240"/>
      <c r="O26" s="1240"/>
      <c r="P26" s="3023"/>
      <c r="Q26" s="1894" t="str">
        <f t="shared" si="11"/>
        <v>朝向</v>
      </c>
      <c r="R26" s="753" t="s">
        <v>28</v>
      </c>
      <c r="S26" s="754">
        <f>F26</f>
        <v>100</v>
      </c>
      <c r="T26" s="753" t="s">
        <v>28</v>
      </c>
      <c r="U26" s="754">
        <f>H26</f>
        <v>100</v>
      </c>
      <c r="V26" s="753" t="s">
        <v>28</v>
      </c>
      <c r="W26" s="754">
        <f>J26</f>
        <v>100</v>
      </c>
      <c r="X26" s="1895"/>
      <c r="Y26" s="3025"/>
      <c r="Z26" s="1897" t="str">
        <f>Q26</f>
        <v>朝向</v>
      </c>
      <c r="AA26" s="1898">
        <f t="shared" si="3"/>
        <v>1</v>
      </c>
      <c r="AB26" s="1898">
        <f t="shared" si="4"/>
        <v>1</v>
      </c>
      <c r="AC26" s="1898">
        <f t="shared" si="5"/>
        <v>1</v>
      </c>
    </row>
    <row r="27" spans="1:29" s="35" customFormat="1" ht="15">
      <c r="A27" s="411"/>
      <c r="B27" s="2393" t="s">
        <v>2361</v>
      </c>
      <c r="C27" s="412"/>
      <c r="D27" s="443">
        <v>100</v>
      </c>
      <c r="E27" s="444"/>
      <c r="F27" s="445">
        <f>SUMIF(90:90,E27,91:91)-SUMIF(90:90,C27,91:91)+100</f>
        <v>100</v>
      </c>
      <c r="G27" s="446"/>
      <c r="H27" s="443">
        <f>SUMIF(90:90,G27,91:91)-SUMIF(90:90,C27,91:91)+100</f>
        <v>100</v>
      </c>
      <c r="I27" s="444"/>
      <c r="J27" s="443">
        <f>SUMIF(90:90,I27,91:91)-SUMIF(90:90,C27,91:91)+100</f>
        <v>100</v>
      </c>
      <c r="K27" s="2394"/>
      <c r="L27" s="1241"/>
      <c r="M27" s="1242"/>
      <c r="N27" s="1242"/>
      <c r="O27" s="1242"/>
      <c r="P27" s="3023"/>
      <c r="Q27" s="1882" t="str">
        <f t="shared" si="11"/>
        <v>道路级别</v>
      </c>
      <c r="R27" s="749" t="s">
        <v>28</v>
      </c>
      <c r="S27" s="750">
        <f>F27</f>
        <v>100</v>
      </c>
      <c r="T27" s="749" t="s">
        <v>28</v>
      </c>
      <c r="U27" s="750">
        <f>H27</f>
        <v>100</v>
      </c>
      <c r="V27" s="749" t="s">
        <v>28</v>
      </c>
      <c r="W27" s="750">
        <f>J27</f>
        <v>100</v>
      </c>
      <c r="X27" s="751"/>
      <c r="Y27" s="3025"/>
      <c r="Z27" s="23" t="str">
        <f>Q27</f>
        <v>道路级别</v>
      </c>
      <c r="AA27" s="1898">
        <f>D27/F27</f>
        <v>1</v>
      </c>
      <c r="AB27" s="1898">
        <f>D27/H27</f>
        <v>1</v>
      </c>
      <c r="AC27" s="1898">
        <f>D27/J27</f>
        <v>1</v>
      </c>
    </row>
    <row r="28" spans="1:29" ht="15">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49"/>
      <c r="M28" s="1240"/>
      <c r="N28" s="1240"/>
      <c r="O28" s="1240"/>
      <c r="P28" s="3023"/>
      <c r="Q28" s="1894">
        <f t="shared" si="11"/>
        <v>111</v>
      </c>
      <c r="R28" s="753" t="s">
        <v>28</v>
      </c>
      <c r="S28" s="754">
        <f t="shared" ref="S28:S46" si="12">F28</f>
        <v>100</v>
      </c>
      <c r="T28" s="753" t="s">
        <v>28</v>
      </c>
      <c r="U28" s="754">
        <f t="shared" ref="U28:U46" si="13">H28</f>
        <v>100</v>
      </c>
      <c r="V28" s="753" t="s">
        <v>28</v>
      </c>
      <c r="W28" s="754">
        <f t="shared" ref="W28:W46" si="14">J28</f>
        <v>100</v>
      </c>
      <c r="X28" s="1895"/>
      <c r="Y28" s="3025"/>
      <c r="Z28" s="1897">
        <f t="shared" ref="Z28:Z46" si="15">Q28</f>
        <v>111</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23"/>
      <c r="Q29" s="1894">
        <f t="shared" si="11"/>
        <v>111</v>
      </c>
      <c r="R29" s="753" t="s">
        <v>28</v>
      </c>
      <c r="S29" s="754">
        <f t="shared" si="12"/>
        <v>100</v>
      </c>
      <c r="T29" s="753" t="s">
        <v>28</v>
      </c>
      <c r="U29" s="754">
        <f t="shared" si="13"/>
        <v>100</v>
      </c>
      <c r="V29" s="753" t="s">
        <v>28</v>
      </c>
      <c r="W29" s="754">
        <f t="shared" si="14"/>
        <v>100</v>
      </c>
      <c r="X29" s="1895"/>
      <c r="Y29" s="3025"/>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23"/>
      <c r="Q30" s="1894">
        <f t="shared" si="11"/>
        <v>111</v>
      </c>
      <c r="R30" s="753" t="s">
        <v>28</v>
      </c>
      <c r="S30" s="754">
        <f t="shared" si="12"/>
        <v>100</v>
      </c>
      <c r="T30" s="753" t="s">
        <v>28</v>
      </c>
      <c r="U30" s="754">
        <f t="shared" si="13"/>
        <v>100</v>
      </c>
      <c r="V30" s="753" t="s">
        <v>28</v>
      </c>
      <c r="W30" s="754">
        <f t="shared" si="14"/>
        <v>100</v>
      </c>
      <c r="X30" s="1895"/>
      <c r="Y30" s="3025"/>
      <c r="Z30" s="1897">
        <f t="shared" si="15"/>
        <v>111</v>
      </c>
      <c r="AA30" s="1898">
        <f t="shared" si="3"/>
        <v>1</v>
      </c>
      <c r="AB30" s="1898">
        <f t="shared" si="4"/>
        <v>1</v>
      </c>
      <c r="AC30" s="1898">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23"/>
      <c r="Q31" s="1894">
        <f t="shared" si="11"/>
        <v>111</v>
      </c>
      <c r="R31" s="753" t="s">
        <v>28</v>
      </c>
      <c r="S31" s="754">
        <f t="shared" si="12"/>
        <v>100</v>
      </c>
      <c r="T31" s="753" t="s">
        <v>28</v>
      </c>
      <c r="U31" s="754">
        <f t="shared" si="13"/>
        <v>100</v>
      </c>
      <c r="V31" s="753" t="s">
        <v>28</v>
      </c>
      <c r="W31" s="754">
        <f t="shared" si="14"/>
        <v>100</v>
      </c>
      <c r="X31" s="1895"/>
      <c r="Y31" s="3025"/>
      <c r="Z31" s="1897">
        <f t="shared" si="15"/>
        <v>111</v>
      </c>
      <c r="AA31" s="1898">
        <f t="shared" si="3"/>
        <v>1</v>
      </c>
      <c r="AB31" s="1898">
        <f t="shared" si="4"/>
        <v>1</v>
      </c>
      <c r="AC31" s="1898">
        <f t="shared" si="5"/>
        <v>1</v>
      </c>
    </row>
    <row r="32" spans="1:29" ht="15">
      <c r="A32" s="419" t="s">
        <v>2362</v>
      </c>
      <c r="B32" s="28" t="s">
        <v>2363</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49"/>
      <c r="M32" s="1240"/>
      <c r="N32" s="1240"/>
      <c r="O32" s="1240"/>
      <c r="P32" s="3026" t="s">
        <v>2364</v>
      </c>
      <c r="Q32" s="1894" t="str">
        <f t="shared" si="11"/>
        <v>建筑类型</v>
      </c>
      <c r="R32" s="753" t="s">
        <v>28</v>
      </c>
      <c r="S32" s="754">
        <f t="shared" si="12"/>
        <v>100</v>
      </c>
      <c r="T32" s="753" t="s">
        <v>28</v>
      </c>
      <c r="U32" s="754">
        <f t="shared" si="13"/>
        <v>100</v>
      </c>
      <c r="V32" s="753" t="s">
        <v>28</v>
      </c>
      <c r="W32" s="754">
        <f t="shared" si="14"/>
        <v>100</v>
      </c>
      <c r="X32" s="1895"/>
      <c r="Y32" s="3029"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4"/>
      <c r="L33" s="1247"/>
      <c r="M33" s="1250"/>
      <c r="N33" s="1250"/>
      <c r="O33" s="1250"/>
      <c r="P33" s="3027"/>
      <c r="Q33" s="755" t="str">
        <f t="shared" si="11"/>
        <v>项目建筑规模</v>
      </c>
      <c r="R33" s="756" t="s">
        <v>28</v>
      </c>
      <c r="S33" s="757" t="e">
        <f t="shared" si="12"/>
        <v>#N/A</v>
      </c>
      <c r="T33" s="756" t="s">
        <v>28</v>
      </c>
      <c r="U33" s="757" t="e">
        <f t="shared" si="13"/>
        <v>#N/A</v>
      </c>
      <c r="V33" s="756" t="s">
        <v>28</v>
      </c>
      <c r="W33" s="757" t="e">
        <f t="shared" si="14"/>
        <v>#N/A</v>
      </c>
      <c r="X33" s="758"/>
      <c r="Y33" s="3029"/>
      <c r="Z33" s="759" t="str">
        <f t="shared" si="15"/>
        <v>项目建筑规模</v>
      </c>
      <c r="AA33" s="1898" t="e">
        <f t="shared" si="3"/>
        <v>#N/A</v>
      </c>
      <c r="AB33" s="1898" t="e">
        <f t="shared" si="4"/>
        <v>#N/A</v>
      </c>
      <c r="AC33" s="1898" t="e">
        <f t="shared" si="5"/>
        <v>#N/A</v>
      </c>
    </row>
    <row r="34" spans="1:29" ht="15">
      <c r="A34" s="453"/>
      <c r="B34" s="402" t="s">
        <v>2366</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49"/>
      <c r="M34" s="1240"/>
      <c r="N34" s="1240"/>
      <c r="O34" s="1240"/>
      <c r="P34" s="3027"/>
      <c r="Q34" s="1894" t="str">
        <f t="shared" si="11"/>
        <v>建筑结构</v>
      </c>
      <c r="R34" s="753" t="s">
        <v>28</v>
      </c>
      <c r="S34" s="754">
        <f t="shared" si="12"/>
        <v>100</v>
      </c>
      <c r="T34" s="753" t="s">
        <v>28</v>
      </c>
      <c r="U34" s="754">
        <f t="shared" si="13"/>
        <v>100</v>
      </c>
      <c r="V34" s="753" t="s">
        <v>28</v>
      </c>
      <c r="W34" s="754">
        <f t="shared" si="14"/>
        <v>100</v>
      </c>
      <c r="X34" s="1895"/>
      <c r="Y34" s="3029"/>
      <c r="Z34" s="1897" t="str">
        <f t="shared" si="15"/>
        <v>建筑结构</v>
      </c>
      <c r="AA34" s="1898">
        <f t="shared" si="3"/>
        <v>1</v>
      </c>
      <c r="AB34" s="1898">
        <f t="shared" si="4"/>
        <v>1</v>
      </c>
      <c r="AC34" s="1898">
        <f t="shared" si="5"/>
        <v>1</v>
      </c>
    </row>
    <row r="35" spans="1:29" ht="15">
      <c r="A35" s="453"/>
      <c r="B35" s="402" t="s">
        <v>2367</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9"/>
      <c r="M35" s="1240"/>
      <c r="N35" s="1240"/>
      <c r="O35" s="1240"/>
      <c r="P35" s="3027"/>
      <c r="Q35" s="1894" t="str">
        <f t="shared" si="11"/>
        <v>建筑品质</v>
      </c>
      <c r="R35" s="753" t="s">
        <v>28</v>
      </c>
      <c r="S35" s="754">
        <f t="shared" si="12"/>
        <v>100</v>
      </c>
      <c r="T35" s="753" t="s">
        <v>28</v>
      </c>
      <c r="U35" s="754">
        <f t="shared" si="13"/>
        <v>100</v>
      </c>
      <c r="V35" s="753" t="s">
        <v>28</v>
      </c>
      <c r="W35" s="754">
        <f t="shared" si="14"/>
        <v>100</v>
      </c>
      <c r="X35" s="1895"/>
      <c r="Y35" s="3029"/>
      <c r="Z35" s="1897" t="str">
        <f t="shared" si="15"/>
        <v>建筑品质</v>
      </c>
      <c r="AA35" s="1898">
        <f t="shared" si="3"/>
        <v>1</v>
      </c>
      <c r="AB35" s="1898">
        <f t="shared" si="4"/>
        <v>1</v>
      </c>
      <c r="AC35" s="1898">
        <f t="shared" si="5"/>
        <v>1</v>
      </c>
    </row>
    <row r="36" spans="1:29" ht="15">
      <c r="A36" s="453"/>
      <c r="B36" s="402" t="s">
        <v>2368</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49"/>
      <c r="M36" s="1240"/>
      <c r="N36" s="1240"/>
      <c r="O36" s="1240"/>
      <c r="P36" s="3027"/>
      <c r="Q36" s="1894" t="str">
        <f t="shared" si="11"/>
        <v>公共部分装修</v>
      </c>
      <c r="R36" s="753" t="s">
        <v>28</v>
      </c>
      <c r="S36" s="754">
        <f t="shared" si="12"/>
        <v>100</v>
      </c>
      <c r="T36" s="753" t="s">
        <v>28</v>
      </c>
      <c r="U36" s="754">
        <f t="shared" si="13"/>
        <v>100</v>
      </c>
      <c r="V36" s="753" t="s">
        <v>28</v>
      </c>
      <c r="W36" s="754">
        <f t="shared" si="14"/>
        <v>100</v>
      </c>
      <c r="X36" s="1895"/>
      <c r="Y36" s="3029"/>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27"/>
      <c r="Q37" s="1882" t="str">
        <f t="shared" si="11"/>
        <v>成新度</v>
      </c>
      <c r="R37" s="749" t="s">
        <v>28</v>
      </c>
      <c r="S37" s="750" t="e">
        <f t="shared" si="12"/>
        <v>#N/A</v>
      </c>
      <c r="T37" s="749" t="s">
        <v>28</v>
      </c>
      <c r="U37" s="750" t="e">
        <f t="shared" si="13"/>
        <v>#N/A</v>
      </c>
      <c r="V37" s="749" t="s">
        <v>28</v>
      </c>
      <c r="W37" s="750" t="e">
        <f t="shared" si="14"/>
        <v>#N/A</v>
      </c>
      <c r="X37" s="751"/>
      <c r="Y37" s="3029"/>
      <c r="Z37" s="23" t="str">
        <f t="shared" si="15"/>
        <v>成新度</v>
      </c>
      <c r="AA37" s="752" t="e">
        <f t="shared" si="3"/>
        <v>#N/A</v>
      </c>
      <c r="AB37" s="752" t="e">
        <f t="shared" si="4"/>
        <v>#N/A</v>
      </c>
      <c r="AC37" s="752" t="e">
        <f t="shared" si="5"/>
        <v>#N/A</v>
      </c>
    </row>
    <row r="38" spans="1:29" ht="15">
      <c r="A38" s="453"/>
      <c r="B38" s="402" t="s">
        <v>2370</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49"/>
      <c r="M38" s="1240"/>
      <c r="N38" s="1240"/>
      <c r="O38" s="1240"/>
      <c r="P38" s="3027" t="s">
        <v>2364</v>
      </c>
      <c r="Q38" s="1894" t="str">
        <f t="shared" si="11"/>
        <v>物业管理</v>
      </c>
      <c r="R38" s="753" t="s">
        <v>28</v>
      </c>
      <c r="S38" s="754">
        <f t="shared" si="12"/>
        <v>100</v>
      </c>
      <c r="T38" s="753" t="s">
        <v>28</v>
      </c>
      <c r="U38" s="754">
        <f t="shared" si="13"/>
        <v>100</v>
      </c>
      <c r="V38" s="753" t="s">
        <v>28</v>
      </c>
      <c r="W38" s="754">
        <f t="shared" si="14"/>
        <v>100</v>
      </c>
      <c r="X38" s="1895"/>
      <c r="Y38" s="3029" t="s">
        <v>2364</v>
      </c>
      <c r="Z38" s="1897" t="str">
        <f t="shared" si="15"/>
        <v>物业管理</v>
      </c>
      <c r="AA38" s="1898">
        <f t="shared" si="3"/>
        <v>1</v>
      </c>
      <c r="AB38" s="1898">
        <f t="shared" si="4"/>
        <v>1</v>
      </c>
      <c r="AC38" s="1898">
        <f t="shared" si="5"/>
        <v>1</v>
      </c>
    </row>
    <row r="39" spans="1:29" ht="15">
      <c r="A39" s="453"/>
      <c r="B39" s="402" t="s">
        <v>2371</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49"/>
      <c r="M39" s="1240"/>
      <c r="N39" s="1240"/>
      <c r="O39" s="1240"/>
      <c r="P39" s="3027"/>
      <c r="Q39" s="1894" t="str">
        <f t="shared" si="11"/>
        <v>市政基础设施</v>
      </c>
      <c r="R39" s="753" t="s">
        <v>28</v>
      </c>
      <c r="S39" s="754">
        <f t="shared" si="12"/>
        <v>100</v>
      </c>
      <c r="T39" s="753" t="s">
        <v>28</v>
      </c>
      <c r="U39" s="754">
        <f t="shared" si="13"/>
        <v>100</v>
      </c>
      <c r="V39" s="753" t="s">
        <v>28</v>
      </c>
      <c r="W39" s="754">
        <f t="shared" si="14"/>
        <v>100</v>
      </c>
      <c r="X39" s="1895"/>
      <c r="Y39" s="3029"/>
      <c r="Z39" s="1897" t="str">
        <f t="shared" si="15"/>
        <v>市政基础设施</v>
      </c>
      <c r="AA39" s="1898">
        <f t="shared" si="3"/>
        <v>1</v>
      </c>
      <c r="AB39" s="1898">
        <f t="shared" si="4"/>
        <v>1</v>
      </c>
      <c r="AC39" s="1898">
        <f t="shared" si="5"/>
        <v>1</v>
      </c>
    </row>
    <row r="40" spans="1:29" ht="15">
      <c r="A40" s="453"/>
      <c r="B40" s="402" t="s">
        <v>2372</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49"/>
      <c r="M40" s="1240"/>
      <c r="N40" s="1240"/>
      <c r="O40" s="1240"/>
      <c r="P40" s="3027"/>
      <c r="Q40" s="1894" t="str">
        <f t="shared" si="11"/>
        <v>房型</v>
      </c>
      <c r="R40" s="753" t="s">
        <v>28</v>
      </c>
      <c r="S40" s="754">
        <f t="shared" si="12"/>
        <v>100</v>
      </c>
      <c r="T40" s="753" t="s">
        <v>28</v>
      </c>
      <c r="U40" s="754">
        <f t="shared" si="13"/>
        <v>100</v>
      </c>
      <c r="V40" s="753" t="s">
        <v>28</v>
      </c>
      <c r="W40" s="754">
        <f t="shared" si="14"/>
        <v>100</v>
      </c>
      <c r="X40" s="1895"/>
      <c r="Y40" s="3029"/>
      <c r="Z40" s="1897" t="str">
        <f t="shared" si="15"/>
        <v>房型</v>
      </c>
      <c r="AA40" s="1898">
        <f t="shared" si="3"/>
        <v>1</v>
      </c>
      <c r="AB40" s="1898">
        <f t="shared" si="4"/>
        <v>1</v>
      </c>
      <c r="AC40" s="1898">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898">
        <f t="shared" si="3"/>
        <v>1</v>
      </c>
      <c r="AB41" s="1898">
        <f t="shared" si="4"/>
        <v>1</v>
      </c>
      <c r="AC41" s="1898">
        <f t="shared" si="5"/>
        <v>1</v>
      </c>
    </row>
    <row r="42" spans="1:29" ht="15">
      <c r="A42" s="453"/>
      <c r="B42" s="402" t="s">
        <v>2374</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49"/>
      <c r="M42" s="1240"/>
      <c r="N42" s="1240"/>
      <c r="O42" s="1240"/>
      <c r="P42" s="3027"/>
      <c r="Q42" s="1894" t="str">
        <f t="shared" si="11"/>
        <v>内部装修</v>
      </c>
      <c r="R42" s="753" t="s">
        <v>28</v>
      </c>
      <c r="S42" s="754">
        <f t="shared" si="12"/>
        <v>100</v>
      </c>
      <c r="T42" s="753" t="s">
        <v>28</v>
      </c>
      <c r="U42" s="754">
        <f t="shared" si="13"/>
        <v>100</v>
      </c>
      <c r="V42" s="753" t="s">
        <v>28</v>
      </c>
      <c r="W42" s="754">
        <f t="shared" si="14"/>
        <v>100</v>
      </c>
      <c r="X42" s="1895"/>
      <c r="Y42" s="3029"/>
      <c r="Z42" s="1897" t="str">
        <f t="shared" si="15"/>
        <v>内部装修</v>
      </c>
      <c r="AA42" s="1898">
        <f t="shared" si="3"/>
        <v>1</v>
      </c>
      <c r="AB42" s="1898">
        <f t="shared" si="4"/>
        <v>1</v>
      </c>
      <c r="AC42" s="1898">
        <f t="shared" si="5"/>
        <v>1</v>
      </c>
    </row>
    <row r="43" spans="1:29" ht="15">
      <c r="A43" s="453"/>
      <c r="B43" s="402" t="s">
        <v>2375</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c r="L43" s="1249"/>
      <c r="M43" s="1240"/>
      <c r="N43" s="1240"/>
      <c r="O43" s="1240"/>
      <c r="P43" s="3027"/>
      <c r="Q43" s="1894" t="str">
        <f t="shared" si="11"/>
        <v>内部装修维护情况</v>
      </c>
      <c r="R43" s="753" t="s">
        <v>28</v>
      </c>
      <c r="S43" s="754">
        <f t="shared" si="12"/>
        <v>100</v>
      </c>
      <c r="T43" s="753" t="s">
        <v>28</v>
      </c>
      <c r="U43" s="754">
        <f t="shared" si="13"/>
        <v>100</v>
      </c>
      <c r="V43" s="753" t="s">
        <v>28</v>
      </c>
      <c r="W43" s="754">
        <f t="shared" si="14"/>
        <v>100</v>
      </c>
      <c r="X43" s="1895"/>
      <c r="Y43" s="3029"/>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1"/>
      <c r="M44" s="1242"/>
      <c r="N44" s="1242"/>
      <c r="O44" s="1242"/>
      <c r="P44" s="3027"/>
      <c r="Q44" s="1882">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27"/>
      <c r="Q45" s="1894">
        <f t="shared" si="11"/>
        <v>111</v>
      </c>
      <c r="R45" s="753" t="s">
        <v>28</v>
      </c>
      <c r="S45" s="754">
        <f t="shared" si="12"/>
        <v>100</v>
      </c>
      <c r="T45" s="753" t="s">
        <v>28</v>
      </c>
      <c r="U45" s="754">
        <f t="shared" si="13"/>
        <v>100</v>
      </c>
      <c r="V45" s="753" t="s">
        <v>28</v>
      </c>
      <c r="W45" s="754">
        <f t="shared" si="14"/>
        <v>100</v>
      </c>
      <c r="X45" s="1895"/>
      <c r="Y45" s="3029"/>
      <c r="Z45" s="1897">
        <f t="shared" si="15"/>
        <v>111</v>
      </c>
      <c r="AA45" s="1898">
        <f t="shared" si="3"/>
        <v>1</v>
      </c>
      <c r="AB45" s="1898">
        <f t="shared" si="4"/>
        <v>1</v>
      </c>
      <c r="AC45" s="1898">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28"/>
      <c r="Q46" s="1894">
        <f t="shared" si="11"/>
        <v>111</v>
      </c>
      <c r="R46" s="753" t="s">
        <v>27</v>
      </c>
      <c r="S46" s="754">
        <f t="shared" si="12"/>
        <v>100</v>
      </c>
      <c r="T46" s="753" t="s">
        <v>27</v>
      </c>
      <c r="U46" s="754">
        <f t="shared" si="13"/>
        <v>100</v>
      </c>
      <c r="V46" s="753" t="s">
        <v>27</v>
      </c>
      <c r="W46" s="754">
        <f t="shared" si="14"/>
        <v>100</v>
      </c>
      <c r="X46" s="1895"/>
      <c r="Y46" s="3030"/>
      <c r="Z46" s="1897">
        <f t="shared" si="15"/>
        <v>111</v>
      </c>
      <c r="AA46" s="1898">
        <f t="shared" si="3"/>
        <v>1</v>
      </c>
      <c r="AB46" s="1898">
        <f t="shared" si="4"/>
        <v>1</v>
      </c>
      <c r="AC46" s="1898">
        <f t="shared" si="5"/>
        <v>1</v>
      </c>
    </row>
    <row r="47" spans="1:29" ht="15">
      <c r="A47" s="460" t="s">
        <v>2376</v>
      </c>
      <c r="B47" s="461"/>
      <c r="C47" s="1498" t="s">
        <v>26</v>
      </c>
      <c r="D47" s="1499"/>
      <c r="E47" s="1500"/>
      <c r="F47" s="1501"/>
      <c r="G47" s="1502"/>
      <c r="H47" s="1503"/>
      <c r="I47" s="1500"/>
      <c r="J47" s="1503"/>
      <c r="K47" s="2411"/>
      <c r="L47" s="1252"/>
      <c r="M47" s="1253"/>
      <c r="N47" s="1240"/>
      <c r="O47" s="1253"/>
      <c r="P47" s="3021" t="str">
        <f>A47</f>
        <v>成交单价（元/平方米）</v>
      </c>
      <c r="Q47" s="3021"/>
      <c r="R47" s="3017">
        <f>E47</f>
        <v>0</v>
      </c>
      <c r="S47" s="3017"/>
      <c r="T47" s="3017">
        <f>G47</f>
        <v>0</v>
      </c>
      <c r="U47" s="3017"/>
      <c r="V47" s="3017">
        <f>I47</f>
        <v>0</v>
      </c>
      <c r="W47" s="3017"/>
      <c r="X47" s="738"/>
      <c r="Y47" s="760"/>
      <c r="Z47" s="738"/>
      <c r="AA47" s="738"/>
      <c r="AB47" s="738"/>
      <c r="AC47" s="738"/>
    </row>
    <row r="48" spans="1:29" ht="15.75" thickBot="1">
      <c r="A48" s="467" t="s">
        <v>2377</v>
      </c>
      <c r="B48" s="468"/>
      <c r="C48" s="1504" t="e">
        <f>R49</f>
        <v>#DIV/0!</v>
      </c>
      <c r="D48" s="1505"/>
      <c r="E48" s="1506" t="e">
        <f>R48</f>
        <v>#DIV/0!</v>
      </c>
      <c r="F48" s="1506"/>
      <c r="G48" s="1504" t="e">
        <f>T48</f>
        <v>#DIV/0!</v>
      </c>
      <c r="H48" s="1505"/>
      <c r="I48" s="1506" t="e">
        <f>V48</f>
        <v>#DIV/0!</v>
      </c>
      <c r="J48" s="1505"/>
      <c r="K48" s="2412"/>
      <c r="L48" s="1252"/>
      <c r="M48" s="1253"/>
      <c r="N48" s="1253"/>
      <c r="O48" s="1253"/>
      <c r="P48" s="3021" t="str">
        <f>A48</f>
        <v>比较价值（元/平方米）</v>
      </c>
      <c r="Q48" s="3021"/>
      <c r="R48" s="3017" t="e">
        <f>IF(E1="售价",ROUND(PRODUCT(R47,AA7:AA46),0),ROUND(PRODUCT(R47,AA7:AA46),1))</f>
        <v>#DIV/0!</v>
      </c>
      <c r="S48" s="3017"/>
      <c r="T48" s="3015" t="e">
        <f>IF(E1="售价",ROUND(PRODUCT(T47,AB7:AB46),0),ROUND(PRODUCT(T47,AB7:AB46),1))</f>
        <v>#DIV/0!</v>
      </c>
      <c r="U48" s="3016"/>
      <c r="V48" s="3017" t="e">
        <f>IF(E1="售价",ROUND(PRODUCT(V47,AC7:AC46),0),ROUND(PRODUCT(V47,AC7:AC46),1))</f>
        <v>#DIV/0!</v>
      </c>
      <c r="W48" s="3017"/>
      <c r="X48" s="738"/>
      <c r="Y48" s="738"/>
      <c r="Z48" s="738"/>
      <c r="AA48" s="738"/>
      <c r="AB48" s="738"/>
      <c r="AC48" s="738"/>
    </row>
    <row r="49" spans="1:29" ht="15.75" thickBot="1">
      <c r="A49" s="473" t="s">
        <v>2378</v>
      </c>
      <c r="B49" s="474"/>
      <c r="C49" s="1507" t="e">
        <f>R49</f>
        <v>#DIV/0!</v>
      </c>
      <c r="D49" s="1508"/>
      <c r="E49" s="1508"/>
      <c r="F49" s="1508"/>
      <c r="G49" s="1508"/>
      <c r="H49" s="1508"/>
      <c r="I49" s="1508"/>
      <c r="J49" s="1508"/>
      <c r="K49" s="2413"/>
      <c r="L49" s="1252"/>
      <c r="M49" s="1253"/>
      <c r="N49" s="1253"/>
      <c r="O49" s="1253"/>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6"/>
      <c r="Q57" s="485"/>
    </row>
    <row r="58" spans="1:29" s="489" customFormat="1" ht="15">
      <c r="A58" s="486" t="s">
        <v>2383</v>
      </c>
      <c r="B58" s="487"/>
      <c r="C58" s="1674" t="str">
        <f>YEAR(C7)&amp;"-"&amp;MONTH(C7)</f>
        <v>2020-5</v>
      </c>
      <c r="D58" s="1675">
        <f>EDATE(C58,-1)</f>
        <v>43922</v>
      </c>
      <c r="E58" s="1675">
        <f t="shared" ref="E58:O58" si="16">EDATE(D58,-1)</f>
        <v>43891</v>
      </c>
      <c r="F58" s="1675">
        <f t="shared" si="16"/>
        <v>43862</v>
      </c>
      <c r="G58" s="1675">
        <f t="shared" si="16"/>
        <v>43831</v>
      </c>
      <c r="H58" s="1675">
        <f t="shared" si="16"/>
        <v>43800</v>
      </c>
      <c r="I58" s="1675">
        <f t="shared" si="16"/>
        <v>43770</v>
      </c>
      <c r="J58" s="1675">
        <f t="shared" si="16"/>
        <v>43739</v>
      </c>
      <c r="K58" s="1675">
        <f t="shared" si="16"/>
        <v>43709</v>
      </c>
      <c r="L58" s="1675">
        <f t="shared" si="16"/>
        <v>43678</v>
      </c>
      <c r="M58" s="1675">
        <f t="shared" si="16"/>
        <v>43647</v>
      </c>
      <c r="N58" s="1675">
        <f t="shared" si="16"/>
        <v>43617</v>
      </c>
      <c r="O58" s="1675">
        <f t="shared" si="16"/>
        <v>43586</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2384</v>
      </c>
      <c r="B60" s="497"/>
      <c r="C60" s="498"/>
      <c r="D60" s="499"/>
      <c r="E60" s="499"/>
      <c r="F60" s="499"/>
      <c r="G60" s="499"/>
      <c r="H60" s="499"/>
      <c r="I60" s="499"/>
      <c r="J60" s="499"/>
      <c r="K60" s="499"/>
      <c r="L60" s="499"/>
      <c r="M60" s="500"/>
      <c r="N60" s="499"/>
      <c r="O60" s="500"/>
      <c r="P60" s="2418"/>
      <c r="Q60" s="485"/>
    </row>
    <row r="61" spans="1:29" s="35" customFormat="1" ht="15">
      <c r="A61" s="502" t="s">
        <v>2385</v>
      </c>
      <c r="B61" s="491"/>
      <c r="C61" s="503" t="s">
        <v>2386</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2387</v>
      </c>
      <c r="B63" s="509" t="s">
        <v>2352</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0"/>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1744</v>
      </c>
      <c r="C82" s="522" t="s">
        <v>2403</v>
      </c>
      <c r="D82" s="522" t="s">
        <v>2404</v>
      </c>
      <c r="E82" s="522" t="s">
        <v>2405</v>
      </c>
      <c r="F82" s="522" t="s">
        <v>2406</v>
      </c>
      <c r="G82" s="522" t="s">
        <v>2407</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2409</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0"/>
      <c r="Q87" s="485"/>
    </row>
    <row r="88" spans="1:17" s="35" customFormat="1" ht="15.75" thickTop="1">
      <c r="A88" s="563"/>
      <c r="B88" s="521" t="s">
        <v>2410</v>
      </c>
      <c r="C88" s="537"/>
      <c r="D88" s="537"/>
      <c r="E88" s="537"/>
      <c r="F88" s="2425"/>
      <c r="G88" s="537"/>
      <c r="H88" s="537"/>
      <c r="I88" s="537"/>
      <c r="J88" s="537"/>
      <c r="K88" s="537"/>
      <c r="L88" s="537"/>
      <c r="M88" s="565"/>
      <c r="N88" s="1262"/>
      <c r="O88" s="1262"/>
      <c r="P88" s="2420"/>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0"/>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1"/>
      <c r="Q90" s="543"/>
    </row>
    <row r="91" spans="1:17" s="452" customFormat="1" ht="15.75" thickBot="1">
      <c r="A91" s="536"/>
      <c r="B91" s="526"/>
      <c r="C91" s="544"/>
      <c r="D91" s="544"/>
      <c r="E91" s="544"/>
      <c r="F91" s="544"/>
      <c r="G91" s="544"/>
      <c r="H91" s="546"/>
      <c r="I91" s="546"/>
      <c r="J91" s="546"/>
      <c r="K91" s="546"/>
      <c r="L91" s="546"/>
      <c r="M91" s="547"/>
      <c r="N91" s="1265"/>
      <c r="O91" s="1265"/>
      <c r="P91" s="2421"/>
      <c r="Q91" s="543"/>
    </row>
    <row r="92" spans="1:17" ht="15.75" thickTop="1">
      <c r="A92" s="516"/>
      <c r="B92" s="521">
        <f>B28</f>
        <v>111</v>
      </c>
      <c r="C92" s="537"/>
      <c r="D92" s="537"/>
      <c r="E92" s="537"/>
      <c r="F92" s="537"/>
      <c r="G92" s="567"/>
      <c r="H92" s="567"/>
      <c r="I92" s="567"/>
      <c r="J92" s="567"/>
      <c r="K92" s="568"/>
      <c r="L92" s="569"/>
      <c r="M92" s="570"/>
      <c r="N92" s="1263"/>
      <c r="O92" s="1263"/>
      <c r="P92" s="2420"/>
      <c r="Q92" s="485"/>
    </row>
    <row r="93" spans="1:17" ht="15.75" thickBot="1">
      <c r="A93" s="516"/>
      <c r="B93" s="526"/>
      <c r="C93" s="544"/>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2362</v>
      </c>
      <c r="B100" s="509" t="s">
        <v>2411</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0"/>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1"/>
      <c r="Q104" s="543"/>
    </row>
    <row r="105" spans="1:17" ht="15" thickTop="1">
      <c r="A105" s="583"/>
      <c r="B105" s="521" t="s">
        <v>2413</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0"/>
      <c r="Q106" s="485"/>
    </row>
    <row r="107" spans="1:17" ht="15" thickTop="1">
      <c r="A107" s="583"/>
      <c r="B107" s="521" t="s">
        <v>2414</v>
      </c>
      <c r="C107" s="567"/>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0"/>
      <c r="Q108" s="485"/>
    </row>
    <row r="109" spans="1:17" ht="15" thickTop="1">
      <c r="A109" s="583"/>
      <c r="B109" s="521" t="s">
        <v>2415</v>
      </c>
      <c r="C109" s="537"/>
      <c r="D109" s="537"/>
      <c r="E109" s="537"/>
      <c r="F109" s="567"/>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0"/>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1"/>
      <c r="Q113" s="543"/>
    </row>
    <row r="114" spans="1:17" ht="15" thickTop="1">
      <c r="A114" s="583"/>
      <c r="B114" s="521" t="s">
        <v>2417</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0"/>
      <c r="Q115" s="485"/>
    </row>
    <row r="116" spans="1:17" ht="15" thickTop="1">
      <c r="A116" s="583"/>
      <c r="B116" s="521" t="s">
        <v>2418</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2419</v>
      </c>
      <c r="C118" s="567"/>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0"/>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2420</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0"/>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2422</v>
      </c>
    </row>
    <row r="137" spans="1:17" ht="15">
      <c r="B137" s="2428" t="s">
        <v>2423</v>
      </c>
      <c r="C137" s="2429"/>
      <c r="D137" s="2429"/>
      <c r="E137" s="2429"/>
      <c r="F137" s="2429"/>
      <c r="G137" s="2430"/>
      <c r="H137" s="2431"/>
      <c r="I137" s="2432" t="s">
        <v>2424</v>
      </c>
      <c r="J137" s="2429"/>
      <c r="K137" s="2433"/>
    </row>
    <row r="138" spans="1:17" ht="15">
      <c r="B138" s="2434"/>
      <c r="C138" s="62" t="s">
        <v>2425</v>
      </c>
      <c r="D138" s="62" t="s">
        <v>2426</v>
      </c>
      <c r="E138" s="2435" t="s">
        <v>2427</v>
      </c>
      <c r="F138" s="2436" t="s">
        <v>2428</v>
      </c>
      <c r="G138" s="62" t="s">
        <v>2426</v>
      </c>
      <c r="H138" s="63" t="s">
        <v>2427</v>
      </c>
      <c r="I138" s="2437"/>
      <c r="J138" s="62" t="s">
        <v>2429</v>
      </c>
      <c r="K138" s="63" t="s">
        <v>2430</v>
      </c>
    </row>
    <row r="139" spans="1:17" ht="15">
      <c r="B139" s="1121">
        <v>6</v>
      </c>
      <c r="C139" s="1129">
        <v>96</v>
      </c>
      <c r="D139" s="2438" t="s">
        <v>2431</v>
      </c>
      <c r="E139" s="1130">
        <v>100</v>
      </c>
      <c r="F139" s="1131">
        <v>102.5</v>
      </c>
      <c r="G139" s="2438" t="s">
        <v>2431</v>
      </c>
      <c r="H139" s="1132">
        <v>105</v>
      </c>
      <c r="I139" s="2439" t="s">
        <v>2432</v>
      </c>
      <c r="J139" s="1129">
        <v>20</v>
      </c>
      <c r="K139" s="1123">
        <f>C145/(J139-2)</f>
        <v>4.0555555555555553E-3</v>
      </c>
    </row>
    <row r="140" spans="1:17" ht="15">
      <c r="B140" s="1122">
        <v>5</v>
      </c>
      <c r="C140" s="1133">
        <v>100</v>
      </c>
      <c r="D140" s="1133"/>
      <c r="E140" s="1134"/>
      <c r="F140" s="1135">
        <v>102</v>
      </c>
      <c r="G140" s="1133"/>
      <c r="H140" s="1136"/>
      <c r="I140" s="2440" t="s">
        <v>2433</v>
      </c>
      <c r="J140" s="217">
        <f>ROUNDUP((J139-1)/2,0)</f>
        <v>10</v>
      </c>
      <c r="K140" s="1124">
        <v>100</v>
      </c>
    </row>
    <row r="141" spans="1:17" ht="15">
      <c r="B141" s="1122">
        <v>4</v>
      </c>
      <c r="C141" s="1133">
        <v>102</v>
      </c>
      <c r="D141" s="1133"/>
      <c r="E141" s="1134"/>
      <c r="F141" s="1135">
        <v>101.5</v>
      </c>
      <c r="G141" s="1133"/>
      <c r="H141" s="1136"/>
      <c r="I141" s="2440" t="s">
        <v>2434</v>
      </c>
      <c r="J141" s="217">
        <v>1</v>
      </c>
      <c r="K141" s="1125">
        <f>ROUND(100+(J141-J140)*K139*100,1)</f>
        <v>96.4</v>
      </c>
    </row>
    <row r="142" spans="1:17" ht="15">
      <c r="B142" s="1122">
        <v>3</v>
      </c>
      <c r="C142" s="1133">
        <v>103</v>
      </c>
      <c r="D142" s="1133"/>
      <c r="E142" s="1134"/>
      <c r="F142" s="1135">
        <v>101</v>
      </c>
      <c r="G142" s="1133"/>
      <c r="H142" s="1136"/>
      <c r="I142" s="2440" t="s">
        <v>2435</v>
      </c>
      <c r="J142" s="217">
        <f>J139</f>
        <v>20</v>
      </c>
      <c r="K142" s="1138">
        <v>95</v>
      </c>
    </row>
    <row r="143" spans="1:17" ht="15">
      <c r="B143" s="1122">
        <v>2</v>
      </c>
      <c r="C143" s="1133">
        <v>100</v>
      </c>
      <c r="D143" s="1133"/>
      <c r="E143" s="1134"/>
      <c r="F143" s="1135">
        <v>100.5</v>
      </c>
      <c r="G143" s="1133"/>
      <c r="H143" s="1136"/>
      <c r="I143" s="2440" t="s">
        <v>2436</v>
      </c>
      <c r="J143" s="1133">
        <v>15</v>
      </c>
      <c r="K143" s="1125">
        <f>ROUND(100+(J143-J140)*K139*100,1)</f>
        <v>102</v>
      </c>
    </row>
    <row r="144" spans="1:17" ht="15">
      <c r="B144" s="1122">
        <v>1</v>
      </c>
      <c r="C144" s="1133">
        <v>98</v>
      </c>
      <c r="D144" s="2441" t="s">
        <v>2437</v>
      </c>
      <c r="E144" s="1134">
        <v>102</v>
      </c>
      <c r="F144" s="1137">
        <v>100</v>
      </c>
      <c r="G144" s="2441" t="s">
        <v>2437</v>
      </c>
      <c r="H144" s="1136">
        <v>105</v>
      </c>
      <c r="I144" s="2440" t="s">
        <v>2436</v>
      </c>
      <c r="J144" s="1133">
        <v>18</v>
      </c>
      <c r="K144" s="1125">
        <f>ROUND(100+(J144-J140)*K139*100,1)</f>
        <v>103.2</v>
      </c>
    </row>
    <row r="145" spans="2:11" ht="15.75" thickBot="1">
      <c r="B145" s="2442" t="s">
        <v>2438</v>
      </c>
      <c r="C145" s="1127">
        <f>ROUND(MAX(C139:C144)/MIN(C139:C144)-1,3)</f>
        <v>7.2999999999999995E-2</v>
      </c>
      <c r="D145" s="1128"/>
      <c r="E145" s="1128"/>
      <c r="F145" s="2443" t="s">
        <v>2439</v>
      </c>
      <c r="G145" s="2444"/>
      <c r="H145" s="2445"/>
      <c r="I145" s="2446" t="s">
        <v>2436</v>
      </c>
      <c r="J145" s="1139">
        <v>8</v>
      </c>
      <c r="K145" s="1126">
        <f>ROUND(100+(J145-J140)*K139*100,1)</f>
        <v>99.2</v>
      </c>
    </row>
    <row r="147" spans="2:11">
      <c r="B147" s="2427" t="s">
        <v>2440</v>
      </c>
    </row>
    <row r="148" spans="2:11">
      <c r="B148" s="2427"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 sqref="E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t="s">
        <v>2839</v>
      </c>
      <c r="D1" s="2447"/>
      <c r="E1" s="2376" t="s">
        <v>1231</v>
      </c>
      <c r="F1" s="1736" t="s">
        <v>2331</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2001</v>
      </c>
      <c r="B2" s="1721" t="e">
        <f>IF(D2="——",IF(C2="元",ROUND(C49*D3,0),ROUND(C49*D3/10000,0)),IF(C2="元",ROUND(C49*D3,0),ROUND(C49*D3/10000,0))-E2)</f>
        <v>#DIV/0!</v>
      </c>
      <c r="C2" s="163" t="str">
        <f>'数据-取费表'!B3</f>
        <v>元</v>
      </c>
      <c r="D2" s="2378" t="s">
        <v>1247</v>
      </c>
      <c r="E2" s="2448" t="e">
        <f ca="1">SUMIF(INDIRECT("'"&amp;G2&amp;"'"&amp;"!A:A"),"承租人权益价值",INDIRECT("'"&amp;G2&amp;"'"&amp;"!c:c"))</f>
        <v>#REF!</v>
      </c>
      <c r="F2" s="2379" t="str">
        <f>C2</f>
        <v>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2002</v>
      </c>
      <c r="B3" s="593" t="e">
        <f>ROUND(IF(D2="——",C49,IF(C2="万元",B2*10000/D3,B2/D3)),0)</f>
        <v>#DIV/0!</v>
      </c>
      <c r="C3" s="379" t="s">
        <v>2332</v>
      </c>
      <c r="D3" s="378">
        <f>IF(C1="仅计算典型户型",'数据-取费表'!E5,'数据-取费表'!B5)</f>
        <v>3600.5</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95"/>
      <c r="Y4" s="3037" t="s">
        <v>2339</v>
      </c>
      <c r="Z4" s="3038"/>
      <c r="AA4" s="3045" t="s">
        <v>2335</v>
      </c>
      <c r="AB4" s="3058"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95"/>
      <c r="Y5" s="3039"/>
      <c r="Z5" s="3040"/>
      <c r="AA5" s="3046"/>
      <c r="AB5" s="3058"/>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95"/>
      <c r="Y6" s="3041"/>
      <c r="Z6" s="3042"/>
      <c r="AA6" s="3047"/>
      <c r="AB6" s="3058"/>
      <c r="AC6" s="3047"/>
    </row>
    <row r="7" spans="1:29" s="35" customFormat="1" ht="15.75" thickBot="1">
      <c r="A7" s="387" t="s">
        <v>2346</v>
      </c>
      <c r="B7" s="388"/>
      <c r="C7" s="389">
        <f>'数据-取费表'!B2</f>
        <v>43965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4" t="s">
        <v>2353</v>
      </c>
      <c r="Q9" s="1882" t="str">
        <f t="shared" ref="Q9:Q15" si="6">B9</f>
        <v>用途</v>
      </c>
      <c r="R9" s="749" t="s">
        <v>25</v>
      </c>
      <c r="S9" s="750">
        <f t="shared" si="0"/>
        <v>100</v>
      </c>
      <c r="T9" s="749" t="s">
        <v>25</v>
      </c>
      <c r="U9" s="750">
        <f t="shared" si="1"/>
        <v>100</v>
      </c>
      <c r="V9" s="749" t="s">
        <v>25</v>
      </c>
      <c r="W9" s="750">
        <f t="shared" si="2"/>
        <v>100</v>
      </c>
      <c r="X9" s="751"/>
      <c r="Y9" s="284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4"/>
      <c r="Q10" s="1882"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4"/>
      <c r="Q11" s="1882"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4"/>
      <c r="Q12" s="1882">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4"/>
      <c r="Q13" s="1882">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4"/>
      <c r="Q14" s="1882">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71.25">
      <c r="A15" s="419" t="s">
        <v>2357</v>
      </c>
      <c r="B15" s="26" t="s">
        <v>2443</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2" t="s">
        <v>2358</v>
      </c>
      <c r="Q15" s="1894" t="str">
        <f t="shared" si="6"/>
        <v>商业繁华度</v>
      </c>
      <c r="R15" s="753" t="s">
        <v>25</v>
      </c>
      <c r="S15" s="754">
        <f t="shared" si="0"/>
        <v>100</v>
      </c>
      <c r="T15" s="753" t="s">
        <v>25</v>
      </c>
      <c r="U15" s="754">
        <f t="shared" si="1"/>
        <v>100</v>
      </c>
      <c r="V15" s="753" t="s">
        <v>25</v>
      </c>
      <c r="W15" s="754">
        <f t="shared" si="2"/>
        <v>100</v>
      </c>
      <c r="X15" s="1895"/>
      <c r="Y15" s="3024" t="s">
        <v>2358</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3"/>
      <c r="Q16" s="1894"/>
      <c r="R16" s="753"/>
      <c r="S16" s="754"/>
      <c r="T16" s="753"/>
      <c r="U16" s="754"/>
      <c r="V16" s="753"/>
      <c r="W16" s="754"/>
      <c r="X16" s="1895"/>
      <c r="Y16" s="3025"/>
      <c r="Z16" s="1897"/>
      <c r="AA16" s="1898">
        <v>1</v>
      </c>
      <c r="AB16" s="1898">
        <v>1</v>
      </c>
      <c r="AC16" s="1898">
        <v>1</v>
      </c>
    </row>
    <row r="17" spans="1:29" ht="85.5">
      <c r="A17" s="408"/>
      <c r="B17" s="431" t="s">
        <v>1743</v>
      </c>
      <c r="C17" s="2400"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3"/>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23"/>
      <c r="Q18" s="1894"/>
      <c r="R18" s="753"/>
      <c r="S18" s="754"/>
      <c r="T18" s="753"/>
      <c r="U18" s="754"/>
      <c r="V18" s="753"/>
      <c r="W18" s="754"/>
      <c r="X18" s="1895"/>
      <c r="Y18" s="3025"/>
      <c r="Z18" s="1897"/>
      <c r="AA18" s="1898">
        <v>1</v>
      </c>
      <c r="AB18" s="1898">
        <v>1</v>
      </c>
      <c r="AC18" s="1898">
        <v>1</v>
      </c>
    </row>
    <row r="19" spans="1:29" ht="42.75">
      <c r="A19" s="408"/>
      <c r="B19" s="431" t="s">
        <v>2444</v>
      </c>
      <c r="C19" s="2400"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3"/>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23"/>
      <c r="Q20" s="1894"/>
      <c r="R20" s="753"/>
      <c r="S20" s="754"/>
      <c r="T20" s="753"/>
      <c r="U20" s="754"/>
      <c r="V20" s="753"/>
      <c r="W20" s="754"/>
      <c r="X20" s="1895"/>
      <c r="Y20" s="3025"/>
      <c r="Z20" s="1897"/>
      <c r="AA20" s="1898">
        <v>1</v>
      </c>
      <c r="AB20" s="1898">
        <v>1</v>
      </c>
      <c r="AC20" s="1898">
        <v>1</v>
      </c>
    </row>
    <row r="21" spans="1:29" ht="28.5">
      <c r="A21" s="408"/>
      <c r="B21" s="2402" t="s">
        <v>2445</v>
      </c>
      <c r="C21" s="2400"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3"/>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23"/>
      <c r="Q22" s="1894"/>
      <c r="R22" s="753"/>
      <c r="S22" s="754"/>
      <c r="T22" s="753"/>
      <c r="U22" s="754"/>
      <c r="V22" s="753"/>
      <c r="W22" s="754"/>
      <c r="X22" s="1895"/>
      <c r="Y22" s="3025"/>
      <c r="Z22" s="1897"/>
      <c r="AA22" s="1898">
        <v>1</v>
      </c>
      <c r="AB22" s="1898">
        <v>1</v>
      </c>
      <c r="AC22" s="1898">
        <v>1</v>
      </c>
    </row>
    <row r="23" spans="1:29" ht="57">
      <c r="A23" s="408"/>
      <c r="B23" s="431" t="s">
        <v>1748</v>
      </c>
      <c r="C23" s="245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3"/>
      <c r="Q23" s="1894" t="str">
        <f>B23</f>
        <v>自然及人文环境</v>
      </c>
      <c r="R23" s="753" t="s">
        <v>25</v>
      </c>
      <c r="S23" s="754">
        <f>F23</f>
        <v>100</v>
      </c>
      <c r="T23" s="753" t="s">
        <v>25</v>
      </c>
      <c r="U23" s="754">
        <f>H23</f>
        <v>100</v>
      </c>
      <c r="V23" s="753" t="s">
        <v>25</v>
      </c>
      <c r="W23" s="754">
        <f>J23</f>
        <v>100</v>
      </c>
      <c r="X23" s="1895"/>
      <c r="Y23" s="3025"/>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23"/>
      <c r="Q24" s="1894"/>
      <c r="R24" s="753"/>
      <c r="S24" s="754"/>
      <c r="T24" s="753"/>
      <c r="U24" s="754"/>
      <c r="V24" s="753"/>
      <c r="W24" s="754"/>
      <c r="X24" s="1895"/>
      <c r="Y24" s="3025"/>
      <c r="Z24" s="1897"/>
      <c r="AA24" s="1898">
        <v>1</v>
      </c>
      <c r="AB24" s="1898">
        <v>1</v>
      </c>
      <c r="AC24" s="1898">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3"/>
      <c r="Q25" s="1894" t="str">
        <f t="shared" ref="Q25:Q46" si="11">B25</f>
        <v>临街状况</v>
      </c>
      <c r="R25" s="753" t="s">
        <v>25</v>
      </c>
      <c r="S25" s="754">
        <f>F25</f>
        <v>100</v>
      </c>
      <c r="T25" s="753" t="s">
        <v>25</v>
      </c>
      <c r="U25" s="754">
        <f>H25</f>
        <v>100</v>
      </c>
      <c r="V25" s="753" t="s">
        <v>25</v>
      </c>
      <c r="W25" s="754">
        <f>J25</f>
        <v>100</v>
      </c>
      <c r="X25" s="1895"/>
      <c r="Y25" s="3025"/>
      <c r="Z25" s="1897" t="str">
        <f>Q25</f>
        <v>临街状况</v>
      </c>
      <c r="AA25" s="1898">
        <f t="shared" si="3"/>
        <v>1</v>
      </c>
      <c r="AB25" s="1898">
        <f t="shared" si="4"/>
        <v>1</v>
      </c>
      <c r="AC25" s="1898">
        <f t="shared" si="5"/>
        <v>1</v>
      </c>
    </row>
    <row r="26" spans="1:29" ht="15">
      <c r="A26" s="408"/>
      <c r="B26" s="2406"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3"/>
      <c r="Q26" s="1894" t="str">
        <f t="shared" si="11"/>
        <v>平面位置/可视性</v>
      </c>
      <c r="R26" s="753" t="s">
        <v>25</v>
      </c>
      <c r="S26" s="754">
        <f>F26</f>
        <v>100</v>
      </c>
      <c r="T26" s="753" t="s">
        <v>25</v>
      </c>
      <c r="U26" s="754">
        <f>H26</f>
        <v>100</v>
      </c>
      <c r="V26" s="753" t="s">
        <v>25</v>
      </c>
      <c r="W26" s="754">
        <f>J26</f>
        <v>100</v>
      </c>
      <c r="X26" s="1895"/>
      <c r="Y26" s="3025"/>
      <c r="Z26" s="1897" t="str">
        <f>Q26</f>
        <v>平面位置/可视性</v>
      </c>
      <c r="AA26" s="1898">
        <f t="shared" si="3"/>
        <v>1</v>
      </c>
      <c r="AB26" s="1898">
        <f t="shared" si="4"/>
        <v>1</v>
      </c>
      <c r="AC26" s="1898">
        <f t="shared" si="5"/>
        <v>1</v>
      </c>
    </row>
    <row r="27" spans="1:29" s="35" customFormat="1" ht="15">
      <c r="A27" s="411"/>
      <c r="B27" s="431" t="s">
        <v>2448</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23"/>
      <c r="Q27" s="1882" t="str">
        <f t="shared" si="11"/>
        <v>人流量</v>
      </c>
      <c r="R27" s="749" t="s">
        <v>25</v>
      </c>
      <c r="S27" s="750">
        <f>F27</f>
        <v>100</v>
      </c>
      <c r="T27" s="749" t="s">
        <v>25</v>
      </c>
      <c r="U27" s="750">
        <f>H27</f>
        <v>100</v>
      </c>
      <c r="V27" s="749" t="s">
        <v>25</v>
      </c>
      <c r="W27" s="750">
        <f>J27</f>
        <v>100</v>
      </c>
      <c r="X27" s="751"/>
      <c r="Y27" s="3025"/>
      <c r="Z27" s="23" t="str">
        <f>Q27</f>
        <v>人流量</v>
      </c>
      <c r="AA27" s="1898">
        <f>D27/F27</f>
        <v>1</v>
      </c>
      <c r="AB27" s="1898">
        <f>D27/H27</f>
        <v>1</v>
      </c>
      <c r="AC27" s="1898">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3"/>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5"/>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3"/>
      <c r="Q29" s="1894">
        <f t="shared" si="11"/>
        <v>111</v>
      </c>
      <c r="R29" s="753" t="s">
        <v>25</v>
      </c>
      <c r="S29" s="754">
        <f t="shared" si="12"/>
        <v>100</v>
      </c>
      <c r="T29" s="753" t="s">
        <v>25</v>
      </c>
      <c r="U29" s="754">
        <f t="shared" si="13"/>
        <v>100</v>
      </c>
      <c r="V29" s="753" t="s">
        <v>25</v>
      </c>
      <c r="W29" s="754">
        <f t="shared" si="14"/>
        <v>100</v>
      </c>
      <c r="X29" s="1895"/>
      <c r="Y29" s="3025"/>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3"/>
      <c r="Q30" s="1894">
        <f t="shared" si="11"/>
        <v>111</v>
      </c>
      <c r="R30" s="753" t="s">
        <v>25</v>
      </c>
      <c r="S30" s="754">
        <f t="shared" si="12"/>
        <v>100</v>
      </c>
      <c r="T30" s="753" t="s">
        <v>25</v>
      </c>
      <c r="U30" s="754">
        <f t="shared" si="13"/>
        <v>100</v>
      </c>
      <c r="V30" s="753" t="s">
        <v>25</v>
      </c>
      <c r="W30" s="754">
        <f t="shared" si="14"/>
        <v>100</v>
      </c>
      <c r="X30" s="1895"/>
      <c r="Y30" s="3025"/>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3"/>
      <c r="Q31" s="1894">
        <f t="shared" si="11"/>
        <v>111</v>
      </c>
      <c r="R31" s="753" t="s">
        <v>25</v>
      </c>
      <c r="S31" s="754">
        <f t="shared" si="12"/>
        <v>100</v>
      </c>
      <c r="T31" s="753" t="s">
        <v>25</v>
      </c>
      <c r="U31" s="754">
        <f t="shared" si="13"/>
        <v>100</v>
      </c>
      <c r="V31" s="753" t="s">
        <v>25</v>
      </c>
      <c r="W31" s="754">
        <f t="shared" si="14"/>
        <v>100</v>
      </c>
      <c r="X31" s="1895"/>
      <c r="Y31" s="3025"/>
      <c r="Z31" s="1897">
        <f t="shared" si="15"/>
        <v>111</v>
      </c>
      <c r="AA31" s="1898">
        <f t="shared" si="3"/>
        <v>1</v>
      </c>
      <c r="AB31" s="1898">
        <f t="shared" si="4"/>
        <v>1</v>
      </c>
      <c r="AC31" s="1898">
        <f t="shared" si="5"/>
        <v>1</v>
      </c>
    </row>
    <row r="32" spans="1:29" ht="15">
      <c r="A32" s="419" t="s">
        <v>2362</v>
      </c>
      <c r="B32" s="28" t="s">
        <v>2450</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26" t="s">
        <v>2364</v>
      </c>
      <c r="Q32" s="1894" t="str">
        <f t="shared" si="11"/>
        <v>商业类型</v>
      </c>
      <c r="R32" s="753" t="s">
        <v>25</v>
      </c>
      <c r="S32" s="754">
        <f t="shared" si="12"/>
        <v>100</v>
      </c>
      <c r="T32" s="753" t="s">
        <v>25</v>
      </c>
      <c r="U32" s="754">
        <f t="shared" si="13"/>
        <v>100</v>
      </c>
      <c r="V32" s="753" t="s">
        <v>25</v>
      </c>
      <c r="W32" s="754">
        <f t="shared" si="14"/>
        <v>100</v>
      </c>
      <c r="X32" s="1895"/>
      <c r="Y32" s="3029" t="s">
        <v>2364</v>
      </c>
      <c r="Z32" s="1897" t="str">
        <f t="shared" si="15"/>
        <v>商业类型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898" t="e">
        <f t="shared" si="3"/>
        <v>#N/A</v>
      </c>
      <c r="AB33" s="1898" t="e">
        <f t="shared" si="4"/>
        <v>#N/A</v>
      </c>
      <c r="AC33" s="1898" t="e">
        <f t="shared" si="5"/>
        <v>#N/A</v>
      </c>
    </row>
    <row r="34" spans="1:29" ht="15">
      <c r="A34" s="453"/>
      <c r="B34" s="402" t="s">
        <v>2366</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27"/>
      <c r="Q34" s="1894" t="str">
        <f t="shared" si="11"/>
        <v>建筑结构</v>
      </c>
      <c r="R34" s="753" t="s">
        <v>25</v>
      </c>
      <c r="S34" s="754">
        <f t="shared" si="12"/>
        <v>100</v>
      </c>
      <c r="T34" s="753" t="s">
        <v>25</v>
      </c>
      <c r="U34" s="754">
        <f t="shared" si="13"/>
        <v>100</v>
      </c>
      <c r="V34" s="753" t="s">
        <v>25</v>
      </c>
      <c r="W34" s="754">
        <f t="shared" si="14"/>
        <v>100</v>
      </c>
      <c r="X34" s="1895"/>
      <c r="Y34" s="3029"/>
      <c r="Z34" s="1897" t="str">
        <f t="shared" si="15"/>
        <v>建筑结构</v>
      </c>
      <c r="AA34" s="1898">
        <f t="shared" si="3"/>
        <v>1</v>
      </c>
      <c r="AB34" s="1898">
        <f t="shared" si="4"/>
        <v>1</v>
      </c>
      <c r="AC34" s="1898">
        <f t="shared" si="5"/>
        <v>1</v>
      </c>
    </row>
    <row r="35" spans="1:29" ht="15">
      <c r="A35" s="453"/>
      <c r="B35" s="402" t="s">
        <v>2451</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27"/>
      <c r="Q35" s="1894" t="str">
        <f t="shared" si="11"/>
        <v>公共部分装修</v>
      </c>
      <c r="R35" s="753" t="s">
        <v>25</v>
      </c>
      <c r="S35" s="754">
        <f t="shared" si="12"/>
        <v>100</v>
      </c>
      <c r="T35" s="753" t="s">
        <v>25</v>
      </c>
      <c r="U35" s="754">
        <f t="shared" si="13"/>
        <v>100</v>
      </c>
      <c r="V35" s="753" t="s">
        <v>25</v>
      </c>
      <c r="W35" s="754">
        <f t="shared" si="14"/>
        <v>100</v>
      </c>
      <c r="X35" s="1895"/>
      <c r="Y35" s="3029"/>
      <c r="Z35" s="1897" t="str">
        <f t="shared" si="15"/>
        <v>公共部分装修</v>
      </c>
      <c r="AA35" s="1898">
        <f t="shared" si="3"/>
        <v>1</v>
      </c>
      <c r="AB35" s="1898">
        <f t="shared" si="4"/>
        <v>1</v>
      </c>
      <c r="AC35" s="1898">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7"/>
      <c r="Q36" s="1894" t="str">
        <f t="shared" si="11"/>
        <v>成新度</v>
      </c>
      <c r="R36" s="753" t="s">
        <v>25</v>
      </c>
      <c r="S36" s="754" t="e">
        <f t="shared" si="12"/>
        <v>#N/A</v>
      </c>
      <c r="T36" s="753" t="s">
        <v>25</v>
      </c>
      <c r="U36" s="754" t="e">
        <f t="shared" si="13"/>
        <v>#N/A</v>
      </c>
      <c r="V36" s="753" t="s">
        <v>25</v>
      </c>
      <c r="W36" s="754" t="e">
        <f t="shared" si="14"/>
        <v>#N/A</v>
      </c>
      <c r="X36" s="1895"/>
      <c r="Y36" s="3029"/>
      <c r="Z36" s="1897" t="str">
        <f t="shared" si="15"/>
        <v>成新度</v>
      </c>
      <c r="AA36" s="1898" t="e">
        <f t="shared" si="3"/>
        <v>#N/A</v>
      </c>
      <c r="AB36" s="1898" t="e">
        <f t="shared" si="4"/>
        <v>#N/A</v>
      </c>
      <c r="AC36" s="1898" t="e">
        <f t="shared" si="5"/>
        <v>#N/A</v>
      </c>
    </row>
    <row r="37" spans="1:29" s="35" customFormat="1" ht="15">
      <c r="A37" s="454"/>
      <c r="B37" s="402" t="s">
        <v>2453</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27"/>
      <c r="Q37" s="1882"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2454</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27" t="s">
        <v>2364</v>
      </c>
      <c r="Q38" s="1894" t="str">
        <f t="shared" si="11"/>
        <v>业态</v>
      </c>
      <c r="R38" s="753" t="s">
        <v>25</v>
      </c>
      <c r="S38" s="754">
        <f t="shared" si="12"/>
        <v>100</v>
      </c>
      <c r="T38" s="753" t="s">
        <v>25</v>
      </c>
      <c r="U38" s="754">
        <f t="shared" si="13"/>
        <v>100</v>
      </c>
      <c r="V38" s="753" t="s">
        <v>25</v>
      </c>
      <c r="W38" s="754">
        <f t="shared" si="14"/>
        <v>100</v>
      </c>
      <c r="X38" s="1895"/>
      <c r="Y38" s="3029" t="s">
        <v>2364</v>
      </c>
      <c r="Z38" s="1897" t="str">
        <f t="shared" si="15"/>
        <v>业态</v>
      </c>
      <c r="AA38" s="1898">
        <f t="shared" si="3"/>
        <v>1</v>
      </c>
      <c r="AB38" s="1898">
        <f t="shared" si="4"/>
        <v>1</v>
      </c>
      <c r="AC38" s="1898">
        <f t="shared" si="5"/>
        <v>1</v>
      </c>
    </row>
    <row r="39" spans="1:29" ht="15">
      <c r="A39" s="453"/>
      <c r="B39" s="402" t="s">
        <v>2455</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27"/>
      <c r="Q39" s="1894" t="str">
        <f t="shared" si="11"/>
        <v>层高</v>
      </c>
      <c r="R39" s="753" t="s">
        <v>25</v>
      </c>
      <c r="S39" s="754">
        <f t="shared" si="12"/>
        <v>100</v>
      </c>
      <c r="T39" s="753" t="s">
        <v>25</v>
      </c>
      <c r="U39" s="754">
        <f t="shared" si="13"/>
        <v>100</v>
      </c>
      <c r="V39" s="753" t="s">
        <v>25</v>
      </c>
      <c r="W39" s="754">
        <f t="shared" si="14"/>
        <v>100</v>
      </c>
      <c r="X39" s="1895"/>
      <c r="Y39" s="3029"/>
      <c r="Z39" s="1897" t="str">
        <f t="shared" si="15"/>
        <v>层高</v>
      </c>
      <c r="AA39" s="1898">
        <f t="shared" si="3"/>
        <v>1</v>
      </c>
      <c r="AB39" s="1898">
        <f t="shared" si="4"/>
        <v>1</v>
      </c>
      <c r="AC39" s="1898">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7"/>
      <c r="Q40" s="1894" t="str">
        <f t="shared" si="11"/>
        <v>单套建筑面积</v>
      </c>
      <c r="R40" s="753" t="s">
        <v>25</v>
      </c>
      <c r="S40" s="754">
        <f t="shared" si="12"/>
        <v>100</v>
      </c>
      <c r="T40" s="753" t="s">
        <v>25</v>
      </c>
      <c r="U40" s="754">
        <f t="shared" si="13"/>
        <v>100</v>
      </c>
      <c r="V40" s="753" t="s">
        <v>25</v>
      </c>
      <c r="W40" s="754">
        <f t="shared" si="14"/>
        <v>100</v>
      </c>
      <c r="X40" s="1895"/>
      <c r="Y40" s="3029"/>
      <c r="Z40" s="1897" t="str">
        <f t="shared" si="15"/>
        <v>单套建筑面积</v>
      </c>
      <c r="AA40" s="1898">
        <f t="shared" si="3"/>
        <v>1</v>
      </c>
      <c r="AB40" s="1898">
        <f t="shared" si="4"/>
        <v>1</v>
      </c>
      <c r="AC40" s="1898">
        <f t="shared" si="5"/>
        <v>1</v>
      </c>
    </row>
    <row r="41" spans="1:29" s="452" customFormat="1" ht="15">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898">
        <f t="shared" si="3"/>
        <v>1</v>
      </c>
      <c r="AB41" s="1898">
        <f t="shared" si="4"/>
        <v>1</v>
      </c>
      <c r="AC41" s="1898">
        <f t="shared" si="5"/>
        <v>1</v>
      </c>
    </row>
    <row r="42" spans="1:29" ht="15">
      <c r="A42" s="453"/>
      <c r="B42" s="402" t="s">
        <v>2458</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27"/>
      <c r="Q42" s="1894" t="str">
        <f t="shared" si="11"/>
        <v>内部装修</v>
      </c>
      <c r="R42" s="753" t="s">
        <v>25</v>
      </c>
      <c r="S42" s="754">
        <f t="shared" si="12"/>
        <v>100</v>
      </c>
      <c r="T42" s="753" t="s">
        <v>25</v>
      </c>
      <c r="U42" s="754">
        <f t="shared" si="13"/>
        <v>100</v>
      </c>
      <c r="V42" s="753" t="s">
        <v>25</v>
      </c>
      <c r="W42" s="754">
        <f t="shared" si="14"/>
        <v>100</v>
      </c>
      <c r="X42" s="1895"/>
      <c r="Y42" s="3029"/>
      <c r="Z42" s="1897" t="str">
        <f t="shared" si="15"/>
        <v>内部装修</v>
      </c>
      <c r="AA42" s="1898">
        <f t="shared" si="3"/>
        <v>1</v>
      </c>
      <c r="AB42" s="1898">
        <f t="shared" si="4"/>
        <v>1</v>
      </c>
      <c r="AC42" s="1898">
        <f t="shared" si="5"/>
        <v>1</v>
      </c>
    </row>
    <row r="43" spans="1:29" ht="15">
      <c r="A43" s="453"/>
      <c r="B43" s="402" t="s">
        <v>2375</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27"/>
      <c r="Q43" s="1894" t="str">
        <f t="shared" si="11"/>
        <v>内部装修维护情况</v>
      </c>
      <c r="R43" s="753" t="s">
        <v>25</v>
      </c>
      <c r="S43" s="754">
        <f t="shared" si="12"/>
        <v>100</v>
      </c>
      <c r="T43" s="753" t="s">
        <v>25</v>
      </c>
      <c r="U43" s="754">
        <f t="shared" si="13"/>
        <v>100</v>
      </c>
      <c r="V43" s="753" t="s">
        <v>25</v>
      </c>
      <c r="W43" s="754">
        <f t="shared" si="14"/>
        <v>100</v>
      </c>
      <c r="X43" s="1895"/>
      <c r="Y43" s="3029"/>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7"/>
      <c r="Q44" s="1882">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7"/>
      <c r="Q45" s="1894">
        <f t="shared" si="11"/>
        <v>111</v>
      </c>
      <c r="R45" s="753" t="s">
        <v>25</v>
      </c>
      <c r="S45" s="754">
        <f t="shared" si="12"/>
        <v>100</v>
      </c>
      <c r="T45" s="753" t="s">
        <v>25</v>
      </c>
      <c r="U45" s="754">
        <f t="shared" si="13"/>
        <v>100</v>
      </c>
      <c r="V45" s="753" t="s">
        <v>25</v>
      </c>
      <c r="W45" s="754">
        <f t="shared" si="14"/>
        <v>100</v>
      </c>
      <c r="X45" s="1895"/>
      <c r="Y45" s="3029"/>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8"/>
      <c r="Q46" s="1894">
        <f t="shared" si="11"/>
        <v>111</v>
      </c>
      <c r="R46" s="753" t="s">
        <v>25</v>
      </c>
      <c r="S46" s="754">
        <f t="shared" si="12"/>
        <v>100</v>
      </c>
      <c r="T46" s="753" t="s">
        <v>25</v>
      </c>
      <c r="U46" s="754">
        <f t="shared" si="13"/>
        <v>100</v>
      </c>
      <c r="V46" s="753" t="s">
        <v>25</v>
      </c>
      <c r="W46" s="754">
        <f t="shared" si="14"/>
        <v>100</v>
      </c>
      <c r="X46" s="1895"/>
      <c r="Y46" s="3030"/>
      <c r="Z46" s="1897">
        <f t="shared" si="15"/>
        <v>111</v>
      </c>
      <c r="AA46" s="1898">
        <f t="shared" si="3"/>
        <v>1</v>
      </c>
      <c r="AB46" s="1898">
        <f t="shared" si="4"/>
        <v>1</v>
      </c>
      <c r="AC46" s="1898">
        <f t="shared" si="5"/>
        <v>1</v>
      </c>
    </row>
    <row r="47" spans="1:29" ht="15">
      <c r="A47" s="460" t="s">
        <v>2376</v>
      </c>
      <c r="B47" s="461"/>
      <c r="C47" s="1498" t="s">
        <v>1</v>
      </c>
      <c r="D47" s="1499"/>
      <c r="E47" s="1500"/>
      <c r="F47" s="1501"/>
      <c r="G47" s="1502"/>
      <c r="H47" s="1503"/>
      <c r="I47" s="1500"/>
      <c r="J47" s="1503"/>
      <c r="K47" s="762"/>
      <c r="L47" s="1252"/>
      <c r="M47" s="1253"/>
      <c r="N47" s="1240"/>
      <c r="O47" s="1253"/>
      <c r="P47" s="3021" t="str">
        <f>A47</f>
        <v>成交单价（元/平方米）</v>
      </c>
      <c r="Q47" s="3021"/>
      <c r="R47" s="3017">
        <f>E47</f>
        <v>0</v>
      </c>
      <c r="S47" s="3017"/>
      <c r="T47" s="3017">
        <f>G47</f>
        <v>0</v>
      </c>
      <c r="U47" s="3017"/>
      <c r="V47" s="3017">
        <f>I47</f>
        <v>0</v>
      </c>
      <c r="W47" s="3017"/>
      <c r="X47" s="738"/>
      <c r="Y47" s="760"/>
      <c r="Z47" s="738"/>
      <c r="AA47" s="738"/>
      <c r="AB47" s="738"/>
      <c r="AC47" s="738"/>
    </row>
    <row r="48" spans="1:29" ht="15.75" thickBot="1">
      <c r="A48" s="467" t="s">
        <v>2459</v>
      </c>
      <c r="B48" s="468"/>
      <c r="C48" s="1504" t="e">
        <f>R49</f>
        <v>#DIV/0!</v>
      </c>
      <c r="D48" s="1505"/>
      <c r="E48" s="1506" t="e">
        <f>R48</f>
        <v>#DIV/0!</v>
      </c>
      <c r="F48" s="1506"/>
      <c r="G48" s="1504" t="e">
        <f>T48</f>
        <v>#DIV/0!</v>
      </c>
      <c r="H48" s="1505"/>
      <c r="I48" s="1506" t="e">
        <f>V48</f>
        <v>#DIV/0!</v>
      </c>
      <c r="J48" s="1505"/>
      <c r="K48" s="763"/>
      <c r="L48" s="1252"/>
      <c r="M48" s="1253"/>
      <c r="N48" s="1240"/>
      <c r="O48" s="1253"/>
      <c r="P48" s="3021" t="str">
        <f>A48</f>
        <v>比较价值（元/平方米）</v>
      </c>
      <c r="Q48" s="3021"/>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738"/>
      <c r="Y48" s="738"/>
      <c r="Z48" s="738"/>
      <c r="AA48" s="738"/>
      <c r="AB48" s="738"/>
      <c r="AC48" s="738"/>
    </row>
    <row r="49" spans="1:29" ht="15.75" thickBot="1">
      <c r="A49" s="473" t="s">
        <v>2460</v>
      </c>
      <c r="B49" s="474"/>
      <c r="C49" s="1508" t="e">
        <f>R49</f>
        <v>#DIV/0!</v>
      </c>
      <c r="D49" s="1508"/>
      <c r="E49" s="1508"/>
      <c r="F49" s="1508"/>
      <c r="G49" s="1508"/>
      <c r="H49" s="1508"/>
      <c r="I49" s="1508"/>
      <c r="J49" s="1508"/>
      <c r="K49" s="764"/>
      <c r="L49" s="1252"/>
      <c r="M49" s="1253"/>
      <c r="N49" s="1240"/>
      <c r="O49" s="1253"/>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2020-5</v>
      </c>
      <c r="D58" s="1675">
        <f>EDATE(C58,-1)</f>
        <v>43922</v>
      </c>
      <c r="E58" s="1675">
        <f t="shared" ref="E58:O58" si="16">EDATE(D58,-1)</f>
        <v>43891</v>
      </c>
      <c r="F58" s="1675">
        <f t="shared" si="16"/>
        <v>43862</v>
      </c>
      <c r="G58" s="1675">
        <f t="shared" si="16"/>
        <v>43831</v>
      </c>
      <c r="H58" s="1675">
        <f t="shared" si="16"/>
        <v>43800</v>
      </c>
      <c r="I58" s="1675">
        <f t="shared" si="16"/>
        <v>43770</v>
      </c>
      <c r="J58" s="1675">
        <f t="shared" si="16"/>
        <v>43739</v>
      </c>
      <c r="K58" s="1675">
        <f t="shared" si="16"/>
        <v>43709</v>
      </c>
      <c r="L58" s="1675">
        <f t="shared" si="16"/>
        <v>43678</v>
      </c>
      <c r="M58" s="1675">
        <f t="shared" si="16"/>
        <v>43647</v>
      </c>
      <c r="N58" s="1675">
        <f t="shared" si="16"/>
        <v>43617</v>
      </c>
      <c r="O58" s="1675">
        <f t="shared" si="16"/>
        <v>43586</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2384</v>
      </c>
      <c r="B60" s="497"/>
      <c r="C60" s="498"/>
      <c r="D60" s="499"/>
      <c r="E60" s="499"/>
      <c r="F60" s="499"/>
      <c r="G60" s="499"/>
      <c r="H60" s="499"/>
      <c r="I60" s="499"/>
      <c r="J60" s="499"/>
      <c r="K60" s="499"/>
      <c r="L60" s="499"/>
      <c r="M60" s="500"/>
      <c r="N60" s="499"/>
      <c r="O60" s="500"/>
      <c r="P60" s="2418"/>
      <c r="Q60" s="485"/>
    </row>
    <row r="61" spans="1:29" s="35" customFormat="1" ht="15">
      <c r="A61" s="502" t="s">
        <v>2348</v>
      </c>
      <c r="B61" s="491"/>
      <c r="C61" s="503" t="s">
        <v>2349</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2387</v>
      </c>
      <c r="B63" s="509" t="s">
        <v>2352</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2465</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2362</v>
      </c>
      <c r="B100" s="509" t="s">
        <v>2466</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2413</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2415</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2418</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2467</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2468</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2469</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2420</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c r="D1" s="1735"/>
      <c r="E1" s="2376"/>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2001</v>
      </c>
      <c r="B2" s="1721" t="e">
        <f ca="1">IF(D2="——",IF(C2="元",ROUND(C50*D3,0),ROUND(C50*D3/10000,0)),IF(C2="元",ROUND(C50*D3,0),ROUND(C50*D3/10000,0))-E2)</f>
        <v>#DIV/0!</v>
      </c>
      <c r="C2" s="163" t="str">
        <f>'数据-取费表'!B3</f>
        <v>元</v>
      </c>
      <c r="D2" s="2378"/>
      <c r="E2" s="1838"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2002</v>
      </c>
      <c r="B3" s="593" t="e">
        <f ca="1">ROUND(IF(D2="——",C50,IF(C2="万元",B2*10000/D3,B2/D3)),0)</f>
        <v>#DIV/0!</v>
      </c>
      <c r="C3" s="379" t="s">
        <v>2332</v>
      </c>
      <c r="D3" s="378">
        <f>IF(C1="仅计算典型户型",'数据-取费表'!E5,'数据-取费表'!B5)</f>
        <v>3600.5</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67" t="s">
        <v>2339</v>
      </c>
      <c r="Q4" s="3053"/>
      <c r="R4" s="3037" t="s">
        <v>2335</v>
      </c>
      <c r="S4" s="3038"/>
      <c r="T4" s="3037" t="s">
        <v>2336</v>
      </c>
      <c r="U4" s="3038"/>
      <c r="V4" s="3058" t="s">
        <v>2337</v>
      </c>
      <c r="W4" s="3058"/>
      <c r="X4" s="1895"/>
      <c r="Y4" s="3037" t="s">
        <v>2339</v>
      </c>
      <c r="Z4" s="3038"/>
      <c r="AA4" s="3045" t="s">
        <v>2335</v>
      </c>
      <c r="AB4" s="3045"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68"/>
      <c r="Q5" s="3055"/>
      <c r="R5" s="3039"/>
      <c r="S5" s="3040"/>
      <c r="T5" s="3039"/>
      <c r="U5" s="3040"/>
      <c r="V5" s="3058"/>
      <c r="W5" s="3058"/>
      <c r="X5" s="1895"/>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69"/>
      <c r="Q6" s="3057"/>
      <c r="R6" s="3039"/>
      <c r="S6" s="3040"/>
      <c r="T6" s="3041"/>
      <c r="U6" s="3042"/>
      <c r="V6" s="3058"/>
      <c r="W6" s="3058"/>
      <c r="X6" s="1895"/>
      <c r="Y6" s="3041"/>
      <c r="Z6" s="3042"/>
      <c r="AA6" s="3047"/>
      <c r="AB6" s="3047"/>
      <c r="AC6" s="3047"/>
    </row>
    <row r="7" spans="1:29" s="35" customFormat="1" ht="15.75" thickBot="1">
      <c r="A7" s="387" t="s">
        <v>2346</v>
      </c>
      <c r="B7" s="388"/>
      <c r="C7" s="389">
        <f>'数据-取费表'!B2</f>
        <v>43965</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43"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3" t="s">
        <v>2350</v>
      </c>
      <c r="Q8" s="3036"/>
      <c r="R8" s="749" t="s">
        <v>25</v>
      </c>
      <c r="S8" s="750">
        <f t="shared" si="0"/>
        <v>0</v>
      </c>
      <c r="T8" s="749" t="s">
        <v>25</v>
      </c>
      <c r="U8" s="750">
        <f t="shared" si="1"/>
        <v>0</v>
      </c>
      <c r="V8" s="749" t="s">
        <v>25</v>
      </c>
      <c r="W8" s="750">
        <f t="shared" si="2"/>
        <v>0</v>
      </c>
      <c r="X8" s="751"/>
      <c r="Y8" s="3035" t="s">
        <v>2350</v>
      </c>
      <c r="Z8" s="3036"/>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19" t="s">
        <v>2353</v>
      </c>
      <c r="Q9" s="1882" t="str">
        <f t="shared" ref="Q9:Q15" si="6">B9</f>
        <v>用途</v>
      </c>
      <c r="R9" s="749" t="s">
        <v>25</v>
      </c>
      <c r="S9" s="750">
        <f t="shared" si="0"/>
        <v>100</v>
      </c>
      <c r="T9" s="749" t="s">
        <v>25</v>
      </c>
      <c r="U9" s="750">
        <f t="shared" si="1"/>
        <v>100</v>
      </c>
      <c r="V9" s="749" t="s">
        <v>25</v>
      </c>
      <c r="W9" s="750">
        <f t="shared" si="2"/>
        <v>100</v>
      </c>
      <c r="X9" s="751"/>
      <c r="Y9" s="284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19"/>
      <c r="Q10" s="1882"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19"/>
      <c r="Q11" s="1882"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9"/>
      <c r="Q12" s="1882">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9"/>
      <c r="Q13" s="1882">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9"/>
      <c r="Q14" s="1882">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71.25">
      <c r="A15" s="419" t="s">
        <v>2357</v>
      </c>
      <c r="B15" s="613" t="s">
        <v>2472</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3" t="s">
        <v>2358</v>
      </c>
      <c r="Q15" s="1894" t="str">
        <f t="shared" si="6"/>
        <v>办公集聚程度</v>
      </c>
      <c r="R15" s="753" t="s">
        <v>25</v>
      </c>
      <c r="S15" s="754">
        <f t="shared" si="0"/>
        <v>100</v>
      </c>
      <c r="T15" s="753" t="s">
        <v>25</v>
      </c>
      <c r="U15" s="754">
        <f t="shared" si="1"/>
        <v>100</v>
      </c>
      <c r="V15" s="753" t="s">
        <v>25</v>
      </c>
      <c r="W15" s="754">
        <f t="shared" si="2"/>
        <v>100</v>
      </c>
      <c r="X15" s="1895"/>
      <c r="Y15" s="3024"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5"/>
      <c r="Q16" s="1894"/>
      <c r="R16" s="753"/>
      <c r="S16" s="754"/>
      <c r="T16" s="753"/>
      <c r="U16" s="754"/>
      <c r="V16" s="753"/>
      <c r="W16" s="754"/>
      <c r="X16" s="1895"/>
      <c r="Y16" s="3025"/>
      <c r="Z16" s="1897"/>
      <c r="AA16" s="1898">
        <v>1</v>
      </c>
      <c r="AB16" s="1898">
        <v>1</v>
      </c>
      <c r="AC16" s="1898">
        <v>1</v>
      </c>
    </row>
    <row r="17" spans="1:29" ht="85.5">
      <c r="A17" s="408"/>
      <c r="B17" s="615" t="s">
        <v>1743</v>
      </c>
      <c r="C17" s="2462"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55"/>
      <c r="Q18" s="1894"/>
      <c r="R18" s="753"/>
      <c r="S18" s="754"/>
      <c r="T18" s="753"/>
      <c r="U18" s="754"/>
      <c r="V18" s="753"/>
      <c r="W18" s="754"/>
      <c r="X18" s="1895"/>
      <c r="Y18" s="3025"/>
      <c r="Z18" s="1897"/>
      <c r="AA18" s="1898">
        <v>1</v>
      </c>
      <c r="AB18" s="1898">
        <v>1</v>
      </c>
      <c r="AC18" s="1898">
        <v>1</v>
      </c>
    </row>
    <row r="19" spans="1:29" ht="42.75">
      <c r="A19" s="408"/>
      <c r="B19" s="615" t="s">
        <v>2473</v>
      </c>
      <c r="C19" s="2462"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5"/>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55"/>
      <c r="Q20" s="1894"/>
      <c r="R20" s="753"/>
      <c r="S20" s="754"/>
      <c r="T20" s="753"/>
      <c r="U20" s="754"/>
      <c r="V20" s="753"/>
      <c r="W20" s="754"/>
      <c r="X20" s="1895"/>
      <c r="Y20" s="3025"/>
      <c r="Z20" s="1897"/>
      <c r="AA20" s="1898">
        <v>1</v>
      </c>
      <c r="AB20" s="1898">
        <v>1</v>
      </c>
      <c r="AC20" s="1898">
        <v>1</v>
      </c>
    </row>
    <row r="21" spans="1:29" ht="28.5">
      <c r="A21" s="408"/>
      <c r="B21" s="617" t="s">
        <v>2474</v>
      </c>
      <c r="C21" s="2462"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5"/>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55"/>
      <c r="Q22" s="1894"/>
      <c r="R22" s="753"/>
      <c r="S22" s="754"/>
      <c r="T22" s="753"/>
      <c r="U22" s="754"/>
      <c r="V22" s="753"/>
      <c r="W22" s="754"/>
      <c r="X22" s="1895"/>
      <c r="Y22" s="3025"/>
      <c r="Z22" s="1897"/>
      <c r="AA22" s="1898">
        <v>1</v>
      </c>
      <c r="AB22" s="1898">
        <v>1</v>
      </c>
      <c r="AC22" s="1898">
        <v>1</v>
      </c>
    </row>
    <row r="23" spans="1:29" ht="57">
      <c r="A23" s="408"/>
      <c r="B23" s="615" t="s">
        <v>2475</v>
      </c>
      <c r="C23" s="2462"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5"/>
      <c r="Q23" s="1894" t="str">
        <f>B23</f>
        <v>环境质量</v>
      </c>
      <c r="R23" s="753" t="s">
        <v>25</v>
      </c>
      <c r="S23" s="754">
        <f>F23</f>
        <v>100</v>
      </c>
      <c r="T23" s="753" t="s">
        <v>25</v>
      </c>
      <c r="U23" s="754">
        <f>H23</f>
        <v>100</v>
      </c>
      <c r="V23" s="753" t="s">
        <v>25</v>
      </c>
      <c r="W23" s="754">
        <f>J23</f>
        <v>100</v>
      </c>
      <c r="X23" s="1895"/>
      <c r="Y23" s="3025"/>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55"/>
      <c r="Q24" s="1894"/>
      <c r="R24" s="753"/>
      <c r="S24" s="754"/>
      <c r="T24" s="753"/>
      <c r="U24" s="754"/>
      <c r="V24" s="753"/>
      <c r="W24" s="754"/>
      <c r="X24" s="1895"/>
      <c r="Y24" s="3025"/>
      <c r="Z24" s="1897"/>
      <c r="AA24" s="1898">
        <v>1</v>
      </c>
      <c r="AB24" s="1898">
        <v>1</v>
      </c>
      <c r="AC24" s="1898">
        <v>1</v>
      </c>
    </row>
    <row r="25" spans="1:29" ht="27">
      <c r="A25" s="383"/>
      <c r="B25" s="615" t="s">
        <v>2476</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55"/>
      <c r="Q25" s="1894" t="str">
        <f>B25</f>
        <v>毗邻道路的类型与等级</v>
      </c>
      <c r="R25" s="753" t="s">
        <v>25</v>
      </c>
      <c r="S25" s="754">
        <f>F25</f>
        <v>100</v>
      </c>
      <c r="T25" s="753" t="s">
        <v>25</v>
      </c>
      <c r="U25" s="754">
        <f>H25</f>
        <v>100</v>
      </c>
      <c r="V25" s="753" t="s">
        <v>25</v>
      </c>
      <c r="W25" s="754">
        <f>J25</f>
        <v>100</v>
      </c>
      <c r="X25" s="1895"/>
      <c r="Y25" s="302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5"/>
      <c r="Q26" s="1894"/>
      <c r="R26" s="753"/>
      <c r="S26" s="754"/>
      <c r="T26" s="753"/>
      <c r="U26" s="754"/>
      <c r="V26" s="753"/>
      <c r="W26" s="754"/>
      <c r="X26" s="1895"/>
      <c r="Y26" s="3025"/>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5"/>
      <c r="Q27" s="1894" t="str">
        <f t="shared" ref="Q27:Q47" si="11">B27</f>
        <v>楼层</v>
      </c>
      <c r="R27" s="753" t="s">
        <v>25</v>
      </c>
      <c r="S27" s="754">
        <f>F27</f>
        <v>100</v>
      </c>
      <c r="T27" s="753" t="s">
        <v>25</v>
      </c>
      <c r="U27" s="754">
        <f>H27</f>
        <v>100</v>
      </c>
      <c r="V27" s="753" t="s">
        <v>25</v>
      </c>
      <c r="W27" s="754">
        <f>J27</f>
        <v>100</v>
      </c>
      <c r="X27" s="1895"/>
      <c r="Y27" s="3025"/>
      <c r="Z27" s="1897" t="str">
        <f>Q27</f>
        <v>楼层</v>
      </c>
      <c r="AA27" s="1898">
        <f t="shared" si="3"/>
        <v>1</v>
      </c>
      <c r="AB27" s="1898">
        <f t="shared" si="4"/>
        <v>1</v>
      </c>
      <c r="AC27" s="1898">
        <f t="shared" si="5"/>
        <v>1</v>
      </c>
    </row>
    <row r="28" spans="1:29" s="35" customFormat="1" ht="15">
      <c r="A28" s="411"/>
      <c r="B28" s="615" t="s">
        <v>2477</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55"/>
      <c r="Q28" s="1882" t="str">
        <f t="shared" si="11"/>
        <v>朝向</v>
      </c>
      <c r="R28" s="749" t="s">
        <v>25</v>
      </c>
      <c r="S28" s="750">
        <f>F28</f>
        <v>100</v>
      </c>
      <c r="T28" s="749" t="s">
        <v>25</v>
      </c>
      <c r="U28" s="750">
        <f>H28</f>
        <v>100</v>
      </c>
      <c r="V28" s="749" t="s">
        <v>25</v>
      </c>
      <c r="W28" s="750">
        <f>J28</f>
        <v>100</v>
      </c>
      <c r="X28" s="751"/>
      <c r="Y28" s="3025"/>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5"/>
      <c r="Q29" s="1894">
        <f t="shared" si="11"/>
        <v>111</v>
      </c>
      <c r="R29" s="753" t="s">
        <v>25</v>
      </c>
      <c r="S29" s="754">
        <f t="shared" ref="S29:S47" si="12">F29</f>
        <v>100</v>
      </c>
      <c r="T29" s="753" t="s">
        <v>25</v>
      </c>
      <c r="U29" s="754">
        <f t="shared" ref="U29:U47" si="13">H29</f>
        <v>100</v>
      </c>
      <c r="V29" s="753" t="s">
        <v>25</v>
      </c>
      <c r="W29" s="754">
        <f t="shared" ref="W29:W47" si="14">J29</f>
        <v>100</v>
      </c>
      <c r="X29" s="1895"/>
      <c r="Y29" s="3025"/>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5"/>
      <c r="Q30" s="1894">
        <f t="shared" si="11"/>
        <v>111</v>
      </c>
      <c r="R30" s="753" t="s">
        <v>25</v>
      </c>
      <c r="S30" s="754">
        <f t="shared" si="12"/>
        <v>100</v>
      </c>
      <c r="T30" s="753" t="s">
        <v>25</v>
      </c>
      <c r="U30" s="754">
        <f t="shared" si="13"/>
        <v>100</v>
      </c>
      <c r="V30" s="753" t="s">
        <v>25</v>
      </c>
      <c r="W30" s="754">
        <f t="shared" si="14"/>
        <v>100</v>
      </c>
      <c r="X30" s="1895"/>
      <c r="Y30" s="3025"/>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5"/>
      <c r="Q31" s="1894">
        <f t="shared" si="11"/>
        <v>111</v>
      </c>
      <c r="R31" s="753" t="s">
        <v>25</v>
      </c>
      <c r="S31" s="754">
        <f t="shared" si="12"/>
        <v>100</v>
      </c>
      <c r="T31" s="753" t="s">
        <v>25</v>
      </c>
      <c r="U31" s="754">
        <f t="shared" si="13"/>
        <v>100</v>
      </c>
      <c r="V31" s="753" t="s">
        <v>25</v>
      </c>
      <c r="W31" s="754">
        <f t="shared" si="14"/>
        <v>100</v>
      </c>
      <c r="X31" s="1895"/>
      <c r="Y31" s="3025"/>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5"/>
      <c r="Q32" s="1894">
        <f t="shared" si="11"/>
        <v>111</v>
      </c>
      <c r="R32" s="753" t="s">
        <v>25</v>
      </c>
      <c r="S32" s="754">
        <f t="shared" si="12"/>
        <v>100</v>
      </c>
      <c r="T32" s="753" t="s">
        <v>25</v>
      </c>
      <c r="U32" s="754">
        <f t="shared" si="13"/>
        <v>100</v>
      </c>
      <c r="V32" s="753" t="s">
        <v>25</v>
      </c>
      <c r="W32" s="754">
        <f t="shared" si="14"/>
        <v>100</v>
      </c>
      <c r="X32" s="1895"/>
      <c r="Y32" s="3025"/>
      <c r="Z32" s="1897">
        <f t="shared" si="15"/>
        <v>111</v>
      </c>
      <c r="AA32" s="1898">
        <f t="shared" si="3"/>
        <v>1</v>
      </c>
      <c r="AB32" s="1898">
        <f t="shared" si="4"/>
        <v>1</v>
      </c>
      <c r="AC32" s="1898">
        <f t="shared" si="5"/>
        <v>1</v>
      </c>
    </row>
    <row r="33" spans="1:29" ht="15">
      <c r="A33" s="419" t="s">
        <v>2362</v>
      </c>
      <c r="B33" s="28" t="s">
        <v>2478</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64" t="s">
        <v>2364</v>
      </c>
      <c r="Q33" s="1894" t="str">
        <f t="shared" si="11"/>
        <v>建筑类型</v>
      </c>
      <c r="R33" s="753" t="s">
        <v>25</v>
      </c>
      <c r="S33" s="754">
        <f t="shared" si="12"/>
        <v>100</v>
      </c>
      <c r="T33" s="753" t="s">
        <v>25</v>
      </c>
      <c r="U33" s="754">
        <f t="shared" si="13"/>
        <v>100</v>
      </c>
      <c r="V33" s="753" t="s">
        <v>25</v>
      </c>
      <c r="W33" s="754">
        <f t="shared" si="14"/>
        <v>100</v>
      </c>
      <c r="X33" s="1895"/>
      <c r="Y33" s="3029"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5"/>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5"/>
      <c r="Q35" s="1894" t="str">
        <f t="shared" si="11"/>
        <v>建筑结构</v>
      </c>
      <c r="R35" s="753" t="s">
        <v>25</v>
      </c>
      <c r="S35" s="754">
        <f t="shared" si="12"/>
        <v>100</v>
      </c>
      <c r="T35" s="753" t="s">
        <v>25</v>
      </c>
      <c r="U35" s="754">
        <f t="shared" si="13"/>
        <v>100</v>
      </c>
      <c r="V35" s="753" t="s">
        <v>25</v>
      </c>
      <c r="W35" s="754">
        <f t="shared" si="14"/>
        <v>100</v>
      </c>
      <c r="X35" s="1895"/>
      <c r="Y35" s="3029"/>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5"/>
      <c r="Q36" s="1894" t="str">
        <f t="shared" si="11"/>
        <v>公共部分装修</v>
      </c>
      <c r="R36" s="753" t="s">
        <v>25</v>
      </c>
      <c r="S36" s="754">
        <f t="shared" si="12"/>
        <v>100</v>
      </c>
      <c r="T36" s="753" t="s">
        <v>25</v>
      </c>
      <c r="U36" s="754">
        <f t="shared" si="13"/>
        <v>100</v>
      </c>
      <c r="V36" s="753" t="s">
        <v>25</v>
      </c>
      <c r="W36" s="754">
        <f t="shared" si="14"/>
        <v>100</v>
      </c>
      <c r="X36" s="1895"/>
      <c r="Y36" s="3029"/>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5"/>
      <c r="Q37" s="1894" t="str">
        <f t="shared" si="11"/>
        <v>成新度</v>
      </c>
      <c r="R37" s="753" t="s">
        <v>25</v>
      </c>
      <c r="S37" s="754" t="e">
        <f t="shared" si="12"/>
        <v>#N/A</v>
      </c>
      <c r="T37" s="753" t="s">
        <v>25</v>
      </c>
      <c r="U37" s="754" t="e">
        <f t="shared" si="13"/>
        <v>#N/A</v>
      </c>
      <c r="V37" s="753" t="s">
        <v>25</v>
      </c>
      <c r="W37" s="754" t="e">
        <f t="shared" si="14"/>
        <v>#N/A</v>
      </c>
      <c r="X37" s="1895"/>
      <c r="Y37" s="3029"/>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5"/>
      <c r="Q38" s="1882"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5" t="s">
        <v>2364</v>
      </c>
      <c r="Q39" s="1894" t="str">
        <f t="shared" si="11"/>
        <v>物业管理</v>
      </c>
      <c r="R39" s="753" t="s">
        <v>25</v>
      </c>
      <c r="S39" s="754">
        <f t="shared" si="12"/>
        <v>100</v>
      </c>
      <c r="T39" s="753" t="s">
        <v>25</v>
      </c>
      <c r="U39" s="754">
        <f t="shared" si="13"/>
        <v>100</v>
      </c>
      <c r="V39" s="753" t="s">
        <v>25</v>
      </c>
      <c r="W39" s="754">
        <f t="shared" si="14"/>
        <v>100</v>
      </c>
      <c r="X39" s="1895"/>
      <c r="Y39" s="3029"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5"/>
      <c r="Q40" s="1894" t="str">
        <f t="shared" si="11"/>
        <v>市政基础设施</v>
      </c>
      <c r="R40" s="753" t="s">
        <v>25</v>
      </c>
      <c r="S40" s="754">
        <f t="shared" si="12"/>
        <v>100</v>
      </c>
      <c r="T40" s="753" t="s">
        <v>25</v>
      </c>
      <c r="U40" s="754">
        <f t="shared" si="13"/>
        <v>100</v>
      </c>
      <c r="V40" s="753" t="s">
        <v>25</v>
      </c>
      <c r="W40" s="754">
        <f t="shared" si="14"/>
        <v>100</v>
      </c>
      <c r="X40" s="1895"/>
      <c r="Y40" s="3029"/>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5"/>
      <c r="Q41" s="1894" t="str">
        <f t="shared" si="11"/>
        <v>层高</v>
      </c>
      <c r="R41" s="753" t="s">
        <v>25</v>
      </c>
      <c r="S41" s="754">
        <f t="shared" si="12"/>
        <v>100</v>
      </c>
      <c r="T41" s="753" t="s">
        <v>25</v>
      </c>
      <c r="U41" s="754">
        <f t="shared" si="13"/>
        <v>100</v>
      </c>
      <c r="V41" s="753" t="s">
        <v>25</v>
      </c>
      <c r="W41" s="754">
        <f t="shared" si="14"/>
        <v>100</v>
      </c>
      <c r="X41" s="1895"/>
      <c r="Y41" s="3029"/>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5"/>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5"/>
      <c r="Q43" s="1894" t="str">
        <f t="shared" si="11"/>
        <v>内部装修</v>
      </c>
      <c r="R43" s="753" t="s">
        <v>25</v>
      </c>
      <c r="S43" s="754">
        <f t="shared" si="12"/>
        <v>100</v>
      </c>
      <c r="T43" s="753" t="s">
        <v>25</v>
      </c>
      <c r="U43" s="754">
        <f t="shared" si="13"/>
        <v>100</v>
      </c>
      <c r="V43" s="753" t="s">
        <v>25</v>
      </c>
      <c r="W43" s="754">
        <f t="shared" si="14"/>
        <v>100</v>
      </c>
      <c r="X43" s="1895"/>
      <c r="Y43" s="3029"/>
      <c r="Z43" s="1897" t="str">
        <f t="shared" si="15"/>
        <v>内部装修</v>
      </c>
      <c r="AA43" s="1898">
        <f t="shared" si="3"/>
        <v>1</v>
      </c>
      <c r="AB43" s="1898">
        <f t="shared" si="4"/>
        <v>1</v>
      </c>
      <c r="AC43" s="1898">
        <f t="shared" si="5"/>
        <v>1</v>
      </c>
    </row>
    <row r="44" spans="1:29" ht="15">
      <c r="A44" s="453"/>
      <c r="B44" s="402" t="s">
        <v>2375</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65"/>
      <c r="Q44" s="1894" t="str">
        <f t="shared" si="11"/>
        <v>内部装修维护情况</v>
      </c>
      <c r="R44" s="753" t="s">
        <v>25</v>
      </c>
      <c r="S44" s="754">
        <f t="shared" si="12"/>
        <v>100</v>
      </c>
      <c r="T44" s="753" t="s">
        <v>25</v>
      </c>
      <c r="U44" s="754">
        <f t="shared" si="13"/>
        <v>100</v>
      </c>
      <c r="V44" s="753" t="s">
        <v>25</v>
      </c>
      <c r="W44" s="754">
        <f t="shared" si="14"/>
        <v>100</v>
      </c>
      <c r="X44" s="1895"/>
      <c r="Y44" s="3029"/>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5"/>
      <c r="Q45" s="1882">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5"/>
      <c r="Q46" s="1894">
        <f t="shared" si="11"/>
        <v>111</v>
      </c>
      <c r="R46" s="753" t="s">
        <v>25</v>
      </c>
      <c r="S46" s="754">
        <f t="shared" si="12"/>
        <v>100</v>
      </c>
      <c r="T46" s="753" t="s">
        <v>25</v>
      </c>
      <c r="U46" s="754">
        <f t="shared" si="13"/>
        <v>100</v>
      </c>
      <c r="V46" s="753" t="s">
        <v>25</v>
      </c>
      <c r="W46" s="754">
        <f t="shared" si="14"/>
        <v>100</v>
      </c>
      <c r="X46" s="1895"/>
      <c r="Y46" s="3029"/>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6"/>
      <c r="Q47" s="1894">
        <f t="shared" si="11"/>
        <v>111</v>
      </c>
      <c r="R47" s="753" t="s">
        <v>25</v>
      </c>
      <c r="S47" s="754">
        <f t="shared" si="12"/>
        <v>100</v>
      </c>
      <c r="T47" s="753" t="s">
        <v>25</v>
      </c>
      <c r="U47" s="754">
        <f t="shared" si="13"/>
        <v>100</v>
      </c>
      <c r="V47" s="753" t="s">
        <v>25</v>
      </c>
      <c r="W47" s="754">
        <f t="shared" si="14"/>
        <v>100</v>
      </c>
      <c r="X47" s="1895"/>
      <c r="Y47" s="3030"/>
      <c r="Z47" s="1897">
        <f t="shared" si="15"/>
        <v>111</v>
      </c>
      <c r="AA47" s="1898">
        <f t="shared" si="3"/>
        <v>1</v>
      </c>
      <c r="AB47" s="1898">
        <f t="shared" si="4"/>
        <v>1</v>
      </c>
      <c r="AC47" s="1898">
        <f t="shared" si="5"/>
        <v>1</v>
      </c>
    </row>
    <row r="48" spans="1:29" ht="15">
      <c r="A48" s="460" t="s">
        <v>2376</v>
      </c>
      <c r="B48" s="461"/>
      <c r="C48" s="1498" t="s">
        <v>1</v>
      </c>
      <c r="D48" s="1499"/>
      <c r="E48" s="1500"/>
      <c r="F48" s="1501"/>
      <c r="G48" s="1502"/>
      <c r="H48" s="1503"/>
      <c r="I48" s="1500"/>
      <c r="J48" s="1503"/>
      <c r="K48" s="762"/>
      <c r="L48" s="1252"/>
      <c r="M48" s="1240"/>
      <c r="N48" s="1240"/>
      <c r="O48" s="1240"/>
      <c r="P48" s="3019" t="str">
        <f>A48</f>
        <v>成交单价（元/平方米）</v>
      </c>
      <c r="Q48" s="3021"/>
      <c r="R48" s="3017">
        <f>E48</f>
        <v>0</v>
      </c>
      <c r="S48" s="3017"/>
      <c r="T48" s="3017">
        <f>G48</f>
        <v>0</v>
      </c>
      <c r="U48" s="3017"/>
      <c r="V48" s="3017">
        <f>I48</f>
        <v>0</v>
      </c>
      <c r="W48" s="3017"/>
      <c r="X48" s="738"/>
      <c r="Y48" s="760"/>
      <c r="Z48" s="738"/>
      <c r="AA48" s="738"/>
      <c r="AB48" s="738"/>
      <c r="AC48" s="738"/>
    </row>
    <row r="49" spans="1:29" ht="15.7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3019" t="str">
        <f>A49</f>
        <v>比较价值（元/平方米）</v>
      </c>
      <c r="Q49" s="3021"/>
      <c r="R49" s="3017" t="e">
        <f>IF(E1="售价",ROUND(PRODUCT(R48,AA7:AA47),0),ROUND(PRODUCT(R48,AA7:AA47),1))</f>
        <v>#DIV/0!</v>
      </c>
      <c r="S49" s="3017"/>
      <c r="T49" s="3017" t="e">
        <f>IF(E1="售价",ROUND(PRODUCT(T48,AB7:AB47),0),ROUND(PRODUCT(T48,AB7:AB47),1))</f>
        <v>#DIV/0!</v>
      </c>
      <c r="U49" s="3017"/>
      <c r="V49" s="3017" t="e">
        <f>IF(E1="售价",ROUND(PRODUCT(V48,AC7:AC47),0),ROUND(PRODUCT(V48,AC7:AC47),1))</f>
        <v>#DIV/0!</v>
      </c>
      <c r="W49" s="3017"/>
      <c r="X49" s="738"/>
      <c r="Y49" s="738"/>
      <c r="Z49" s="738"/>
      <c r="AA49" s="738"/>
      <c r="AB49" s="738"/>
      <c r="AC49" s="738"/>
    </row>
    <row r="50" spans="1:29" ht="15.75" thickBot="1">
      <c r="A50" s="473" t="s">
        <v>2482</v>
      </c>
      <c r="B50" s="474"/>
      <c r="C50" s="1508" t="e">
        <f>R50</f>
        <v>#DIV/0!</v>
      </c>
      <c r="D50" s="1508"/>
      <c r="E50" s="1508"/>
      <c r="F50" s="1508"/>
      <c r="G50" s="1508"/>
      <c r="H50" s="1508"/>
      <c r="I50" s="1508"/>
      <c r="J50" s="1508"/>
      <c r="K50" s="764"/>
      <c r="L50" s="1252"/>
      <c r="M50" s="1240"/>
      <c r="N50" s="1240"/>
      <c r="O50" s="1240"/>
      <c r="P50" s="3063"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2020-5</v>
      </c>
      <c r="D59" s="1675">
        <f>EDATE(C59,-1)</f>
        <v>43922</v>
      </c>
      <c r="E59" s="1675">
        <f t="shared" ref="E59:O59" si="16">EDATE(D59,-1)</f>
        <v>43891</v>
      </c>
      <c r="F59" s="1675">
        <f t="shared" si="16"/>
        <v>43862</v>
      </c>
      <c r="G59" s="1675">
        <f t="shared" si="16"/>
        <v>43831</v>
      </c>
      <c r="H59" s="1675">
        <f t="shared" si="16"/>
        <v>43800</v>
      </c>
      <c r="I59" s="1675">
        <f t="shared" si="16"/>
        <v>43770</v>
      </c>
      <c r="J59" s="1675">
        <f t="shared" si="16"/>
        <v>43739</v>
      </c>
      <c r="K59" s="1675">
        <f t="shared" si="16"/>
        <v>43709</v>
      </c>
      <c r="L59" s="1675">
        <f t="shared" si="16"/>
        <v>43678</v>
      </c>
      <c r="M59" s="1675">
        <f t="shared" si="16"/>
        <v>43647</v>
      </c>
      <c r="N59" s="1675">
        <f t="shared" si="16"/>
        <v>43617</v>
      </c>
      <c r="O59" s="1675">
        <f t="shared" si="16"/>
        <v>43586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6"/>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3600.5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95"/>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2346</v>
      </c>
      <c r="B7" s="388"/>
      <c r="C7" s="389">
        <f>'数据-取费表'!B2</f>
        <v>43965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5" t="s">
        <v>2350</v>
      </c>
      <c r="Q8" s="3036"/>
      <c r="R8" s="749" t="s">
        <v>25</v>
      </c>
      <c r="S8" s="750">
        <f t="shared" si="0"/>
        <v>100</v>
      </c>
      <c r="T8" s="749" t="s">
        <v>25</v>
      </c>
      <c r="U8" s="750">
        <f t="shared" si="1"/>
        <v>100</v>
      </c>
      <c r="V8" s="749" t="s">
        <v>25</v>
      </c>
      <c r="W8" s="750">
        <f t="shared" si="2"/>
        <v>100</v>
      </c>
      <c r="X8" s="751"/>
      <c r="Y8" s="3035" t="s">
        <v>2350</v>
      </c>
      <c r="Z8" s="3036"/>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1" t="s">
        <v>2353</v>
      </c>
      <c r="Q9" s="1882" t="str">
        <f t="shared" ref="Q9:Q15" si="6">B9</f>
        <v>用途</v>
      </c>
      <c r="R9" s="749" t="s">
        <v>25</v>
      </c>
      <c r="S9" s="750">
        <f t="shared" si="0"/>
        <v>100</v>
      </c>
      <c r="T9" s="749" t="s">
        <v>25</v>
      </c>
      <c r="U9" s="750">
        <f t="shared" si="1"/>
        <v>100</v>
      </c>
      <c r="V9" s="749" t="s">
        <v>25</v>
      </c>
      <c r="W9" s="750">
        <f t="shared" si="2"/>
        <v>100</v>
      </c>
      <c r="X9" s="751"/>
      <c r="Y9" s="284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1"/>
      <c r="Q10" s="1882"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2357</v>
      </c>
      <c r="B15" s="26" t="s">
        <v>2489</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4" t="s">
        <v>2358</v>
      </c>
      <c r="Q15" s="1894" t="str">
        <f t="shared" si="6"/>
        <v>产业集聚程度</v>
      </c>
      <c r="R15" s="753" t="s">
        <v>25</v>
      </c>
      <c r="S15" s="754">
        <f t="shared" si="0"/>
        <v>100</v>
      </c>
      <c r="T15" s="753" t="s">
        <v>25</v>
      </c>
      <c r="U15" s="754">
        <f t="shared" si="1"/>
        <v>100</v>
      </c>
      <c r="V15" s="753" t="s">
        <v>25</v>
      </c>
      <c r="W15" s="754">
        <f t="shared" si="2"/>
        <v>100</v>
      </c>
      <c r="X15" s="1895"/>
      <c r="Y15" s="3024"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5"/>
      <c r="Q16" s="1894"/>
      <c r="R16" s="753"/>
      <c r="S16" s="754"/>
      <c r="T16" s="753"/>
      <c r="U16" s="754"/>
      <c r="V16" s="753"/>
      <c r="W16" s="754"/>
      <c r="X16" s="1895"/>
      <c r="Y16" s="3025"/>
      <c r="Z16" s="1897"/>
      <c r="AA16" s="1898">
        <v>1</v>
      </c>
      <c r="AB16" s="1898">
        <v>1</v>
      </c>
      <c r="AC16" s="1898">
        <v>1</v>
      </c>
    </row>
    <row r="17" spans="1:29" ht="85.5">
      <c r="A17" s="408"/>
      <c r="B17" s="431" t="s">
        <v>1743</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25"/>
      <c r="Q18" s="1894"/>
      <c r="R18" s="753"/>
      <c r="S18" s="754"/>
      <c r="T18" s="753"/>
      <c r="U18" s="754"/>
      <c r="V18" s="753"/>
      <c r="W18" s="754"/>
      <c r="X18" s="1895"/>
      <c r="Y18" s="3025"/>
      <c r="Z18" s="1897"/>
      <c r="AA18" s="1898">
        <v>1</v>
      </c>
      <c r="AB18" s="1898">
        <v>1</v>
      </c>
      <c r="AC18" s="1898">
        <v>1</v>
      </c>
    </row>
    <row r="19" spans="1:29" ht="42.75">
      <c r="A19" s="408"/>
      <c r="B19" s="615" t="s">
        <v>2473</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5"/>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25"/>
      <c r="Q20" s="1894"/>
      <c r="R20" s="753"/>
      <c r="S20" s="754"/>
      <c r="T20" s="753"/>
      <c r="U20" s="754"/>
      <c r="V20" s="753"/>
      <c r="W20" s="754"/>
      <c r="X20" s="1895"/>
      <c r="Y20" s="3025"/>
      <c r="Z20" s="1897"/>
      <c r="AA20" s="1898">
        <v>1</v>
      </c>
      <c r="AB20" s="1898">
        <v>1</v>
      </c>
      <c r="AC20" s="1898">
        <v>1</v>
      </c>
    </row>
    <row r="21" spans="1:29" ht="28.5">
      <c r="A21" s="408"/>
      <c r="B21" s="617" t="s">
        <v>2474</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5"/>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25"/>
      <c r="Q22" s="1894"/>
      <c r="R22" s="753"/>
      <c r="S22" s="754"/>
      <c r="T22" s="753"/>
      <c r="U22" s="754"/>
      <c r="V22" s="753"/>
      <c r="W22" s="754"/>
      <c r="X22" s="1895"/>
      <c r="Y22" s="3025"/>
      <c r="Z22" s="1897"/>
      <c r="AA22" s="1898">
        <v>1</v>
      </c>
      <c r="AB22" s="1898">
        <v>1</v>
      </c>
      <c r="AC22" s="1898">
        <v>1</v>
      </c>
    </row>
    <row r="23" spans="1:29" ht="71.25">
      <c r="A23" s="408"/>
      <c r="B23" s="431" t="s">
        <v>2475</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5"/>
      <c r="Q23" s="1894" t="str">
        <f>B23</f>
        <v>环境质量</v>
      </c>
      <c r="R23" s="753" t="s">
        <v>25</v>
      </c>
      <c r="S23" s="754">
        <f>F23</f>
        <v>100</v>
      </c>
      <c r="T23" s="753" t="s">
        <v>25</v>
      </c>
      <c r="U23" s="754">
        <f>H23</f>
        <v>100</v>
      </c>
      <c r="V23" s="753" t="s">
        <v>25</v>
      </c>
      <c r="W23" s="754">
        <f>J23</f>
        <v>100</v>
      </c>
      <c r="X23" s="1895"/>
      <c r="Y23" s="3025"/>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25"/>
      <c r="Q24" s="1894"/>
      <c r="R24" s="753"/>
      <c r="S24" s="754"/>
      <c r="T24" s="753"/>
      <c r="U24" s="754"/>
      <c r="V24" s="753"/>
      <c r="W24" s="754"/>
      <c r="X24" s="1895"/>
      <c r="Y24" s="3025"/>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5"/>
      <c r="Q25" s="1894">
        <f>B25</f>
        <v>111</v>
      </c>
      <c r="R25" s="753" t="s">
        <v>25</v>
      </c>
      <c r="S25" s="754">
        <f>F25</f>
        <v>100</v>
      </c>
      <c r="T25" s="753" t="s">
        <v>25</v>
      </c>
      <c r="U25" s="754">
        <f>H25</f>
        <v>100</v>
      </c>
      <c r="V25" s="753" t="s">
        <v>25</v>
      </c>
      <c r="W25" s="754">
        <f>J25</f>
        <v>100</v>
      </c>
      <c r="X25" s="1895"/>
      <c r="Y25" s="3025"/>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5"/>
      <c r="Q26" s="1894">
        <f t="shared" ref="Q26:Q40" si="11">B26</f>
        <v>111</v>
      </c>
      <c r="R26" s="753" t="s">
        <v>25</v>
      </c>
      <c r="S26" s="754">
        <f>F26</f>
        <v>100</v>
      </c>
      <c r="T26" s="753" t="s">
        <v>25</v>
      </c>
      <c r="U26" s="754">
        <f>H26</f>
        <v>100</v>
      </c>
      <c r="V26" s="753" t="s">
        <v>25</v>
      </c>
      <c r="W26" s="754">
        <f>J26</f>
        <v>100</v>
      </c>
      <c r="X26" s="1895"/>
      <c r="Y26" s="3025"/>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5"/>
      <c r="Q27" s="1882">
        <f t="shared" si="11"/>
        <v>111</v>
      </c>
      <c r="R27" s="749" t="s">
        <v>25</v>
      </c>
      <c r="S27" s="750">
        <f>F27</f>
        <v>100</v>
      </c>
      <c r="T27" s="749" t="s">
        <v>25</v>
      </c>
      <c r="U27" s="750">
        <f>H27</f>
        <v>100</v>
      </c>
      <c r="V27" s="749" t="s">
        <v>25</v>
      </c>
      <c r="W27" s="750">
        <f>J27</f>
        <v>100</v>
      </c>
      <c r="X27" s="751"/>
      <c r="Y27" s="3025"/>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5"/>
      <c r="Q28" s="1894">
        <f t="shared" si="11"/>
        <v>111</v>
      </c>
      <c r="R28" s="753" t="s">
        <v>25</v>
      </c>
      <c r="S28" s="754">
        <f t="shared" ref="S28:S40" si="12">F28</f>
        <v>100</v>
      </c>
      <c r="T28" s="753" t="s">
        <v>25</v>
      </c>
      <c r="U28" s="754">
        <f t="shared" ref="U28:U40" si="13">H28</f>
        <v>100</v>
      </c>
      <c r="V28" s="753" t="s">
        <v>25</v>
      </c>
      <c r="W28" s="754">
        <f t="shared" ref="W28:W40" si="14">J28</f>
        <v>100</v>
      </c>
      <c r="X28" s="1895"/>
      <c r="Y28" s="3025"/>
      <c r="Z28" s="1897">
        <f t="shared" ref="Z28:Z40" si="15">Q28</f>
        <v>111</v>
      </c>
      <c r="AA28" s="1898">
        <f t="shared" si="3"/>
        <v>1</v>
      </c>
      <c r="AB28" s="1898">
        <f t="shared" si="4"/>
        <v>1</v>
      </c>
      <c r="AC28" s="1898">
        <f t="shared" si="5"/>
        <v>1</v>
      </c>
    </row>
    <row r="29" spans="1:29" ht="29.25">
      <c r="A29" s="447" t="s">
        <v>2362</v>
      </c>
      <c r="B29" s="28" t="s">
        <v>2478</v>
      </c>
      <c r="C29" s="2467" t="s">
        <v>2490</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70" t="s">
        <v>2364</v>
      </c>
      <c r="Q29" s="1894" t="str">
        <f t="shared" si="11"/>
        <v>建筑类型</v>
      </c>
      <c r="R29" s="753" t="s">
        <v>25</v>
      </c>
      <c r="S29" s="754">
        <f t="shared" si="12"/>
        <v>100</v>
      </c>
      <c r="T29" s="753" t="s">
        <v>25</v>
      </c>
      <c r="U29" s="754">
        <f t="shared" si="13"/>
        <v>100</v>
      </c>
      <c r="V29" s="753" t="s">
        <v>25</v>
      </c>
      <c r="W29" s="754">
        <f t="shared" si="14"/>
        <v>100</v>
      </c>
      <c r="X29" s="1895"/>
      <c r="Y29" s="3029"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9"/>
      <c r="Q31" s="1894" t="str">
        <f t="shared" si="11"/>
        <v>建筑结构</v>
      </c>
      <c r="R31" s="753" t="s">
        <v>25</v>
      </c>
      <c r="S31" s="754">
        <f t="shared" si="12"/>
        <v>100</v>
      </c>
      <c r="T31" s="753" t="s">
        <v>25</v>
      </c>
      <c r="U31" s="754">
        <f t="shared" si="13"/>
        <v>100</v>
      </c>
      <c r="V31" s="753" t="s">
        <v>25</v>
      </c>
      <c r="W31" s="754">
        <f t="shared" si="14"/>
        <v>100</v>
      </c>
      <c r="X31" s="1895"/>
      <c r="Y31" s="3029"/>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9"/>
      <c r="Q32" s="1894" t="str">
        <f t="shared" si="11"/>
        <v>公共部分装修</v>
      </c>
      <c r="R32" s="753" t="s">
        <v>25</v>
      </c>
      <c r="S32" s="754">
        <f t="shared" si="12"/>
        <v>100</v>
      </c>
      <c r="T32" s="753" t="s">
        <v>25</v>
      </c>
      <c r="U32" s="754">
        <f t="shared" si="13"/>
        <v>100</v>
      </c>
      <c r="V32" s="753" t="s">
        <v>25</v>
      </c>
      <c r="W32" s="754">
        <f t="shared" si="14"/>
        <v>100</v>
      </c>
      <c r="X32" s="1895"/>
      <c r="Y32" s="3029"/>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9"/>
      <c r="Q33" s="1894" t="str">
        <f t="shared" si="11"/>
        <v>成新度</v>
      </c>
      <c r="R33" s="753" t="s">
        <v>25</v>
      </c>
      <c r="S33" s="754" t="e">
        <f t="shared" si="12"/>
        <v>#N/A</v>
      </c>
      <c r="T33" s="753" t="s">
        <v>25</v>
      </c>
      <c r="U33" s="754" t="e">
        <f t="shared" si="13"/>
        <v>#N/A</v>
      </c>
      <c r="V33" s="753" t="s">
        <v>25</v>
      </c>
      <c r="W33" s="754" t="e">
        <f t="shared" si="14"/>
        <v>#N/A</v>
      </c>
      <c r="X33" s="1895"/>
      <c r="Y33" s="3029"/>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9"/>
      <c r="Q34" s="1882"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9" t="s">
        <v>2364</v>
      </c>
      <c r="Q35" s="1894" t="str">
        <f t="shared" si="11"/>
        <v>市政基础设施</v>
      </c>
      <c r="R35" s="753" t="s">
        <v>25</v>
      </c>
      <c r="S35" s="754">
        <f t="shared" si="12"/>
        <v>100</v>
      </c>
      <c r="T35" s="753" t="s">
        <v>25</v>
      </c>
      <c r="U35" s="754">
        <f t="shared" si="13"/>
        <v>100</v>
      </c>
      <c r="V35" s="753" t="s">
        <v>25</v>
      </c>
      <c r="W35" s="754">
        <f t="shared" si="14"/>
        <v>100</v>
      </c>
      <c r="X35" s="1895"/>
      <c r="Y35" s="3029"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9"/>
      <c r="Q36" s="1894" t="str">
        <f t="shared" si="11"/>
        <v>内部装修</v>
      </c>
      <c r="R36" s="753" t="s">
        <v>25</v>
      </c>
      <c r="S36" s="754">
        <f t="shared" si="12"/>
        <v>100</v>
      </c>
      <c r="T36" s="753" t="s">
        <v>25</v>
      </c>
      <c r="U36" s="754">
        <f t="shared" si="13"/>
        <v>100</v>
      </c>
      <c r="V36" s="753" t="s">
        <v>25</v>
      </c>
      <c r="W36" s="754">
        <f t="shared" si="14"/>
        <v>100</v>
      </c>
      <c r="X36" s="1895"/>
      <c r="Y36" s="3029"/>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9"/>
      <c r="Q37" s="1894" t="str">
        <f t="shared" si="11"/>
        <v>内部装修状况</v>
      </c>
      <c r="R37" s="753" t="s">
        <v>25</v>
      </c>
      <c r="S37" s="754">
        <f t="shared" si="12"/>
        <v>0</v>
      </c>
      <c r="T37" s="753" t="s">
        <v>25</v>
      </c>
      <c r="U37" s="754">
        <f t="shared" si="13"/>
        <v>0</v>
      </c>
      <c r="V37" s="753" t="s">
        <v>25</v>
      </c>
      <c r="W37" s="754">
        <f t="shared" si="14"/>
        <v>0</v>
      </c>
      <c r="X37" s="1895"/>
      <c r="Y37" s="3029"/>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9"/>
      <c r="Q39" s="1894">
        <f t="shared" si="11"/>
        <v>111</v>
      </c>
      <c r="R39" s="753" t="s">
        <v>25</v>
      </c>
      <c r="S39" s="754">
        <f t="shared" si="12"/>
        <v>100</v>
      </c>
      <c r="T39" s="753" t="s">
        <v>25</v>
      </c>
      <c r="U39" s="754">
        <f t="shared" si="13"/>
        <v>100</v>
      </c>
      <c r="V39" s="753" t="s">
        <v>25</v>
      </c>
      <c r="W39" s="754">
        <f t="shared" si="14"/>
        <v>100</v>
      </c>
      <c r="X39" s="1895"/>
      <c r="Y39" s="3029"/>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0"/>
      <c r="Q40" s="1894">
        <f t="shared" si="11"/>
        <v>111</v>
      </c>
      <c r="R40" s="753" t="s">
        <v>25</v>
      </c>
      <c r="S40" s="754">
        <f t="shared" si="12"/>
        <v>100</v>
      </c>
      <c r="T40" s="753" t="s">
        <v>25</v>
      </c>
      <c r="U40" s="754">
        <f t="shared" si="13"/>
        <v>100</v>
      </c>
      <c r="V40" s="753" t="s">
        <v>25</v>
      </c>
      <c r="W40" s="754">
        <f t="shared" si="14"/>
        <v>100</v>
      </c>
      <c r="X40" s="1895"/>
      <c r="Y40" s="3030"/>
      <c r="Z40" s="1897">
        <f t="shared" si="15"/>
        <v>111</v>
      </c>
      <c r="AA40" s="1898">
        <f t="shared" si="3"/>
        <v>1</v>
      </c>
      <c r="AB40" s="1898">
        <f t="shared" si="4"/>
        <v>1</v>
      </c>
      <c r="AC40" s="1898">
        <f t="shared" si="5"/>
        <v>1</v>
      </c>
    </row>
    <row r="41" spans="1:29" ht="15">
      <c r="A41" s="460" t="s">
        <v>2376</v>
      </c>
      <c r="B41" s="461"/>
      <c r="C41" s="1498" t="s">
        <v>1</v>
      </c>
      <c r="D41" s="1499"/>
      <c r="E41" s="1500"/>
      <c r="F41" s="1501"/>
      <c r="G41" s="1502"/>
      <c r="H41" s="1503"/>
      <c r="I41" s="1500"/>
      <c r="J41" s="1503"/>
      <c r="K41" s="762"/>
      <c r="L41" s="1252"/>
      <c r="M41" s="1253"/>
      <c r="N41" s="1240"/>
      <c r="O41" s="1253"/>
      <c r="P41" s="3021" t="str">
        <f>A41</f>
        <v>成交单价（元/平方米）</v>
      </c>
      <c r="Q41" s="3021"/>
      <c r="R41" s="3017">
        <f>E41</f>
        <v>0</v>
      </c>
      <c r="S41" s="3017"/>
      <c r="T41" s="3017">
        <f>G41</f>
        <v>0</v>
      </c>
      <c r="U41" s="3017"/>
      <c r="V41" s="3017">
        <f>I41</f>
        <v>0</v>
      </c>
      <c r="W41" s="3017"/>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3021" t="str">
        <f>A42</f>
        <v>比较价值（元/平方米）</v>
      </c>
      <c r="Q42" s="3021"/>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2020-5</v>
      </c>
      <c r="D52" s="1675">
        <f>EDATE(C52,-1)</f>
        <v>43922</v>
      </c>
      <c r="E52" s="1676">
        <f t="shared" ref="E52:O52" si="16">EDATE(D52,-1)</f>
        <v>43891</v>
      </c>
      <c r="F52" s="1676">
        <f t="shared" si="16"/>
        <v>43862</v>
      </c>
      <c r="G52" s="1676">
        <f t="shared" si="16"/>
        <v>43831</v>
      </c>
      <c r="H52" s="1676">
        <f t="shared" si="16"/>
        <v>43800</v>
      </c>
      <c r="I52" s="1676">
        <f t="shared" si="16"/>
        <v>43770</v>
      </c>
      <c r="J52" s="1676">
        <f t="shared" si="16"/>
        <v>43739</v>
      </c>
      <c r="K52" s="1676">
        <f t="shared" si="16"/>
        <v>43709</v>
      </c>
      <c r="L52" s="1676">
        <f t="shared" si="16"/>
        <v>43678</v>
      </c>
      <c r="M52" s="1676">
        <f t="shared" si="16"/>
        <v>43647</v>
      </c>
      <c r="N52" s="1676">
        <f t="shared" si="16"/>
        <v>43617</v>
      </c>
      <c r="O52" s="1676">
        <f t="shared" si="16"/>
        <v>43586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4"/>
      <c r="C1" s="1725"/>
      <c r="D1" s="1726"/>
      <c r="E1" s="2376"/>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元</v>
      </c>
      <c r="D2" s="2378"/>
      <c r="E2" s="1210" t="e">
        <f ca="1">SUMIF(INDIRECT("'"&amp;G2&amp;"'"&amp;"!A:A"),"承租人权益价值",INDIRECT("'"&amp;G2&amp;"'"&amp;"!c:c"))</f>
        <v>#REF!</v>
      </c>
      <c r="F2" s="2379" t="str">
        <f>C2</f>
        <v>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3600.5</v>
      </c>
      <c r="E3" s="1088" t="s">
        <v>2500</v>
      </c>
      <c r="F3" s="379">
        <f>'数据-取费表'!B41</f>
        <v>3600.5</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510"/>
      <c r="M4" s="425"/>
      <c r="N4" s="425"/>
      <c r="O4" s="425"/>
      <c r="P4" s="3052" t="s">
        <v>2339</v>
      </c>
      <c r="Q4" s="3053"/>
      <c r="R4" s="3037" t="s">
        <v>2335</v>
      </c>
      <c r="S4" s="3038"/>
      <c r="T4" s="3037" t="s">
        <v>2336</v>
      </c>
      <c r="U4" s="3038"/>
      <c r="V4" s="3058" t="s">
        <v>2337</v>
      </c>
      <c r="W4" s="3058"/>
      <c r="X4" s="1895"/>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510"/>
      <c r="M5" s="425"/>
      <c r="N5" s="425"/>
      <c r="O5" s="425"/>
      <c r="P5" s="3054"/>
      <c r="Q5" s="3055"/>
      <c r="R5" s="3039"/>
      <c r="S5" s="3040"/>
      <c r="T5" s="3039"/>
      <c r="U5" s="3040"/>
      <c r="V5" s="3058"/>
      <c r="W5" s="3058"/>
      <c r="X5" s="1895"/>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510"/>
      <c r="M6" s="425"/>
      <c r="N6" s="425"/>
      <c r="O6" s="425"/>
      <c r="P6" s="3056"/>
      <c r="Q6" s="3057"/>
      <c r="R6" s="3039"/>
      <c r="S6" s="3040"/>
      <c r="T6" s="3041"/>
      <c r="U6" s="3042"/>
      <c r="V6" s="3058"/>
      <c r="W6" s="3058"/>
      <c r="X6" s="1895"/>
      <c r="Y6" s="3041"/>
      <c r="Z6" s="3042"/>
      <c r="AA6" s="3047"/>
      <c r="AB6" s="3047"/>
      <c r="AC6" s="3047"/>
    </row>
    <row r="7" spans="1:29" s="35" customFormat="1" ht="15.75" thickBot="1">
      <c r="A7" s="387" t="s">
        <v>2346</v>
      </c>
      <c r="B7" s="388"/>
      <c r="C7" s="389">
        <f>'数据-取费表'!B2</f>
        <v>43965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5" t="s">
        <v>2347</v>
      </c>
      <c r="Q7" s="3043"/>
      <c r="R7" s="749" t="s">
        <v>25</v>
      </c>
      <c r="S7" s="750">
        <f t="shared" ref="S7:S14" si="0">F7</f>
        <v>0</v>
      </c>
      <c r="T7" s="749" t="s">
        <v>25</v>
      </c>
      <c r="U7" s="750">
        <f t="shared" ref="U7:U14" si="1">H7</f>
        <v>0</v>
      </c>
      <c r="V7" s="749" t="s">
        <v>25</v>
      </c>
      <c r="W7" s="750">
        <f t="shared" ref="W7:W14"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5" t="s">
        <v>2350</v>
      </c>
      <c r="Q8" s="3036"/>
      <c r="R8" s="749" t="s">
        <v>25</v>
      </c>
      <c r="S8" s="750">
        <f t="shared" si="0"/>
        <v>0</v>
      </c>
      <c r="T8" s="749" t="s">
        <v>25</v>
      </c>
      <c r="U8" s="750">
        <f t="shared" si="1"/>
        <v>0</v>
      </c>
      <c r="V8" s="749" t="s">
        <v>25</v>
      </c>
      <c r="W8" s="750">
        <f t="shared" si="2"/>
        <v>0</v>
      </c>
      <c r="X8" s="751"/>
      <c r="Y8" s="3035" t="s">
        <v>2350</v>
      </c>
      <c r="Z8" s="3036"/>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1" t="s">
        <v>2353</v>
      </c>
      <c r="Q9" s="1882" t="str">
        <f t="shared" ref="Q9:Q14" si="6">B9</f>
        <v>用途</v>
      </c>
      <c r="R9" s="749" t="s">
        <v>25</v>
      </c>
      <c r="S9" s="750">
        <f t="shared" si="0"/>
        <v>100</v>
      </c>
      <c r="T9" s="749" t="s">
        <v>25</v>
      </c>
      <c r="U9" s="750">
        <f t="shared" si="1"/>
        <v>100</v>
      </c>
      <c r="V9" s="749" t="s">
        <v>25</v>
      </c>
      <c r="W9" s="750">
        <f t="shared" si="2"/>
        <v>100</v>
      </c>
      <c r="X9" s="751"/>
      <c r="Y9" s="2847"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1"/>
      <c r="Q10" s="1882"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1"/>
      <c r="Q11" s="1882">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1"/>
      <c r="Q12" s="1882">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1"/>
      <c r="Q13" s="1882">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4" t="s">
        <v>2358</v>
      </c>
      <c r="Q14" s="1894" t="str">
        <f t="shared" si="6"/>
        <v>交通便捷度</v>
      </c>
      <c r="R14" s="753" t="s">
        <v>25</v>
      </c>
      <c r="S14" s="754">
        <f t="shared" si="0"/>
        <v>100</v>
      </c>
      <c r="T14" s="753" t="s">
        <v>25</v>
      </c>
      <c r="U14" s="754">
        <f t="shared" si="1"/>
        <v>100</v>
      </c>
      <c r="V14" s="753" t="s">
        <v>25</v>
      </c>
      <c r="W14" s="754">
        <f t="shared" si="2"/>
        <v>100</v>
      </c>
      <c r="X14" s="1895"/>
      <c r="Y14" s="3024"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5"/>
      <c r="Q15" s="1894"/>
      <c r="R15" s="753"/>
      <c r="S15" s="754"/>
      <c r="T15" s="753"/>
      <c r="U15" s="754"/>
      <c r="V15" s="753"/>
      <c r="W15" s="754"/>
      <c r="X15" s="1895"/>
      <c r="Y15" s="3025"/>
      <c r="Z15" s="1897"/>
      <c r="AA15" s="1898">
        <v>1</v>
      </c>
      <c r="AB15" s="1898">
        <v>1</v>
      </c>
      <c r="AC15" s="1898">
        <v>1</v>
      </c>
    </row>
    <row r="16" spans="1:29" ht="42.75">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5"/>
      <c r="Q16" s="1894" t="str">
        <f>B16</f>
        <v>公共配套设施</v>
      </c>
      <c r="R16" s="753" t="s">
        <v>25</v>
      </c>
      <c r="S16" s="754">
        <f>F16</f>
        <v>100</v>
      </c>
      <c r="T16" s="753" t="s">
        <v>25</v>
      </c>
      <c r="U16" s="754">
        <f>H16</f>
        <v>100</v>
      </c>
      <c r="V16" s="753" t="s">
        <v>25</v>
      </c>
      <c r="W16" s="754">
        <f>J16</f>
        <v>100</v>
      </c>
      <c r="X16" s="1895"/>
      <c r="Y16" s="3025"/>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5"/>
      <c r="Q17" s="1894"/>
      <c r="R17" s="753"/>
      <c r="S17" s="754"/>
      <c r="T17" s="753"/>
      <c r="U17" s="754"/>
      <c r="V17" s="753"/>
      <c r="W17" s="754"/>
      <c r="X17" s="1895"/>
      <c r="Y17" s="3025"/>
      <c r="Z17" s="1897"/>
      <c r="AA17" s="1898">
        <v>1</v>
      </c>
      <c r="AB17" s="1898">
        <v>1</v>
      </c>
      <c r="AC17" s="1898">
        <v>1</v>
      </c>
    </row>
    <row r="18" spans="1:29" ht="28.5">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5"/>
      <c r="Q18" s="1894" t="str">
        <f>B18</f>
        <v>基础设施水平</v>
      </c>
      <c r="R18" s="753" t="s">
        <v>25</v>
      </c>
      <c r="S18" s="754">
        <f>F18</f>
        <v>100</v>
      </c>
      <c r="T18" s="753" t="s">
        <v>25</v>
      </c>
      <c r="U18" s="754">
        <f>H18</f>
        <v>100</v>
      </c>
      <c r="V18" s="753" t="s">
        <v>25</v>
      </c>
      <c r="W18" s="754">
        <f>J18</f>
        <v>100</v>
      </c>
      <c r="X18" s="1895"/>
      <c r="Y18" s="3025"/>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5"/>
      <c r="Q19" s="1894"/>
      <c r="R19" s="753"/>
      <c r="S19" s="754"/>
      <c r="T19" s="753"/>
      <c r="U19" s="754"/>
      <c r="V19" s="753"/>
      <c r="W19" s="754"/>
      <c r="X19" s="1895"/>
      <c r="Y19" s="3025"/>
      <c r="Z19" s="1897"/>
      <c r="AA19" s="1898">
        <v>1</v>
      </c>
      <c r="AB19" s="1898">
        <v>1</v>
      </c>
      <c r="AC19" s="1898">
        <v>1</v>
      </c>
    </row>
    <row r="20" spans="1:29" ht="57">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5"/>
      <c r="Q20" s="1894" t="str">
        <f>B20</f>
        <v>自然及人文环境</v>
      </c>
      <c r="R20" s="753" t="s">
        <v>25</v>
      </c>
      <c r="S20" s="754">
        <f>F20</f>
        <v>100</v>
      </c>
      <c r="T20" s="753" t="s">
        <v>25</v>
      </c>
      <c r="U20" s="754">
        <f>H20</f>
        <v>100</v>
      </c>
      <c r="V20" s="753" t="s">
        <v>25</v>
      </c>
      <c r="W20" s="754">
        <f>J20</f>
        <v>100</v>
      </c>
      <c r="X20" s="1895"/>
      <c r="Y20" s="3025"/>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5"/>
      <c r="Q21" s="1894"/>
      <c r="R21" s="753"/>
      <c r="S21" s="754"/>
      <c r="T21" s="753"/>
      <c r="U21" s="754"/>
      <c r="V21" s="753"/>
      <c r="W21" s="754"/>
      <c r="X21" s="1895"/>
      <c r="Y21" s="3025"/>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5"/>
      <c r="Q22" s="1894" t="str">
        <f>B22</f>
        <v>楼层</v>
      </c>
      <c r="R22" s="753" t="s">
        <v>25</v>
      </c>
      <c r="S22" s="754">
        <f>F22</f>
        <v>100</v>
      </c>
      <c r="T22" s="753" t="s">
        <v>25</v>
      </c>
      <c r="U22" s="754">
        <f>H22</f>
        <v>100</v>
      </c>
      <c r="V22" s="753" t="s">
        <v>25</v>
      </c>
      <c r="W22" s="754">
        <f>J22</f>
        <v>100</v>
      </c>
      <c r="X22" s="1895"/>
      <c r="Y22" s="3025"/>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5"/>
      <c r="Q23" s="1894">
        <f>B23</f>
        <v>111</v>
      </c>
      <c r="R23" s="753" t="s">
        <v>25</v>
      </c>
      <c r="S23" s="754">
        <f>F23</f>
        <v>100</v>
      </c>
      <c r="T23" s="753" t="s">
        <v>25</v>
      </c>
      <c r="U23" s="754">
        <f>H23</f>
        <v>100</v>
      </c>
      <c r="V23" s="753" t="s">
        <v>25</v>
      </c>
      <c r="W23" s="754">
        <f>J23</f>
        <v>100</v>
      </c>
      <c r="X23" s="1895"/>
      <c r="Y23" s="3025"/>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5"/>
      <c r="Q24" s="1894">
        <f t="shared" ref="Q24:Q36" si="11">B24</f>
        <v>111</v>
      </c>
      <c r="R24" s="753" t="s">
        <v>25</v>
      </c>
      <c r="S24" s="754">
        <f>F24</f>
        <v>100</v>
      </c>
      <c r="T24" s="753" t="s">
        <v>25</v>
      </c>
      <c r="U24" s="754">
        <f>H24</f>
        <v>100</v>
      </c>
      <c r="V24" s="753" t="s">
        <v>25</v>
      </c>
      <c r="W24" s="754">
        <f>J24</f>
        <v>100</v>
      </c>
      <c r="X24" s="1895"/>
      <c r="Y24" s="3025"/>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5"/>
      <c r="Q25" s="1882">
        <f t="shared" si="11"/>
        <v>111</v>
      </c>
      <c r="R25" s="749" t="s">
        <v>25</v>
      </c>
      <c r="S25" s="750">
        <f>F25</f>
        <v>100</v>
      </c>
      <c r="T25" s="749" t="s">
        <v>25</v>
      </c>
      <c r="U25" s="750">
        <f>H25</f>
        <v>100</v>
      </c>
      <c r="V25" s="749" t="s">
        <v>25</v>
      </c>
      <c r="W25" s="750">
        <f>J25</f>
        <v>100</v>
      </c>
      <c r="X25" s="751"/>
      <c r="Y25" s="3025"/>
      <c r="Z25" s="23">
        <f>Q25</f>
        <v>111</v>
      </c>
      <c r="AA25" s="1898">
        <f>D25/F25</f>
        <v>1</v>
      </c>
      <c r="AB25" s="1898">
        <f>D25/H25</f>
        <v>1</v>
      </c>
      <c r="AC25" s="1898">
        <f>D25/J25</f>
        <v>1</v>
      </c>
    </row>
    <row r="26" spans="1:29" ht="29.25">
      <c r="A26" s="635" t="s">
        <v>2362</v>
      </c>
      <c r="B26" s="27" t="s">
        <v>2504</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0"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9"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9"/>
      <c r="Q28" s="1894" t="str">
        <f t="shared" si="11"/>
        <v>公共部分装修</v>
      </c>
      <c r="R28" s="753" t="s">
        <v>25</v>
      </c>
      <c r="S28" s="754">
        <f t="shared" si="12"/>
        <v>100</v>
      </c>
      <c r="T28" s="753" t="s">
        <v>25</v>
      </c>
      <c r="U28" s="754">
        <f t="shared" si="13"/>
        <v>100</v>
      </c>
      <c r="V28" s="753" t="s">
        <v>25</v>
      </c>
      <c r="W28" s="754">
        <f t="shared" si="14"/>
        <v>100</v>
      </c>
      <c r="X28" s="1895"/>
      <c r="Y28" s="3029"/>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9"/>
      <c r="Q29" s="1894" t="str">
        <f t="shared" si="11"/>
        <v>成新率</v>
      </c>
      <c r="R29" s="753" t="s">
        <v>25</v>
      </c>
      <c r="S29" s="754" t="e">
        <f t="shared" si="12"/>
        <v>#N/A</v>
      </c>
      <c r="T29" s="753" t="s">
        <v>25</v>
      </c>
      <c r="U29" s="754" t="e">
        <f t="shared" si="13"/>
        <v>#N/A</v>
      </c>
      <c r="V29" s="753" t="s">
        <v>25</v>
      </c>
      <c r="W29" s="754" t="e">
        <f t="shared" si="14"/>
        <v>#N/A</v>
      </c>
      <c r="X29" s="1895"/>
      <c r="Y29" s="3029"/>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9"/>
      <c r="Q30" s="1894" t="str">
        <f t="shared" si="11"/>
        <v>物业等级</v>
      </c>
      <c r="R30" s="753" t="s">
        <v>25</v>
      </c>
      <c r="S30" s="754">
        <f t="shared" si="12"/>
        <v>100</v>
      </c>
      <c r="T30" s="753" t="s">
        <v>25</v>
      </c>
      <c r="U30" s="754">
        <f t="shared" si="13"/>
        <v>100</v>
      </c>
      <c r="V30" s="753" t="s">
        <v>25</v>
      </c>
      <c r="W30" s="754">
        <f t="shared" si="14"/>
        <v>100</v>
      </c>
      <c r="X30" s="1895"/>
      <c r="Y30" s="3029"/>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9"/>
      <c r="Q31" s="1882"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9" t="s">
        <v>2364</v>
      </c>
      <c r="Q32" s="1894" t="str">
        <f t="shared" si="11"/>
        <v>车位类型</v>
      </c>
      <c r="R32" s="753" t="s">
        <v>25</v>
      </c>
      <c r="S32" s="754">
        <f t="shared" si="12"/>
        <v>100</v>
      </c>
      <c r="T32" s="753" t="s">
        <v>25</v>
      </c>
      <c r="U32" s="754">
        <f t="shared" si="13"/>
        <v>100</v>
      </c>
      <c r="V32" s="753" t="s">
        <v>25</v>
      </c>
      <c r="W32" s="754">
        <f t="shared" si="14"/>
        <v>100</v>
      </c>
      <c r="X32" s="1895"/>
      <c r="Y32" s="3029"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9"/>
      <c r="Q33" s="1894" t="str">
        <f t="shared" si="11"/>
        <v>是否直接入户</v>
      </c>
      <c r="R33" s="753" t="s">
        <v>25</v>
      </c>
      <c r="S33" s="754">
        <f t="shared" si="12"/>
        <v>100</v>
      </c>
      <c r="T33" s="753" t="s">
        <v>25</v>
      </c>
      <c r="U33" s="754">
        <f t="shared" si="13"/>
        <v>100</v>
      </c>
      <c r="V33" s="753" t="s">
        <v>25</v>
      </c>
      <c r="W33" s="754">
        <f t="shared" si="14"/>
        <v>100</v>
      </c>
      <c r="X33" s="1895"/>
      <c r="Y33" s="302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9"/>
      <c r="Q34" s="1894">
        <f t="shared" si="11"/>
        <v>111</v>
      </c>
      <c r="R34" s="753" t="s">
        <v>25</v>
      </c>
      <c r="S34" s="754">
        <f t="shared" si="12"/>
        <v>100</v>
      </c>
      <c r="T34" s="753" t="s">
        <v>25</v>
      </c>
      <c r="U34" s="754">
        <f t="shared" si="13"/>
        <v>100</v>
      </c>
      <c r="V34" s="753" t="s">
        <v>25</v>
      </c>
      <c r="W34" s="754">
        <f t="shared" si="14"/>
        <v>100</v>
      </c>
      <c r="X34" s="1895"/>
      <c r="Y34" s="302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9"/>
      <c r="Q36" s="1894">
        <f t="shared" si="11"/>
        <v>111</v>
      </c>
      <c r="R36" s="753" t="s">
        <v>25</v>
      </c>
      <c r="S36" s="754">
        <f t="shared" si="12"/>
        <v>100</v>
      </c>
      <c r="T36" s="753" t="s">
        <v>25</v>
      </c>
      <c r="U36" s="754">
        <f t="shared" si="13"/>
        <v>100</v>
      </c>
      <c r="V36" s="753" t="s">
        <v>25</v>
      </c>
      <c r="W36" s="754">
        <f t="shared" si="14"/>
        <v>100</v>
      </c>
      <c r="X36" s="1895"/>
      <c r="Y36" s="3029"/>
      <c r="Z36" s="1897">
        <f t="shared" si="15"/>
        <v>111</v>
      </c>
      <c r="AA36" s="1898">
        <f t="shared" si="3"/>
        <v>1</v>
      </c>
      <c r="AB36" s="1898">
        <f t="shared" si="4"/>
        <v>1</v>
      </c>
      <c r="AC36" s="1898">
        <f t="shared" si="5"/>
        <v>1</v>
      </c>
    </row>
    <row r="37" spans="1:29" ht="15">
      <c r="A37" s="460" t="s">
        <v>2512</v>
      </c>
      <c r="B37" s="1089" t="s">
        <v>2513</v>
      </c>
      <c r="C37" s="1498" t="s">
        <v>1</v>
      </c>
      <c r="D37" s="1499"/>
      <c r="E37" s="1500"/>
      <c r="F37" s="1501"/>
      <c r="G37" s="1502"/>
      <c r="H37" s="1503"/>
      <c r="I37" s="1500"/>
      <c r="J37" s="1503"/>
      <c r="K37" s="603"/>
      <c r="L37" s="1521"/>
      <c r="M37" s="738"/>
      <c r="N37" s="425"/>
      <c r="O37" s="738"/>
      <c r="P37" s="3021" t="str">
        <f>A37</f>
        <v>成交单价</v>
      </c>
      <c r="Q37" s="3021"/>
      <c r="R37" s="3017">
        <f>E37</f>
        <v>0</v>
      </c>
      <c r="S37" s="3017"/>
      <c r="T37" s="3017">
        <f>G37</f>
        <v>0</v>
      </c>
      <c r="U37" s="3017"/>
      <c r="V37" s="3017">
        <f>I37</f>
        <v>0</v>
      </c>
      <c r="W37" s="3017"/>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1" t="str">
        <f>A38</f>
        <v>比较价值</v>
      </c>
      <c r="Q38" s="3021"/>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2020-5</v>
      </c>
      <c r="D48" s="1675">
        <f>EDATE(C48,-1)</f>
        <v>43922</v>
      </c>
      <c r="E48" s="1675">
        <f t="shared" ref="E48:O48" si="16">EDATE(D48,-1)</f>
        <v>43891</v>
      </c>
      <c r="F48" s="1675">
        <f t="shared" si="16"/>
        <v>43862</v>
      </c>
      <c r="G48" s="1675">
        <f t="shared" si="16"/>
        <v>43831</v>
      </c>
      <c r="H48" s="1675">
        <f t="shared" si="16"/>
        <v>43800</v>
      </c>
      <c r="I48" s="1675">
        <f t="shared" si="16"/>
        <v>43770</v>
      </c>
      <c r="J48" s="1675">
        <f t="shared" si="16"/>
        <v>43739</v>
      </c>
      <c r="K48" s="1675">
        <f t="shared" si="16"/>
        <v>43709</v>
      </c>
      <c r="L48" s="1675">
        <f t="shared" si="16"/>
        <v>43678</v>
      </c>
      <c r="M48" s="1675">
        <f t="shared" si="16"/>
        <v>43647</v>
      </c>
      <c r="N48" s="1675">
        <f t="shared" si="16"/>
        <v>43617</v>
      </c>
      <c r="O48" s="1675">
        <f t="shared" si="16"/>
        <v>43586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4"/>
      <c r="C1" s="1725"/>
      <c r="D1" s="1735"/>
      <c r="E1" s="2376"/>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元</v>
      </c>
      <c r="D2" s="2378"/>
      <c r="E2" s="1734" t="e">
        <f ca="1">SUMIF(INDIRECT("'"&amp;G2&amp;"'"&amp;"!A:A"),"承租人权益价值",INDIRECT("'"&amp;G2&amp;"'"&amp;"!c:c"))</f>
        <v>#REF!</v>
      </c>
      <c r="F2" s="2379" t="str">
        <f>C2</f>
        <v>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3600.5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95"/>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2346</v>
      </c>
      <c r="B7" s="388"/>
      <c r="C7" s="389">
        <f>'数据-取费表'!B2</f>
        <v>43965</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35" t="s">
        <v>2347</v>
      </c>
      <c r="Q7" s="3043"/>
      <c r="R7" s="749" t="s">
        <v>25</v>
      </c>
      <c r="S7" s="750">
        <f t="shared" ref="S7:S14" si="0">F7</f>
        <v>0</v>
      </c>
      <c r="T7" s="749" t="s">
        <v>25</v>
      </c>
      <c r="U7" s="750">
        <f t="shared" ref="U7:U14" si="1">H7</f>
        <v>0</v>
      </c>
      <c r="V7" s="749" t="s">
        <v>25</v>
      </c>
      <c r="W7" s="750">
        <f t="shared" ref="W7:W14" si="2">J7</f>
        <v>0</v>
      </c>
      <c r="X7" s="751"/>
      <c r="Y7" s="3035" t="s">
        <v>2347</v>
      </c>
      <c r="Z7" s="3036"/>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1" t="s">
        <v>2353</v>
      </c>
      <c r="Q9" s="1882" t="str">
        <f t="shared" ref="Q9:Q14" si="6">B9</f>
        <v>用途</v>
      </c>
      <c r="R9" s="749" t="s">
        <v>25</v>
      </c>
      <c r="S9" s="750">
        <f t="shared" si="0"/>
        <v>100</v>
      </c>
      <c r="T9" s="749" t="s">
        <v>25</v>
      </c>
      <c r="U9" s="750">
        <f t="shared" si="1"/>
        <v>100</v>
      </c>
      <c r="V9" s="749" t="s">
        <v>25</v>
      </c>
      <c r="W9" s="750">
        <f t="shared" si="2"/>
        <v>100</v>
      </c>
      <c r="X9" s="751"/>
      <c r="Y9" s="2847"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1"/>
      <c r="Q10" s="1882"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1"/>
      <c r="Q11" s="1882">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419" t="s">
        <v>2357</v>
      </c>
      <c r="B14" s="26" t="s">
        <v>2501</v>
      </c>
      <c r="C14" s="2473"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4" t="s">
        <v>2358</v>
      </c>
      <c r="Q14" s="1894" t="str">
        <f t="shared" si="6"/>
        <v>交通便捷度</v>
      </c>
      <c r="R14" s="753" t="s">
        <v>25</v>
      </c>
      <c r="S14" s="754">
        <f t="shared" si="0"/>
        <v>100</v>
      </c>
      <c r="T14" s="753" t="s">
        <v>25</v>
      </c>
      <c r="U14" s="754">
        <f t="shared" si="1"/>
        <v>100</v>
      </c>
      <c r="V14" s="753" t="s">
        <v>25</v>
      </c>
      <c r="W14" s="754">
        <f t="shared" si="2"/>
        <v>100</v>
      </c>
      <c r="X14" s="1895"/>
      <c r="Y14" s="3024"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5"/>
      <c r="Q15" s="1894"/>
      <c r="R15" s="753"/>
      <c r="S15" s="754"/>
      <c r="T15" s="753"/>
      <c r="U15" s="754"/>
      <c r="V15" s="753"/>
      <c r="W15" s="754"/>
      <c r="X15" s="1895"/>
      <c r="Y15" s="3025"/>
      <c r="Z15" s="1897"/>
      <c r="AA15" s="1898">
        <v>1</v>
      </c>
      <c r="AB15" s="1898">
        <v>1</v>
      </c>
      <c r="AC15" s="1898">
        <v>1</v>
      </c>
    </row>
    <row r="16" spans="1:29" ht="42.75">
      <c r="A16" s="408"/>
      <c r="B16" s="615" t="s">
        <v>2473</v>
      </c>
      <c r="C16" s="2400"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5"/>
      <c r="Q16" s="1894" t="str">
        <f>B16</f>
        <v>公共配套设施</v>
      </c>
      <c r="R16" s="753" t="s">
        <v>25</v>
      </c>
      <c r="S16" s="754">
        <f>F16</f>
        <v>100</v>
      </c>
      <c r="T16" s="753" t="s">
        <v>25</v>
      </c>
      <c r="U16" s="754">
        <f>H16</f>
        <v>100</v>
      </c>
      <c r="V16" s="753" t="s">
        <v>25</v>
      </c>
      <c r="W16" s="754">
        <f>J16</f>
        <v>100</v>
      </c>
      <c r="X16" s="1895"/>
      <c r="Y16" s="302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5"/>
      <c r="Q17" s="1894"/>
      <c r="R17" s="753"/>
      <c r="S17" s="754"/>
      <c r="T17" s="753"/>
      <c r="U17" s="754"/>
      <c r="V17" s="753"/>
      <c r="W17" s="754"/>
      <c r="X17" s="1895"/>
      <c r="Y17" s="3025"/>
      <c r="Z17" s="1897"/>
      <c r="AA17" s="1898">
        <v>1</v>
      </c>
      <c r="AB17" s="1898">
        <v>1</v>
      </c>
      <c r="AC17" s="1898">
        <v>1</v>
      </c>
    </row>
    <row r="18" spans="1:29" ht="28.5">
      <c r="A18" s="408"/>
      <c r="B18" s="617" t="s">
        <v>2474</v>
      </c>
      <c r="C18" s="2400"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5"/>
      <c r="Q18" s="1894" t="str">
        <f>B18</f>
        <v>基础设施水平</v>
      </c>
      <c r="R18" s="753" t="s">
        <v>25</v>
      </c>
      <c r="S18" s="754">
        <f>F18</f>
        <v>100</v>
      </c>
      <c r="T18" s="753" t="s">
        <v>25</v>
      </c>
      <c r="U18" s="754">
        <f>H18</f>
        <v>100</v>
      </c>
      <c r="V18" s="753" t="s">
        <v>25</v>
      </c>
      <c r="W18" s="754">
        <f>J18</f>
        <v>100</v>
      </c>
      <c r="X18" s="1895"/>
      <c r="Y18" s="302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5"/>
      <c r="Q19" s="1894"/>
      <c r="R19" s="753"/>
      <c r="S19" s="754"/>
      <c r="T19" s="753"/>
      <c r="U19" s="754"/>
      <c r="V19" s="753"/>
      <c r="W19" s="754"/>
      <c r="X19" s="1895"/>
      <c r="Y19" s="3025"/>
      <c r="Z19" s="1897"/>
      <c r="AA19" s="1898">
        <v>1</v>
      </c>
      <c r="AB19" s="1898">
        <v>1</v>
      </c>
      <c r="AC19" s="1898">
        <v>1</v>
      </c>
    </row>
    <row r="20" spans="1:29" ht="57">
      <c r="A20" s="408"/>
      <c r="B20" s="431" t="s">
        <v>2502</v>
      </c>
      <c r="C20" s="2400"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5"/>
      <c r="Q20" s="1894" t="str">
        <f>B20</f>
        <v>自然及人文环境</v>
      </c>
      <c r="R20" s="753" t="s">
        <v>25</v>
      </c>
      <c r="S20" s="754">
        <f>F20</f>
        <v>100</v>
      </c>
      <c r="T20" s="753" t="s">
        <v>25</v>
      </c>
      <c r="U20" s="754">
        <f>H20</f>
        <v>100</v>
      </c>
      <c r="V20" s="753" t="s">
        <v>25</v>
      </c>
      <c r="W20" s="754">
        <f>J20</f>
        <v>100</v>
      </c>
      <c r="X20" s="1895"/>
      <c r="Y20" s="302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5"/>
      <c r="Q21" s="1894"/>
      <c r="R21" s="753"/>
      <c r="S21" s="754"/>
      <c r="T21" s="753"/>
      <c r="U21" s="754"/>
      <c r="V21" s="753"/>
      <c r="W21" s="754"/>
      <c r="X21" s="1895"/>
      <c r="Y21" s="3025"/>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5"/>
      <c r="Q22" s="1894" t="str">
        <f>B22</f>
        <v>楼层</v>
      </c>
      <c r="R22" s="753" t="s">
        <v>25</v>
      </c>
      <c r="S22" s="754">
        <f>F22</f>
        <v>100</v>
      </c>
      <c r="T22" s="753" t="s">
        <v>25</v>
      </c>
      <c r="U22" s="754">
        <f>H22</f>
        <v>100</v>
      </c>
      <c r="V22" s="753" t="s">
        <v>25</v>
      </c>
      <c r="W22" s="754">
        <f>J22</f>
        <v>100</v>
      </c>
      <c r="X22" s="1895"/>
      <c r="Y22" s="3025"/>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5"/>
      <c r="Q23" s="1894">
        <f>B23</f>
        <v>111</v>
      </c>
      <c r="R23" s="753" t="s">
        <v>25</v>
      </c>
      <c r="S23" s="754">
        <f>F23</f>
        <v>100</v>
      </c>
      <c r="T23" s="753" t="s">
        <v>25</v>
      </c>
      <c r="U23" s="754">
        <f>H23</f>
        <v>100</v>
      </c>
      <c r="V23" s="753" t="s">
        <v>25</v>
      </c>
      <c r="W23" s="754">
        <f>J23</f>
        <v>100</v>
      </c>
      <c r="X23" s="1895"/>
      <c r="Y23" s="3025"/>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5"/>
      <c r="Q24" s="1894">
        <f t="shared" ref="Q24:Q34" si="11">B24</f>
        <v>111</v>
      </c>
      <c r="R24" s="753" t="s">
        <v>25</v>
      </c>
      <c r="S24" s="754">
        <f>F24</f>
        <v>100</v>
      </c>
      <c r="T24" s="753" t="s">
        <v>25</v>
      </c>
      <c r="U24" s="754">
        <f>H24</f>
        <v>100</v>
      </c>
      <c r="V24" s="753" t="s">
        <v>25</v>
      </c>
      <c r="W24" s="754">
        <f>J24</f>
        <v>100</v>
      </c>
      <c r="X24" s="1895"/>
      <c r="Y24" s="3025"/>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25"/>
      <c r="Q25" s="1882">
        <f t="shared" si="11"/>
        <v>111</v>
      </c>
      <c r="R25" s="749" t="s">
        <v>25</v>
      </c>
      <c r="S25" s="750">
        <f>F25</f>
        <v>100</v>
      </c>
      <c r="T25" s="749" t="s">
        <v>25</v>
      </c>
      <c r="U25" s="750">
        <f>H25</f>
        <v>100</v>
      </c>
      <c r="V25" s="749" t="s">
        <v>25</v>
      </c>
      <c r="W25" s="750">
        <f>J25</f>
        <v>100</v>
      </c>
      <c r="X25" s="751"/>
      <c r="Y25" s="3025"/>
      <c r="Z25" s="23">
        <f>Q25</f>
        <v>111</v>
      </c>
      <c r="AA25" s="1898">
        <f>D25/F25</f>
        <v>1</v>
      </c>
      <c r="AB25" s="1898">
        <f>D25/H25</f>
        <v>1</v>
      </c>
      <c r="AC25" s="1898">
        <f>D25/J25</f>
        <v>1</v>
      </c>
    </row>
    <row r="26" spans="1:29" ht="29.25">
      <c r="A26" s="447" t="s">
        <v>2362</v>
      </c>
      <c r="B26" s="28" t="s">
        <v>2506</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70"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9"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9"/>
      <c r="Q28" s="1894" t="str">
        <f t="shared" si="11"/>
        <v>物业等级</v>
      </c>
      <c r="R28" s="753" t="s">
        <v>25</v>
      </c>
      <c r="S28" s="754">
        <f t="shared" si="12"/>
        <v>100</v>
      </c>
      <c r="T28" s="753" t="s">
        <v>25</v>
      </c>
      <c r="U28" s="754">
        <f t="shared" si="13"/>
        <v>100</v>
      </c>
      <c r="V28" s="753" t="s">
        <v>25</v>
      </c>
      <c r="W28" s="754">
        <f t="shared" si="14"/>
        <v>100</v>
      </c>
      <c r="X28" s="1895"/>
      <c r="Y28" s="3029"/>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9"/>
      <c r="Q29" s="1894" t="str">
        <f t="shared" si="11"/>
        <v>有无电梯</v>
      </c>
      <c r="R29" s="753" t="s">
        <v>25</v>
      </c>
      <c r="S29" s="754">
        <f t="shared" si="12"/>
        <v>100</v>
      </c>
      <c r="T29" s="753" t="s">
        <v>25</v>
      </c>
      <c r="U29" s="754">
        <f t="shared" si="13"/>
        <v>100</v>
      </c>
      <c r="V29" s="753" t="s">
        <v>25</v>
      </c>
      <c r="W29" s="754">
        <f t="shared" si="14"/>
        <v>100</v>
      </c>
      <c r="X29" s="1895"/>
      <c r="Y29" s="3029"/>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9"/>
      <c r="Q30" s="1894" t="str">
        <f t="shared" si="11"/>
        <v>建筑面积</v>
      </c>
      <c r="R30" s="753" t="s">
        <v>25</v>
      </c>
      <c r="S30" s="754" t="e">
        <f t="shared" si="12"/>
        <v>#N/A</v>
      </c>
      <c r="T30" s="753" t="s">
        <v>25</v>
      </c>
      <c r="U30" s="754" t="e">
        <f t="shared" si="13"/>
        <v>#N/A</v>
      </c>
      <c r="V30" s="753" t="s">
        <v>25</v>
      </c>
      <c r="W30" s="754" t="e">
        <f t="shared" si="14"/>
        <v>#N/A</v>
      </c>
      <c r="X30" s="1895"/>
      <c r="Y30" s="3029"/>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9"/>
      <c r="Q31" s="1882"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9" t="s">
        <v>2364</v>
      </c>
      <c r="Q32" s="1894">
        <f t="shared" si="11"/>
        <v>111</v>
      </c>
      <c r="R32" s="753" t="s">
        <v>25</v>
      </c>
      <c r="S32" s="754">
        <f t="shared" si="12"/>
        <v>100</v>
      </c>
      <c r="T32" s="753" t="s">
        <v>25</v>
      </c>
      <c r="U32" s="754">
        <f t="shared" si="13"/>
        <v>100</v>
      </c>
      <c r="V32" s="753" t="s">
        <v>25</v>
      </c>
      <c r="W32" s="754">
        <f t="shared" si="14"/>
        <v>100</v>
      </c>
      <c r="X32" s="1895"/>
      <c r="Y32" s="3029" t="s">
        <v>2364</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9"/>
      <c r="Q33" s="1894">
        <f t="shared" si="11"/>
        <v>111</v>
      </c>
      <c r="R33" s="753" t="s">
        <v>25</v>
      </c>
      <c r="S33" s="754">
        <f t="shared" si="12"/>
        <v>100</v>
      </c>
      <c r="T33" s="753" t="s">
        <v>25</v>
      </c>
      <c r="U33" s="754">
        <f t="shared" si="13"/>
        <v>100</v>
      </c>
      <c r="V33" s="753" t="s">
        <v>25</v>
      </c>
      <c r="W33" s="754">
        <f t="shared" si="14"/>
        <v>100</v>
      </c>
      <c r="X33" s="1895"/>
      <c r="Y33" s="3029"/>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29"/>
      <c r="Q34" s="1894">
        <f t="shared" si="11"/>
        <v>111</v>
      </c>
      <c r="R34" s="753" t="s">
        <v>25</v>
      </c>
      <c r="S34" s="754">
        <f t="shared" si="12"/>
        <v>100</v>
      </c>
      <c r="T34" s="753" t="s">
        <v>25</v>
      </c>
      <c r="U34" s="754">
        <f t="shared" si="13"/>
        <v>100</v>
      </c>
      <c r="V34" s="753" t="s">
        <v>25</v>
      </c>
      <c r="W34" s="754">
        <f t="shared" si="14"/>
        <v>100</v>
      </c>
      <c r="X34" s="1895"/>
      <c r="Y34" s="3029"/>
      <c r="Z34" s="1897">
        <f t="shared" si="15"/>
        <v>111</v>
      </c>
      <c r="AA34" s="1898">
        <f t="shared" si="3"/>
        <v>1</v>
      </c>
      <c r="AB34" s="1898">
        <f t="shared" si="4"/>
        <v>1</v>
      </c>
      <c r="AC34" s="1898">
        <f t="shared" si="5"/>
        <v>1</v>
      </c>
    </row>
    <row r="35" spans="1:29" ht="15">
      <c r="A35" s="460" t="s">
        <v>2376</v>
      </c>
      <c r="B35" s="461"/>
      <c r="C35" s="1498" t="s">
        <v>1</v>
      </c>
      <c r="D35" s="1499"/>
      <c r="E35" s="1500"/>
      <c r="F35" s="1501"/>
      <c r="G35" s="1502"/>
      <c r="H35" s="1503"/>
      <c r="I35" s="1500"/>
      <c r="J35" s="1503"/>
      <c r="K35" s="762"/>
      <c r="L35" s="1252"/>
      <c r="M35" s="1253"/>
      <c r="N35" s="1240"/>
      <c r="O35" s="1253"/>
      <c r="P35" s="3021" t="str">
        <f>A35</f>
        <v>成交单价（元/平方米）</v>
      </c>
      <c r="Q35" s="3021"/>
      <c r="R35" s="3017">
        <f>E35</f>
        <v>0</v>
      </c>
      <c r="S35" s="3017"/>
      <c r="T35" s="3017">
        <f>G35</f>
        <v>0</v>
      </c>
      <c r="U35" s="3017"/>
      <c r="V35" s="3017">
        <f>I35</f>
        <v>0</v>
      </c>
      <c r="W35" s="3017"/>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3021" t="str">
        <f>A36</f>
        <v>比较价值（元/平方米）</v>
      </c>
      <c r="Q36" s="3021"/>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2020-5</v>
      </c>
      <c r="D46" s="1675">
        <f>EDATE(C46,-1)</f>
        <v>43922</v>
      </c>
      <c r="E46" s="1675">
        <f t="shared" ref="E46:O46" si="16">EDATE(D46,-1)</f>
        <v>43891</v>
      </c>
      <c r="F46" s="1675">
        <f t="shared" si="16"/>
        <v>43862</v>
      </c>
      <c r="G46" s="1675">
        <f t="shared" si="16"/>
        <v>43831</v>
      </c>
      <c r="H46" s="1675">
        <f t="shared" si="16"/>
        <v>43800</v>
      </c>
      <c r="I46" s="1675">
        <f t="shared" si="16"/>
        <v>43770</v>
      </c>
      <c r="J46" s="1675">
        <f t="shared" si="16"/>
        <v>43739</v>
      </c>
      <c r="K46" s="1675">
        <f t="shared" si="16"/>
        <v>43709</v>
      </c>
      <c r="L46" s="1675">
        <f t="shared" si="16"/>
        <v>43678</v>
      </c>
      <c r="M46" s="1675">
        <f t="shared" si="16"/>
        <v>43647</v>
      </c>
      <c r="N46" s="1675">
        <f t="shared" si="16"/>
        <v>43617</v>
      </c>
      <c r="O46" s="1675">
        <f t="shared" si="16"/>
        <v>43586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95"/>
      <c r="Y4" s="3037" t="s">
        <v>2339</v>
      </c>
      <c r="Z4" s="3038"/>
      <c r="AA4" s="3045" t="s">
        <v>2335</v>
      </c>
      <c r="AB4" s="3046" t="s">
        <v>2336</v>
      </c>
      <c r="AC4" s="3045" t="s">
        <v>2337</v>
      </c>
    </row>
    <row r="5" spans="1:30"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95"/>
      <c r="Y5" s="3039"/>
      <c r="Z5" s="3040"/>
      <c r="AA5" s="3046"/>
      <c r="AB5" s="3046"/>
      <c r="AC5" s="3046"/>
    </row>
    <row r="6" spans="1:30"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95"/>
      <c r="Y6" s="3041"/>
      <c r="Z6" s="3042"/>
      <c r="AA6" s="3047"/>
      <c r="AB6" s="3047"/>
      <c r="AC6" s="3047"/>
    </row>
    <row r="7" spans="1:30" s="35" customFormat="1" ht="15.75" thickBot="1">
      <c r="A7" s="387" t="s">
        <v>2346</v>
      </c>
      <c r="B7" s="388"/>
      <c r="C7" s="389">
        <f>'数据-取费表'!B2</f>
        <v>43965</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45" si="3">D8/F8</f>
        <v>#DIV/0!</v>
      </c>
      <c r="AB8" s="752" t="e">
        <f t="shared" ref="AB8:AB45" si="4">D8/H8</f>
        <v>#DIV/0!</v>
      </c>
      <c r="AC8" s="752" t="e">
        <f t="shared" ref="AC8:AC45" si="5">D8/J8</f>
        <v>#DIV/0!</v>
      </c>
    </row>
    <row r="9" spans="1:30" s="35" customFormat="1">
      <c r="A9" s="395" t="s">
        <v>2351</v>
      </c>
      <c r="B9" s="28" t="s">
        <v>2352</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21" t="s">
        <v>2353</v>
      </c>
      <c r="Q9" s="1882" t="str">
        <f t="shared" ref="Q9:Q15" si="6">B9</f>
        <v>用途</v>
      </c>
      <c r="R9" s="749" t="s">
        <v>25</v>
      </c>
      <c r="S9" s="750">
        <f t="shared" si="0"/>
        <v>100</v>
      </c>
      <c r="T9" s="749" t="s">
        <v>25</v>
      </c>
      <c r="U9" s="750">
        <f t="shared" si="1"/>
        <v>100</v>
      </c>
      <c r="V9" s="749" t="s">
        <v>25</v>
      </c>
      <c r="W9" s="750">
        <f t="shared" si="2"/>
        <v>100</v>
      </c>
      <c r="X9" s="751"/>
      <c r="Y9" s="2847"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121</v>
      </c>
      <c r="G10" s="444"/>
      <c r="H10" s="52">
        <f>ROUND(100/'数据-取费表'!B14,0)</f>
        <v>121</v>
      </c>
      <c r="I10" s="444"/>
      <c r="J10" s="52">
        <f>ROUND(100/'数据-取费表'!B14,0)</f>
        <v>121</v>
      </c>
      <c r="K10" s="655"/>
      <c r="L10" s="1244"/>
      <c r="M10" s="1245"/>
      <c r="N10" s="1245"/>
      <c r="O10" s="1246"/>
      <c r="P10" s="3021"/>
      <c r="Q10" s="1882" t="str">
        <f t="shared" si="6"/>
        <v>土地使用年限（年）</v>
      </c>
      <c r="R10" s="749" t="s">
        <v>25</v>
      </c>
      <c r="S10" s="750">
        <f t="shared" si="0"/>
        <v>121</v>
      </c>
      <c r="T10" s="749" t="s">
        <v>25</v>
      </c>
      <c r="U10" s="750">
        <f t="shared" si="1"/>
        <v>121</v>
      </c>
      <c r="V10" s="749" t="s">
        <v>25</v>
      </c>
      <c r="W10" s="750">
        <f t="shared" si="2"/>
        <v>121</v>
      </c>
      <c r="X10" s="751"/>
      <c r="Y10" s="2847"/>
      <c r="Z10" s="23" t="str">
        <f t="shared" si="7"/>
        <v>土地使用年限（年）</v>
      </c>
      <c r="AA10" s="752">
        <f t="shared" si="3"/>
        <v>0.82644628099173556</v>
      </c>
      <c r="AB10" s="752">
        <f t="shared" si="4"/>
        <v>0.82644628099173556</v>
      </c>
      <c r="AC10" s="752">
        <f t="shared" si="5"/>
        <v>0.82644628099173556</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393"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1"/>
      <c r="Q12" s="1882"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99.75">
      <c r="A15" s="380" t="s">
        <v>2357</v>
      </c>
      <c r="B15" s="1483" t="s">
        <v>1731</v>
      </c>
      <c r="C15" s="2461"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4" t="s">
        <v>2358</v>
      </c>
      <c r="Q15" s="1894" t="str">
        <f t="shared" si="6"/>
        <v>居住社区成熟度</v>
      </c>
      <c r="R15" s="753" t="s">
        <v>25</v>
      </c>
      <c r="S15" s="754">
        <f t="shared" si="0"/>
        <v>100</v>
      </c>
      <c r="T15" s="753" t="s">
        <v>25</v>
      </c>
      <c r="U15" s="754">
        <f t="shared" si="1"/>
        <v>100</v>
      </c>
      <c r="V15" s="753" t="s">
        <v>25</v>
      </c>
      <c r="W15" s="754">
        <f t="shared" si="2"/>
        <v>100</v>
      </c>
      <c r="X15" s="1895"/>
      <c r="Y15" s="3024"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25"/>
      <c r="Q16" s="1894"/>
      <c r="R16" s="753"/>
      <c r="S16" s="754"/>
      <c r="T16" s="753"/>
      <c r="U16" s="754"/>
      <c r="V16" s="753"/>
      <c r="W16" s="754"/>
      <c r="X16" s="1895"/>
      <c r="Y16" s="3025"/>
      <c r="Z16" s="1897"/>
      <c r="AA16" s="1898">
        <v>1</v>
      </c>
      <c r="AB16" s="1898">
        <v>1</v>
      </c>
      <c r="AC16" s="1898">
        <v>1</v>
      </c>
    </row>
    <row r="17" spans="1:29" ht="71.25">
      <c r="A17" s="383"/>
      <c r="B17" s="1485" t="s">
        <v>2443</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5"/>
      <c r="Q17" s="1894" t="str">
        <f>B17</f>
        <v>商业繁华度</v>
      </c>
      <c r="R17" s="753" t="s">
        <v>25</v>
      </c>
      <c r="S17" s="754">
        <f>F17</f>
        <v>100</v>
      </c>
      <c r="T17" s="753" t="s">
        <v>25</v>
      </c>
      <c r="U17" s="754">
        <f>H17</f>
        <v>100</v>
      </c>
      <c r="V17" s="753" t="s">
        <v>25</v>
      </c>
      <c r="W17" s="754">
        <f>J17</f>
        <v>100</v>
      </c>
      <c r="X17" s="1895"/>
      <c r="Y17" s="3025"/>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25"/>
      <c r="Q18" s="1894"/>
      <c r="R18" s="753"/>
      <c r="S18" s="754"/>
      <c r="T18" s="753"/>
      <c r="U18" s="754"/>
      <c r="V18" s="753"/>
      <c r="W18" s="754"/>
      <c r="X18" s="1895"/>
      <c r="Y18" s="3025"/>
      <c r="Z18" s="1897"/>
      <c r="AA18" s="1898">
        <v>1</v>
      </c>
      <c r="AB18" s="1898">
        <v>1</v>
      </c>
      <c r="AC18" s="1898">
        <v>1</v>
      </c>
    </row>
    <row r="19" spans="1:29" ht="71.25">
      <c r="A19" s="383"/>
      <c r="B19" s="1485" t="s">
        <v>2472</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5"/>
      <c r="Q19" s="1894" t="str">
        <f>B19</f>
        <v>办公集聚程度</v>
      </c>
      <c r="R19" s="753" t="s">
        <v>25</v>
      </c>
      <c r="S19" s="754">
        <f>F19</f>
        <v>100</v>
      </c>
      <c r="T19" s="753" t="s">
        <v>25</v>
      </c>
      <c r="U19" s="754">
        <f>H19</f>
        <v>100</v>
      </c>
      <c r="V19" s="753" t="s">
        <v>25</v>
      </c>
      <c r="W19" s="754">
        <f>J19</f>
        <v>100</v>
      </c>
      <c r="X19" s="1895"/>
      <c r="Y19" s="3025"/>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25"/>
      <c r="Q20" s="1894"/>
      <c r="R20" s="753"/>
      <c r="S20" s="754"/>
      <c r="T20" s="753"/>
      <c r="U20" s="754"/>
      <c r="V20" s="753"/>
      <c r="W20" s="754"/>
      <c r="X20" s="1895"/>
      <c r="Y20" s="3025"/>
      <c r="Z20" s="1897"/>
      <c r="AA20" s="1898">
        <v>1</v>
      </c>
      <c r="AB20" s="1898">
        <v>1</v>
      </c>
      <c r="AC20" s="1898">
        <v>1</v>
      </c>
    </row>
    <row r="21" spans="1:29" ht="85.5">
      <c r="A21" s="383"/>
      <c r="B21" s="1485" t="s">
        <v>2501</v>
      </c>
      <c r="C21" s="2462"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5"/>
      <c r="Q21" s="1894" t="str">
        <f>B21</f>
        <v>交通便捷度</v>
      </c>
      <c r="R21" s="753" t="s">
        <v>25</v>
      </c>
      <c r="S21" s="754">
        <f>F21</f>
        <v>100</v>
      </c>
      <c r="T21" s="753" t="s">
        <v>25</v>
      </c>
      <c r="U21" s="754">
        <f>H21</f>
        <v>100</v>
      </c>
      <c r="V21" s="753" t="s">
        <v>25</v>
      </c>
      <c r="W21" s="754">
        <f>J21</f>
        <v>100</v>
      </c>
      <c r="X21" s="1895"/>
      <c r="Y21" s="3025"/>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25"/>
      <c r="Q22" s="1894"/>
      <c r="R22" s="753"/>
      <c r="S22" s="754"/>
      <c r="T22" s="753"/>
      <c r="U22" s="754"/>
      <c r="V22" s="753"/>
      <c r="W22" s="754"/>
      <c r="X22" s="1895"/>
      <c r="Y22" s="3025"/>
      <c r="Z22" s="1897"/>
      <c r="AA22" s="1898">
        <v>1</v>
      </c>
      <c r="AB22" s="1898">
        <v>1</v>
      </c>
      <c r="AC22" s="1898">
        <v>1</v>
      </c>
    </row>
    <row r="23" spans="1:29" ht="15">
      <c r="A23" s="383"/>
      <c r="B23" s="1488" t="s">
        <v>2541</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5"/>
      <c r="Q23" s="1894" t="str">
        <f t="shared" ref="Q23:Q37" si="8">B23</f>
        <v>区域土地利用方向</v>
      </c>
      <c r="R23" s="753" t="s">
        <v>25</v>
      </c>
      <c r="S23" s="754">
        <f>F23</f>
        <v>100</v>
      </c>
      <c r="T23" s="753" t="s">
        <v>25</v>
      </c>
      <c r="U23" s="754">
        <f>H23</f>
        <v>100</v>
      </c>
      <c r="V23" s="753" t="s">
        <v>25</v>
      </c>
      <c r="W23" s="754">
        <f>J23</f>
        <v>100</v>
      </c>
      <c r="X23" s="1895"/>
      <c r="Y23" s="3025"/>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25"/>
      <c r="Q24" s="1894"/>
      <c r="R24" s="753"/>
      <c r="S24" s="754"/>
      <c r="T24" s="753"/>
      <c r="U24" s="754"/>
      <c r="V24" s="753"/>
      <c r="W24" s="754"/>
      <c r="X24" s="1895"/>
      <c r="Y24" s="3025"/>
      <c r="Z24" s="1897"/>
      <c r="AA24" s="1898"/>
      <c r="AB24" s="1898"/>
      <c r="AC24" s="1898"/>
    </row>
    <row r="25" spans="1:29" ht="57">
      <c r="A25" s="383"/>
      <c r="B25" s="1487" t="s">
        <v>2542</v>
      </c>
      <c r="C25" s="2479"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5"/>
      <c r="Q25" s="1894" t="str">
        <f t="shared" si="8"/>
        <v>自然及人文环境状况</v>
      </c>
      <c r="R25" s="753" t="s">
        <v>25</v>
      </c>
      <c r="S25" s="754">
        <f>F25</f>
        <v>100</v>
      </c>
      <c r="T25" s="753" t="s">
        <v>25</v>
      </c>
      <c r="U25" s="754">
        <f>H25</f>
        <v>100</v>
      </c>
      <c r="V25" s="753" t="s">
        <v>25</v>
      </c>
      <c r="W25" s="754">
        <f>J25</f>
        <v>100</v>
      </c>
      <c r="X25" s="1895"/>
      <c r="Y25" s="3025"/>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5"/>
      <c r="Q26" s="1894"/>
      <c r="R26" s="753"/>
      <c r="S26" s="754"/>
      <c r="T26" s="753"/>
      <c r="U26" s="754"/>
      <c r="V26" s="753"/>
      <c r="W26" s="754"/>
      <c r="X26" s="1895"/>
      <c r="Y26" s="3025"/>
      <c r="Z26" s="1897"/>
      <c r="AA26" s="1898">
        <v>1</v>
      </c>
      <c r="AB26" s="1898">
        <v>1</v>
      </c>
      <c r="AC26" s="1898">
        <v>1</v>
      </c>
    </row>
    <row r="27" spans="1:29" ht="42.75">
      <c r="A27" s="383"/>
      <c r="B27" s="1487" t="s">
        <v>2444</v>
      </c>
      <c r="C27" s="2462"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5"/>
      <c r="Q27" s="1882" t="str">
        <f t="shared" ref="Q27" si="9">B27</f>
        <v>公共配套设施</v>
      </c>
      <c r="R27" s="749" t="s">
        <v>25</v>
      </c>
      <c r="S27" s="750">
        <f>F27</f>
        <v>100</v>
      </c>
      <c r="T27" s="749" t="s">
        <v>25</v>
      </c>
      <c r="U27" s="750">
        <f>H27</f>
        <v>100</v>
      </c>
      <c r="V27" s="749" t="s">
        <v>25</v>
      </c>
      <c r="W27" s="750">
        <f>J27</f>
        <v>100</v>
      </c>
      <c r="X27" s="1895"/>
      <c r="Y27" s="3025"/>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25"/>
      <c r="Q28" s="1894"/>
      <c r="R28" s="753"/>
      <c r="S28" s="754"/>
      <c r="T28" s="753"/>
      <c r="U28" s="754"/>
      <c r="V28" s="753"/>
      <c r="W28" s="754"/>
      <c r="X28" s="1895"/>
      <c r="Y28" s="3025"/>
      <c r="Z28" s="23"/>
      <c r="AA28" s="1898">
        <v>1</v>
      </c>
      <c r="AB28" s="1898">
        <v>1</v>
      </c>
      <c r="AC28" s="1898">
        <v>1</v>
      </c>
    </row>
    <row r="29" spans="1:29" s="35" customFormat="1" ht="28.5">
      <c r="A29" s="633"/>
      <c r="B29" s="1487" t="s">
        <v>2445</v>
      </c>
      <c r="C29" s="2482"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5"/>
      <c r="Q29" s="1882" t="str">
        <f t="shared" si="8"/>
        <v>基础设施水平</v>
      </c>
      <c r="R29" s="749" t="s">
        <v>25</v>
      </c>
      <c r="S29" s="750">
        <f>F29</f>
        <v>100</v>
      </c>
      <c r="T29" s="749" t="s">
        <v>25</v>
      </c>
      <c r="U29" s="750">
        <f>H29</f>
        <v>100</v>
      </c>
      <c r="V29" s="749" t="s">
        <v>25</v>
      </c>
      <c r="W29" s="750">
        <f>J29</f>
        <v>100</v>
      </c>
      <c r="X29" s="751"/>
      <c r="Y29" s="3025"/>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25"/>
      <c r="Q30" s="1882"/>
      <c r="R30" s="749"/>
      <c r="S30" s="750"/>
      <c r="T30" s="749"/>
      <c r="U30" s="750"/>
      <c r="V30" s="749"/>
      <c r="W30" s="750"/>
      <c r="X30" s="751"/>
      <c r="Y30" s="3025"/>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5"/>
      <c r="Z31" s="1897" t="str">
        <f t="shared" ref="Z31:Z45" si="13">Q31</f>
        <v>临街状况</v>
      </c>
      <c r="AA31" s="1898">
        <f t="shared" si="3"/>
        <v>1</v>
      </c>
      <c r="AB31" s="1898">
        <f t="shared" si="4"/>
        <v>1</v>
      </c>
      <c r="AC31" s="1898">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5"/>
      <c r="Q32" s="1894" t="str">
        <f t="shared" si="8"/>
        <v>毗邻道路的类型与等级</v>
      </c>
      <c r="R32" s="753" t="s">
        <v>25</v>
      </c>
      <c r="S32" s="754">
        <f t="shared" si="10"/>
        <v>100</v>
      </c>
      <c r="T32" s="753" t="s">
        <v>25</v>
      </c>
      <c r="U32" s="754">
        <f t="shared" si="11"/>
        <v>100</v>
      </c>
      <c r="V32" s="753" t="s">
        <v>25</v>
      </c>
      <c r="W32" s="754">
        <f t="shared" si="12"/>
        <v>100</v>
      </c>
      <c r="X32" s="1895"/>
      <c r="Y32" s="3025"/>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5"/>
      <c r="Q33" s="1894"/>
      <c r="R33" s="753"/>
      <c r="S33" s="754"/>
      <c r="T33" s="753"/>
      <c r="U33" s="754"/>
      <c r="V33" s="753"/>
      <c r="W33" s="754"/>
      <c r="X33" s="1895"/>
      <c r="Y33" s="3025"/>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5"/>
      <c r="Q34" s="1894" t="str">
        <f t="shared" si="8"/>
        <v>土地级别</v>
      </c>
      <c r="R34" s="753" t="s">
        <v>25</v>
      </c>
      <c r="S34" s="754">
        <f t="shared" si="10"/>
        <v>100</v>
      </c>
      <c r="T34" s="753" t="s">
        <v>25</v>
      </c>
      <c r="U34" s="754">
        <f t="shared" si="11"/>
        <v>100</v>
      </c>
      <c r="V34" s="753" t="s">
        <v>25</v>
      </c>
      <c r="W34" s="754">
        <f t="shared" si="12"/>
        <v>100</v>
      </c>
      <c r="X34" s="1895"/>
      <c r="Y34" s="3025"/>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5"/>
      <c r="Q35" s="1894">
        <f t="shared" si="8"/>
        <v>111</v>
      </c>
      <c r="R35" s="753" t="s">
        <v>25</v>
      </c>
      <c r="S35" s="754">
        <f t="shared" si="10"/>
        <v>100</v>
      </c>
      <c r="T35" s="753" t="s">
        <v>25</v>
      </c>
      <c r="U35" s="754">
        <f t="shared" si="11"/>
        <v>100</v>
      </c>
      <c r="V35" s="753" t="s">
        <v>25</v>
      </c>
      <c r="W35" s="754">
        <f t="shared" si="12"/>
        <v>100</v>
      </c>
      <c r="X35" s="1895"/>
      <c r="Y35" s="3025"/>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0" t="s">
        <v>2364</v>
      </c>
      <c r="Q36" s="1894">
        <f t="shared" si="8"/>
        <v>111</v>
      </c>
      <c r="R36" s="753" t="s">
        <v>25</v>
      </c>
      <c r="S36" s="754">
        <f t="shared" si="10"/>
        <v>100</v>
      </c>
      <c r="T36" s="753" t="s">
        <v>25</v>
      </c>
      <c r="U36" s="754">
        <f t="shared" si="11"/>
        <v>100</v>
      </c>
      <c r="V36" s="753" t="s">
        <v>25</v>
      </c>
      <c r="W36" s="754">
        <f t="shared" si="12"/>
        <v>100</v>
      </c>
      <c r="X36" s="1895"/>
      <c r="Y36" s="3029" t="s">
        <v>2364</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9"/>
      <c r="Q37" s="1894">
        <f t="shared" si="8"/>
        <v>111</v>
      </c>
      <c r="R37" s="756" t="s">
        <v>25</v>
      </c>
      <c r="S37" s="757">
        <f t="shared" si="10"/>
        <v>100</v>
      </c>
      <c r="T37" s="756" t="s">
        <v>25</v>
      </c>
      <c r="U37" s="757">
        <f t="shared" si="11"/>
        <v>100</v>
      </c>
      <c r="V37" s="756" t="s">
        <v>25</v>
      </c>
      <c r="W37" s="757">
        <f t="shared" si="12"/>
        <v>100</v>
      </c>
      <c r="X37" s="758"/>
      <c r="Y37" s="3029"/>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9"/>
      <c r="Q38" s="1894" t="str">
        <f>B38</f>
        <v>宗地面积</v>
      </c>
      <c r="R38" s="753" t="s">
        <v>25</v>
      </c>
      <c r="S38" s="754" t="e">
        <f t="shared" si="10"/>
        <v>#N/A</v>
      </c>
      <c r="T38" s="753" t="s">
        <v>25</v>
      </c>
      <c r="U38" s="754" t="e">
        <f t="shared" si="11"/>
        <v>#N/A</v>
      </c>
      <c r="V38" s="753" t="s">
        <v>25</v>
      </c>
      <c r="W38" s="754" t="e">
        <f t="shared" si="12"/>
        <v>#N/A</v>
      </c>
      <c r="X38" s="1895"/>
      <c r="Y38" s="3029"/>
      <c r="Z38" s="1897" t="str">
        <f t="shared" si="13"/>
        <v>宗地面积</v>
      </c>
      <c r="AA38" s="1898" t="e">
        <f t="shared" si="3"/>
        <v>#N/A</v>
      </c>
      <c r="AB38" s="1898" t="e">
        <f t="shared" si="4"/>
        <v>#N/A</v>
      </c>
      <c r="AC38" s="1898" t="e">
        <f t="shared" si="5"/>
        <v>#N/A</v>
      </c>
    </row>
    <row r="39" spans="1:29" ht="15">
      <c r="A39" s="453"/>
      <c r="B39" s="402" t="s">
        <v>2545</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29"/>
      <c r="Q39" s="1894" t="str">
        <f t="shared" ref="Q39:Q45" si="14">B39</f>
        <v>宗地形状</v>
      </c>
      <c r="R39" s="753" t="s">
        <v>25</v>
      </c>
      <c r="S39" s="754">
        <f t="shared" si="10"/>
        <v>100</v>
      </c>
      <c r="T39" s="753" t="s">
        <v>25</v>
      </c>
      <c r="U39" s="754">
        <f t="shared" si="11"/>
        <v>100</v>
      </c>
      <c r="V39" s="753" t="s">
        <v>25</v>
      </c>
      <c r="W39" s="754">
        <f t="shared" si="12"/>
        <v>100</v>
      </c>
      <c r="X39" s="1895"/>
      <c r="Y39" s="3029"/>
      <c r="Z39" s="1897" t="str">
        <f t="shared" si="13"/>
        <v>宗地形状</v>
      </c>
      <c r="AA39" s="1898">
        <f t="shared" si="3"/>
        <v>1</v>
      </c>
      <c r="AB39" s="1898">
        <f t="shared" si="4"/>
        <v>1</v>
      </c>
      <c r="AC39" s="1898">
        <f t="shared" si="5"/>
        <v>1</v>
      </c>
    </row>
    <row r="40" spans="1:29" ht="15">
      <c r="A40" s="453"/>
      <c r="B40" s="402" t="s">
        <v>2546</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29"/>
      <c r="Q40" s="1894" t="str">
        <f t="shared" si="14"/>
        <v>临街宽度及深度</v>
      </c>
      <c r="R40" s="753" t="s">
        <v>25</v>
      </c>
      <c r="S40" s="754">
        <f t="shared" si="10"/>
        <v>100</v>
      </c>
      <c r="T40" s="753" t="s">
        <v>25</v>
      </c>
      <c r="U40" s="754">
        <f t="shared" si="11"/>
        <v>100</v>
      </c>
      <c r="V40" s="753" t="s">
        <v>25</v>
      </c>
      <c r="W40" s="754">
        <f t="shared" si="12"/>
        <v>100</v>
      </c>
      <c r="X40" s="1895"/>
      <c r="Y40" s="3029"/>
      <c r="Z40" s="1897" t="str">
        <f t="shared" si="13"/>
        <v>临街宽度及深度</v>
      </c>
      <c r="AA40" s="1898">
        <f t="shared" si="3"/>
        <v>1</v>
      </c>
      <c r="AB40" s="1898">
        <f t="shared" si="4"/>
        <v>1</v>
      </c>
      <c r="AC40" s="1898">
        <f t="shared" si="5"/>
        <v>1</v>
      </c>
    </row>
    <row r="41" spans="1:29" s="35" customFormat="1" ht="15">
      <c r="A41" s="454"/>
      <c r="B41" s="402" t="s">
        <v>2547</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29"/>
      <c r="Q41" s="1894"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2548</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29" t="s">
        <v>2364</v>
      </c>
      <c r="Q42" s="1894" t="str">
        <f t="shared" si="14"/>
        <v>工程地质条件</v>
      </c>
      <c r="R42" s="753" t="s">
        <v>25</v>
      </c>
      <c r="S42" s="754">
        <f t="shared" si="10"/>
        <v>100</v>
      </c>
      <c r="T42" s="753" t="s">
        <v>25</v>
      </c>
      <c r="U42" s="754">
        <f t="shared" si="11"/>
        <v>100</v>
      </c>
      <c r="V42" s="753" t="s">
        <v>25</v>
      </c>
      <c r="W42" s="754">
        <f t="shared" si="12"/>
        <v>100</v>
      </c>
      <c r="X42" s="1895"/>
      <c r="Y42" s="3029" t="s">
        <v>2364</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9"/>
      <c r="Q43" s="1894">
        <f t="shared" si="14"/>
        <v>111</v>
      </c>
      <c r="R43" s="753" t="s">
        <v>25</v>
      </c>
      <c r="S43" s="754">
        <f t="shared" si="10"/>
        <v>100</v>
      </c>
      <c r="T43" s="753" t="s">
        <v>25</v>
      </c>
      <c r="U43" s="754">
        <f t="shared" si="11"/>
        <v>100</v>
      </c>
      <c r="V43" s="753" t="s">
        <v>25</v>
      </c>
      <c r="W43" s="754">
        <f t="shared" si="12"/>
        <v>100</v>
      </c>
      <c r="X43" s="1895"/>
      <c r="Y43" s="3029"/>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9"/>
      <c r="Q44" s="1894">
        <f t="shared" si="14"/>
        <v>111</v>
      </c>
      <c r="R44" s="753" t="s">
        <v>25</v>
      </c>
      <c r="S44" s="754">
        <f t="shared" si="10"/>
        <v>100</v>
      </c>
      <c r="T44" s="753" t="s">
        <v>25</v>
      </c>
      <c r="U44" s="754">
        <f t="shared" si="11"/>
        <v>100</v>
      </c>
      <c r="V44" s="753" t="s">
        <v>25</v>
      </c>
      <c r="W44" s="754">
        <f t="shared" si="12"/>
        <v>100</v>
      </c>
      <c r="X44" s="1895"/>
      <c r="Y44" s="3029"/>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9"/>
      <c r="Q45" s="1894">
        <f t="shared" si="14"/>
        <v>111</v>
      </c>
      <c r="R45" s="756" t="s">
        <v>25</v>
      </c>
      <c r="S45" s="757">
        <f t="shared" si="10"/>
        <v>100</v>
      </c>
      <c r="T45" s="756" t="s">
        <v>25</v>
      </c>
      <c r="U45" s="757">
        <f t="shared" si="11"/>
        <v>100</v>
      </c>
      <c r="V45" s="756" t="s">
        <v>25</v>
      </c>
      <c r="W45" s="757">
        <f t="shared" si="12"/>
        <v>100</v>
      </c>
      <c r="X45" s="758"/>
      <c r="Y45" s="3029"/>
      <c r="Z45" s="759">
        <f t="shared" si="13"/>
        <v>111</v>
      </c>
      <c r="AA45" s="1898">
        <f t="shared" si="3"/>
        <v>1</v>
      </c>
      <c r="AB45" s="1898">
        <f t="shared" si="4"/>
        <v>1</v>
      </c>
      <c r="AC45" s="1898">
        <f t="shared" si="5"/>
        <v>1</v>
      </c>
    </row>
    <row r="46" spans="1:29" ht="15">
      <c r="A46" s="460" t="s">
        <v>2512</v>
      </c>
      <c r="B46" s="2486" t="s">
        <v>2549</v>
      </c>
      <c r="C46" s="665" t="s">
        <v>1</v>
      </c>
      <c r="D46" s="462"/>
      <c r="E46" s="463"/>
      <c r="F46" s="464"/>
      <c r="G46" s="465"/>
      <c r="H46" s="466"/>
      <c r="I46" s="463"/>
      <c r="J46" s="466"/>
      <c r="K46" s="762"/>
      <c r="L46" s="1252"/>
      <c r="M46" s="1253"/>
      <c r="N46" s="1240"/>
      <c r="O46" s="1253"/>
      <c r="P46" s="3021" t="str">
        <f>A46</f>
        <v>成交单价</v>
      </c>
      <c r="Q46" s="3021"/>
      <c r="R46" s="3058">
        <f>E46</f>
        <v>0</v>
      </c>
      <c r="S46" s="3058"/>
      <c r="T46" s="3058">
        <f>G46</f>
        <v>0</v>
      </c>
      <c r="U46" s="3058"/>
      <c r="V46" s="3058">
        <f>I46</f>
        <v>0</v>
      </c>
      <c r="W46" s="3058"/>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3021" t="str">
        <f>A47</f>
        <v>比较价值（元/平方米）</v>
      </c>
      <c r="Q47" s="3021"/>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3018" t="str">
        <f>A48</f>
        <v>估价对象XX用房的比较价值（楼面单价，元/平方米）</v>
      </c>
      <c r="Q48" s="3019"/>
      <c r="R48" s="3072" t="e">
        <f>ROUND(AVERAGE(R47:V47),0)</f>
        <v>#DIV/0!</v>
      </c>
      <c r="S48" s="3072"/>
      <c r="T48" s="3072"/>
      <c r="U48" s="3072"/>
      <c r="V48" s="3072"/>
      <c r="W48" s="3072"/>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87" t="s">
        <v>2552</v>
      </c>
      <c r="D55" s="2488" t="s">
        <v>2553</v>
      </c>
      <c r="E55" s="669" t="s">
        <v>2554</v>
      </c>
      <c r="F55" s="670" t="s">
        <v>2555</v>
      </c>
      <c r="G55" s="62" t="s">
        <v>2556</v>
      </c>
      <c r="H55" s="62" t="str">
        <f>项目基本情况!G8</f>
        <v>XX</v>
      </c>
      <c r="I55" s="2489"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2561</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2562</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2563</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2564</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2565</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2566</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2567</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2020-5-1</v>
      </c>
      <c r="D68" s="1666">
        <f>EDATE(C68,-3)</f>
        <v>43862</v>
      </c>
      <c r="E68" s="1666">
        <f t="shared" ref="E68:O68" si="18">EDATE(D68,-3)</f>
        <v>43770</v>
      </c>
      <c r="F68" s="1666">
        <f t="shared" si="18"/>
        <v>43678</v>
      </c>
      <c r="G68" s="1666">
        <f t="shared" si="18"/>
        <v>43586</v>
      </c>
      <c r="H68" s="1666">
        <f t="shared" si="18"/>
        <v>43497</v>
      </c>
      <c r="I68" s="1666">
        <f t="shared" si="18"/>
        <v>43405</v>
      </c>
      <c r="J68" s="1666">
        <f t="shared" si="18"/>
        <v>43313</v>
      </c>
      <c r="K68" s="1666">
        <f t="shared" si="18"/>
        <v>43221</v>
      </c>
      <c r="L68" s="1666">
        <f t="shared" si="18"/>
        <v>43132</v>
      </c>
      <c r="M68" s="1666">
        <f t="shared" si="18"/>
        <v>43040</v>
      </c>
      <c r="N68" s="1666">
        <f t="shared" si="18"/>
        <v>42948</v>
      </c>
      <c r="O68" s="1666">
        <f t="shared" si="18"/>
        <v>42856</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90" t="s">
        <v>2569</v>
      </c>
      <c r="B70" s="1452"/>
      <c r="C70" s="1667" t="str">
        <f>YEAR(C68)&amp;"-"&amp;ROUNDUP(MONTH(C68)/3,0)</f>
        <v>2020-2</v>
      </c>
      <c r="D70" s="1667" t="str">
        <f>YEAR(D68)&amp;"-"&amp;ROUNDUP(MONTH(D68)/3,0)</f>
        <v>2020-1</v>
      </c>
      <c r="E70" s="1667" t="str">
        <f t="shared" ref="E70:O70" si="19">YEAR(E68)&amp;"-"&amp;ROUNDUP(MONTH(E68)/3,0)</f>
        <v>2019-4</v>
      </c>
      <c r="F70" s="1667" t="str">
        <f t="shared" si="19"/>
        <v>2019-3</v>
      </c>
      <c r="G70" s="1667" t="str">
        <f t="shared" si="19"/>
        <v>2019-2</v>
      </c>
      <c r="H70" s="1667" t="str">
        <f t="shared" si="19"/>
        <v>2019-1</v>
      </c>
      <c r="I70" s="1667" t="str">
        <f t="shared" si="19"/>
        <v>2018-4</v>
      </c>
      <c r="J70" s="1667" t="str">
        <f t="shared" si="19"/>
        <v>2018-3</v>
      </c>
      <c r="K70" s="1667" t="str">
        <f t="shared" si="19"/>
        <v>2018-2</v>
      </c>
      <c r="L70" s="1667" t="str">
        <f t="shared" si="19"/>
        <v>2018-1</v>
      </c>
      <c r="M70" s="1667" t="str">
        <f t="shared" si="19"/>
        <v>2017-4</v>
      </c>
      <c r="N70" s="1667" t="str">
        <f t="shared" si="19"/>
        <v>2017-3</v>
      </c>
      <c r="O70" s="1667" t="str">
        <f t="shared" si="19"/>
        <v>2017-2</v>
      </c>
      <c r="P70" s="1669"/>
    </row>
    <row r="71" spans="1:17" s="35" customFormat="1" ht="29.25" customHeight="1">
      <c r="A71" s="2491" t="s">
        <v>2570</v>
      </c>
      <c r="B71" s="284" t="str">
        <f>"北京市平均增长率"&amp;TEXT(SUMIF(基准地价修正!N21:N25,A71,基准地价修正!P21:P25),"0.00%")</f>
        <v>北京市平均增长率1.28%</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9"/>
      <c r="M4" s="1240"/>
      <c r="N4" s="1240"/>
      <c r="O4" s="1240"/>
      <c r="P4" s="3052" t="s">
        <v>2339</v>
      </c>
      <c r="Q4" s="3053"/>
      <c r="R4" s="3037" t="s">
        <v>2335</v>
      </c>
      <c r="S4" s="3038"/>
      <c r="T4" s="3037" t="s">
        <v>2336</v>
      </c>
      <c r="U4" s="3038"/>
      <c r="V4" s="3058" t="s">
        <v>2337</v>
      </c>
      <c r="W4" s="3058"/>
      <c r="X4" s="1895"/>
      <c r="Y4" s="3037" t="s">
        <v>2339</v>
      </c>
      <c r="Z4" s="3038"/>
      <c r="AA4" s="3045" t="s">
        <v>2335</v>
      </c>
      <c r="AB4" s="3046" t="s">
        <v>2336</v>
      </c>
      <c r="AC4" s="3045" t="s">
        <v>2337</v>
      </c>
    </row>
    <row r="5" spans="1:29" ht="15">
      <c r="A5" s="383"/>
      <c r="B5" s="384"/>
      <c r="C5" s="3033" t="s">
        <v>2340</v>
      </c>
      <c r="D5" s="3034"/>
      <c r="E5" s="3059" t="s">
        <v>2341</v>
      </c>
      <c r="F5" s="3060"/>
      <c r="G5" s="3033" t="s">
        <v>2342</v>
      </c>
      <c r="H5" s="3034"/>
      <c r="I5" s="3033" t="s">
        <v>2343</v>
      </c>
      <c r="J5" s="3034"/>
      <c r="K5" s="594"/>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2344</v>
      </c>
      <c r="D6" s="3032"/>
      <c r="E6" s="3061" t="s">
        <v>2344</v>
      </c>
      <c r="F6" s="3062"/>
      <c r="G6" s="3031" t="s">
        <v>2344</v>
      </c>
      <c r="H6" s="3032"/>
      <c r="I6" s="3031" t="s">
        <v>2344</v>
      </c>
      <c r="J6" s="3032"/>
      <c r="K6" s="594" t="s">
        <v>2345</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2346</v>
      </c>
      <c r="B7" s="388"/>
      <c r="C7" s="389">
        <f>'数据-取费表'!B2</f>
        <v>43965</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35" t="s">
        <v>2347</v>
      </c>
      <c r="Q7" s="3043"/>
      <c r="R7" s="749" t="s">
        <v>25</v>
      </c>
      <c r="S7" s="750">
        <f t="shared" ref="S7:S15" si="0">F7</f>
        <v>0</v>
      </c>
      <c r="T7" s="749" t="s">
        <v>25</v>
      </c>
      <c r="U7" s="750">
        <f t="shared" ref="U7:U15" si="1">H7</f>
        <v>0</v>
      </c>
      <c r="V7" s="749" t="s">
        <v>25</v>
      </c>
      <c r="W7" s="750">
        <f t="shared" ref="W7:W15" si="2">J7</f>
        <v>0</v>
      </c>
      <c r="X7" s="751"/>
      <c r="Y7" s="3035" t="s">
        <v>2347</v>
      </c>
      <c r="Z7" s="3036"/>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5" t="s">
        <v>2350</v>
      </c>
      <c r="Q8" s="3036"/>
      <c r="R8" s="749" t="s">
        <v>25</v>
      </c>
      <c r="S8" s="750">
        <f t="shared" si="0"/>
        <v>0</v>
      </c>
      <c r="T8" s="749" t="s">
        <v>25</v>
      </c>
      <c r="U8" s="750">
        <f t="shared" si="1"/>
        <v>0</v>
      </c>
      <c r="V8" s="749" t="s">
        <v>25</v>
      </c>
      <c r="W8" s="750">
        <f t="shared" si="2"/>
        <v>0</v>
      </c>
      <c r="X8" s="751"/>
      <c r="Y8" s="3035" t="s">
        <v>2350</v>
      </c>
      <c r="Z8" s="3036"/>
      <c r="AA8" s="752" t="e">
        <f t="shared" ref="AA8:AA40" si="3">D8/F8</f>
        <v>#DIV/0!</v>
      </c>
      <c r="AB8" s="752" t="e">
        <f t="shared" ref="AB8:AB40" si="4">D8/H8</f>
        <v>#DIV/0!</v>
      </c>
      <c r="AC8" s="752" t="e">
        <f t="shared" ref="AC8:AC40" si="5">D8/J8</f>
        <v>#DIV/0!</v>
      </c>
    </row>
    <row r="9" spans="1:29" s="35" customFormat="1">
      <c r="A9" s="395" t="s">
        <v>2351</v>
      </c>
      <c r="B9" s="28" t="s">
        <v>2352</v>
      </c>
      <c r="C9" s="2478" t="s">
        <v>2584</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21" t="s">
        <v>2353</v>
      </c>
      <c r="Q9" s="1882" t="str">
        <f t="shared" ref="Q9:Q15" si="6">B9</f>
        <v>用途</v>
      </c>
      <c r="R9" s="749" t="s">
        <v>25</v>
      </c>
      <c r="S9" s="750">
        <f t="shared" si="0"/>
        <v>100</v>
      </c>
      <c r="T9" s="749" t="s">
        <v>25</v>
      </c>
      <c r="U9" s="750">
        <f t="shared" si="1"/>
        <v>100</v>
      </c>
      <c r="V9" s="749" t="s">
        <v>25</v>
      </c>
      <c r="W9" s="750">
        <f t="shared" si="2"/>
        <v>100</v>
      </c>
      <c r="X9" s="751"/>
      <c r="Y9" s="2847"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121</v>
      </c>
      <c r="G10" s="412"/>
      <c r="H10" s="52">
        <f>ROUND(100/'数据-取费表'!B14,0)</f>
        <v>121</v>
      </c>
      <c r="I10" s="412"/>
      <c r="J10" s="52">
        <f>ROUND(100/'数据-取费表'!B14,0)</f>
        <v>121</v>
      </c>
      <c r="K10" s="655"/>
      <c r="L10" s="1244"/>
      <c r="M10" s="1245"/>
      <c r="N10" s="1245"/>
      <c r="O10" s="1246"/>
      <c r="P10" s="3021"/>
      <c r="Q10" s="1882" t="str">
        <f t="shared" si="6"/>
        <v>土地使用年限（年）</v>
      </c>
      <c r="R10" s="749" t="s">
        <v>25</v>
      </c>
      <c r="S10" s="750">
        <f t="shared" si="0"/>
        <v>121</v>
      </c>
      <c r="T10" s="749" t="s">
        <v>25</v>
      </c>
      <c r="U10" s="750">
        <f t="shared" si="1"/>
        <v>121</v>
      </c>
      <c r="V10" s="749" t="s">
        <v>25</v>
      </c>
      <c r="W10" s="750">
        <f t="shared" si="2"/>
        <v>121</v>
      </c>
      <c r="X10" s="751"/>
      <c r="Y10" s="2847"/>
      <c r="Z10" s="23" t="str">
        <f t="shared" si="7"/>
        <v>土地使用年限（年）</v>
      </c>
      <c r="AA10" s="752">
        <f t="shared" si="3"/>
        <v>0.82644628099173556</v>
      </c>
      <c r="AB10" s="752">
        <f t="shared" si="4"/>
        <v>0.82644628099173556</v>
      </c>
      <c r="AC10" s="752">
        <f t="shared" si="5"/>
        <v>0.82644628099173556</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2357</v>
      </c>
      <c r="B15" s="613" t="s">
        <v>2585</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4" t="s">
        <v>2358</v>
      </c>
      <c r="Q15" s="1894" t="str">
        <f t="shared" si="6"/>
        <v>产业集聚程度</v>
      </c>
      <c r="R15" s="753" t="s">
        <v>25</v>
      </c>
      <c r="S15" s="754">
        <f t="shared" si="0"/>
        <v>100</v>
      </c>
      <c r="T15" s="753" t="s">
        <v>25</v>
      </c>
      <c r="U15" s="754">
        <f t="shared" si="1"/>
        <v>100</v>
      </c>
      <c r="V15" s="753" t="s">
        <v>25</v>
      </c>
      <c r="W15" s="754">
        <f t="shared" si="2"/>
        <v>100</v>
      </c>
      <c r="X15" s="1895"/>
      <c r="Y15" s="3024"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5"/>
      <c r="Q16" s="1894"/>
      <c r="R16" s="753"/>
      <c r="S16" s="754"/>
      <c r="T16" s="753"/>
      <c r="U16" s="754"/>
      <c r="V16" s="753"/>
      <c r="W16" s="754"/>
      <c r="X16" s="1895"/>
      <c r="Y16" s="3025"/>
      <c r="Z16" s="1897"/>
      <c r="AA16" s="1898">
        <v>1</v>
      </c>
      <c r="AB16" s="1898">
        <v>1</v>
      </c>
      <c r="AC16" s="1898">
        <v>1</v>
      </c>
    </row>
    <row r="17" spans="1:29" ht="85.5">
      <c r="A17" s="408"/>
      <c r="B17" s="615" t="s">
        <v>2501</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25"/>
      <c r="Q18" s="1894"/>
      <c r="R18" s="753"/>
      <c r="S18" s="754"/>
      <c r="T18" s="753"/>
      <c r="U18" s="754"/>
      <c r="V18" s="753"/>
      <c r="W18" s="754"/>
      <c r="X18" s="1895"/>
      <c r="Y18" s="3025"/>
      <c r="Z18" s="1897"/>
      <c r="AA18" s="1898">
        <v>1</v>
      </c>
      <c r="AB18" s="1898">
        <v>1</v>
      </c>
      <c r="AC18" s="1898">
        <v>1</v>
      </c>
    </row>
    <row r="19" spans="1:29" ht="15">
      <c r="A19" s="408"/>
      <c r="B19" s="615" t="s">
        <v>2541</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5"/>
      <c r="Q19" s="1894" t="str">
        <f t="shared" ref="Q19:Q33" si="8">B19</f>
        <v>区域土地利用方向</v>
      </c>
      <c r="R19" s="753" t="s">
        <v>25</v>
      </c>
      <c r="S19" s="754">
        <f>F19</f>
        <v>100</v>
      </c>
      <c r="T19" s="753" t="s">
        <v>25</v>
      </c>
      <c r="U19" s="754">
        <f>H19</f>
        <v>100</v>
      </c>
      <c r="V19" s="753" t="s">
        <v>25</v>
      </c>
      <c r="W19" s="754">
        <f>J19</f>
        <v>100</v>
      </c>
      <c r="X19" s="1895"/>
      <c r="Y19" s="302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5"/>
      <c r="Q20" s="1894"/>
      <c r="R20" s="753"/>
      <c r="S20" s="754"/>
      <c r="T20" s="753"/>
      <c r="U20" s="754"/>
      <c r="V20" s="753"/>
      <c r="W20" s="754"/>
      <c r="X20" s="1895"/>
      <c r="Y20" s="3025"/>
      <c r="Z20" s="1897"/>
      <c r="AA20" s="1898"/>
      <c r="AB20" s="1898"/>
      <c r="AC20" s="1898"/>
    </row>
    <row r="21" spans="1:29" ht="71.25">
      <c r="A21" s="383"/>
      <c r="B21" s="615" t="s">
        <v>2586</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5"/>
      <c r="Q21" s="1894" t="str">
        <f t="shared" si="8"/>
        <v>环境状况</v>
      </c>
      <c r="R21" s="753" t="s">
        <v>25</v>
      </c>
      <c r="S21" s="754">
        <f>F21</f>
        <v>100</v>
      </c>
      <c r="T21" s="753" t="s">
        <v>25</v>
      </c>
      <c r="U21" s="754">
        <f>H21</f>
        <v>100</v>
      </c>
      <c r="V21" s="753" t="s">
        <v>25</v>
      </c>
      <c r="W21" s="754">
        <f>J21</f>
        <v>100</v>
      </c>
      <c r="X21" s="1895"/>
      <c r="Y21" s="3025"/>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5"/>
      <c r="Q22" s="1894"/>
      <c r="R22" s="753"/>
      <c r="S22" s="754"/>
      <c r="T22" s="753"/>
      <c r="U22" s="754"/>
      <c r="V22" s="753"/>
      <c r="W22" s="754"/>
      <c r="X22" s="1895"/>
      <c r="Y22" s="3025"/>
      <c r="Z22" s="1897"/>
      <c r="AA22" s="1898">
        <v>1</v>
      </c>
      <c r="AB22" s="1898">
        <v>1</v>
      </c>
      <c r="AC22" s="1898">
        <v>1</v>
      </c>
    </row>
    <row r="23" spans="1:29" s="35" customFormat="1" ht="42.75">
      <c r="A23" s="633"/>
      <c r="B23" s="615" t="s">
        <v>2444</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5"/>
      <c r="Q23" s="1882" t="str">
        <f t="shared" si="8"/>
        <v>公共配套设施</v>
      </c>
      <c r="R23" s="749" t="s">
        <v>25</v>
      </c>
      <c r="S23" s="750">
        <f>F23</f>
        <v>100</v>
      </c>
      <c r="T23" s="749" t="s">
        <v>25</v>
      </c>
      <c r="U23" s="750">
        <f>H23</f>
        <v>100</v>
      </c>
      <c r="V23" s="749" t="s">
        <v>25</v>
      </c>
      <c r="W23" s="750">
        <f>J23</f>
        <v>100</v>
      </c>
      <c r="X23" s="751"/>
      <c r="Y23" s="3025"/>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25"/>
      <c r="Q24" s="1882"/>
      <c r="R24" s="749"/>
      <c r="S24" s="750"/>
      <c r="T24" s="749"/>
      <c r="U24" s="750"/>
      <c r="V24" s="749"/>
      <c r="W24" s="750"/>
      <c r="X24" s="751"/>
      <c r="Y24" s="3025"/>
      <c r="Z24" s="23"/>
      <c r="AA24" s="752">
        <v>1</v>
      </c>
      <c r="AB24" s="752">
        <v>1</v>
      </c>
      <c r="AC24" s="752">
        <v>1</v>
      </c>
    </row>
    <row r="25" spans="1:29" s="35" customFormat="1" ht="28.5">
      <c r="A25" s="633"/>
      <c r="B25" s="617" t="s">
        <v>2445</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5"/>
      <c r="Q25" s="1882" t="str">
        <f t="shared" ref="Q25" si="9">B25</f>
        <v>基础设施水平</v>
      </c>
      <c r="R25" s="749" t="s">
        <v>25</v>
      </c>
      <c r="S25" s="750">
        <f>F25</f>
        <v>100</v>
      </c>
      <c r="T25" s="749" t="s">
        <v>25</v>
      </c>
      <c r="U25" s="750">
        <f>H25</f>
        <v>100</v>
      </c>
      <c r="V25" s="749" t="s">
        <v>25</v>
      </c>
      <c r="W25" s="750">
        <f>J25</f>
        <v>100</v>
      </c>
      <c r="X25" s="751"/>
      <c r="Y25" s="3025"/>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25"/>
      <c r="Q26" s="1882"/>
      <c r="R26" s="749"/>
      <c r="S26" s="750"/>
      <c r="T26" s="749"/>
      <c r="U26" s="750"/>
      <c r="V26" s="749"/>
      <c r="W26" s="750"/>
      <c r="X26" s="751"/>
      <c r="Y26" s="3025"/>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5"/>
      <c r="Z27" s="1897" t="str">
        <f t="shared" ref="Z27:Z40" si="13">Q27</f>
        <v>临街状况</v>
      </c>
      <c r="AA27" s="1898">
        <f t="shared" si="3"/>
        <v>1</v>
      </c>
      <c r="AB27" s="1898">
        <f t="shared" si="4"/>
        <v>1</v>
      </c>
      <c r="AC27" s="1898">
        <f t="shared" si="5"/>
        <v>1</v>
      </c>
    </row>
    <row r="28" spans="1:29" ht="27">
      <c r="A28" s="408"/>
      <c r="B28" s="617" t="s">
        <v>2476</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5"/>
      <c r="Q28" s="1894" t="str">
        <f t="shared" si="8"/>
        <v>毗邻道路的类型与等级</v>
      </c>
      <c r="R28" s="753" t="s">
        <v>25</v>
      </c>
      <c r="S28" s="754">
        <f t="shared" si="10"/>
        <v>100</v>
      </c>
      <c r="T28" s="753" t="s">
        <v>25</v>
      </c>
      <c r="U28" s="754">
        <f t="shared" si="11"/>
        <v>100</v>
      </c>
      <c r="V28" s="753" t="s">
        <v>25</v>
      </c>
      <c r="W28" s="754">
        <f t="shared" si="12"/>
        <v>100</v>
      </c>
      <c r="X28" s="1895"/>
      <c r="Y28" s="3025"/>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5"/>
      <c r="Q29" s="1894"/>
      <c r="R29" s="753"/>
      <c r="S29" s="754"/>
      <c r="T29" s="753"/>
      <c r="U29" s="754"/>
      <c r="V29" s="753"/>
      <c r="W29" s="754"/>
      <c r="X29" s="1895"/>
      <c r="Y29" s="3025"/>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5"/>
      <c r="Q30" s="1894" t="str">
        <f t="shared" si="8"/>
        <v>土地级别</v>
      </c>
      <c r="R30" s="753" t="s">
        <v>25</v>
      </c>
      <c r="S30" s="754">
        <f t="shared" si="10"/>
        <v>100</v>
      </c>
      <c r="T30" s="753" t="s">
        <v>25</v>
      </c>
      <c r="U30" s="754">
        <f t="shared" si="11"/>
        <v>100</v>
      </c>
      <c r="V30" s="753" t="s">
        <v>25</v>
      </c>
      <c r="W30" s="754">
        <f t="shared" si="12"/>
        <v>100</v>
      </c>
      <c r="X30" s="1895"/>
      <c r="Y30" s="3025"/>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5"/>
      <c r="Q31" s="1894">
        <f t="shared" si="8"/>
        <v>111</v>
      </c>
      <c r="R31" s="753" t="s">
        <v>25</v>
      </c>
      <c r="S31" s="754">
        <f t="shared" si="10"/>
        <v>100</v>
      </c>
      <c r="T31" s="753" t="s">
        <v>25</v>
      </c>
      <c r="U31" s="754">
        <f t="shared" si="11"/>
        <v>100</v>
      </c>
      <c r="V31" s="753" t="s">
        <v>25</v>
      </c>
      <c r="W31" s="754">
        <f t="shared" si="12"/>
        <v>100</v>
      </c>
      <c r="X31" s="1895"/>
      <c r="Y31" s="3025"/>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0" t="s">
        <v>2364</v>
      </c>
      <c r="Q32" s="1894">
        <f t="shared" si="8"/>
        <v>111</v>
      </c>
      <c r="R32" s="753" t="s">
        <v>25</v>
      </c>
      <c r="S32" s="754">
        <f t="shared" si="10"/>
        <v>100</v>
      </c>
      <c r="T32" s="753" t="s">
        <v>25</v>
      </c>
      <c r="U32" s="754">
        <f t="shared" si="11"/>
        <v>100</v>
      </c>
      <c r="V32" s="753" t="s">
        <v>25</v>
      </c>
      <c r="W32" s="754">
        <f t="shared" si="12"/>
        <v>100</v>
      </c>
      <c r="X32" s="1895"/>
      <c r="Y32" s="3029" t="s">
        <v>2364</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9"/>
      <c r="Q33" s="1894">
        <f t="shared" si="8"/>
        <v>111</v>
      </c>
      <c r="R33" s="756" t="s">
        <v>25</v>
      </c>
      <c r="S33" s="757">
        <f t="shared" si="10"/>
        <v>100</v>
      </c>
      <c r="T33" s="756" t="s">
        <v>25</v>
      </c>
      <c r="U33" s="757">
        <f t="shared" si="11"/>
        <v>100</v>
      </c>
      <c r="V33" s="756" t="s">
        <v>25</v>
      </c>
      <c r="W33" s="757">
        <f t="shared" si="12"/>
        <v>100</v>
      </c>
      <c r="X33" s="758"/>
      <c r="Y33" s="3029"/>
      <c r="Z33" s="759">
        <f t="shared" si="13"/>
        <v>111</v>
      </c>
      <c r="AA33" s="1898">
        <f t="shared" si="3"/>
        <v>1</v>
      </c>
      <c r="AB33" s="1898">
        <f t="shared" si="4"/>
        <v>1</v>
      </c>
      <c r="AC33" s="1898">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9"/>
      <c r="Q34" s="1894" t="str">
        <f>B34</f>
        <v>宗地面积</v>
      </c>
      <c r="R34" s="753" t="s">
        <v>25</v>
      </c>
      <c r="S34" s="754" t="e">
        <f t="shared" si="10"/>
        <v>#N/A</v>
      </c>
      <c r="T34" s="753" t="s">
        <v>25</v>
      </c>
      <c r="U34" s="754" t="e">
        <f t="shared" si="11"/>
        <v>#N/A</v>
      </c>
      <c r="V34" s="753" t="s">
        <v>25</v>
      </c>
      <c r="W34" s="754" t="e">
        <f t="shared" si="12"/>
        <v>#N/A</v>
      </c>
      <c r="X34" s="1895"/>
      <c r="Y34" s="3029"/>
      <c r="Z34" s="1897" t="str">
        <f t="shared" si="13"/>
        <v>宗地面积</v>
      </c>
      <c r="AA34" s="1898" t="e">
        <f t="shared" si="3"/>
        <v>#N/A</v>
      </c>
      <c r="AB34" s="1898" t="e">
        <f t="shared" si="4"/>
        <v>#N/A</v>
      </c>
      <c r="AC34" s="1898" t="e">
        <f t="shared" si="5"/>
        <v>#N/A</v>
      </c>
    </row>
    <row r="35" spans="1:29" ht="15">
      <c r="A35" s="453"/>
      <c r="B35" s="402" t="s">
        <v>2545</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29"/>
      <c r="Q35" s="1894" t="str">
        <f t="shared" ref="Q35:Q40" si="14">B35</f>
        <v>宗地形状</v>
      </c>
      <c r="R35" s="753" t="s">
        <v>25</v>
      </c>
      <c r="S35" s="754">
        <f t="shared" si="10"/>
        <v>100</v>
      </c>
      <c r="T35" s="753" t="s">
        <v>25</v>
      </c>
      <c r="U35" s="754">
        <f t="shared" si="11"/>
        <v>100</v>
      </c>
      <c r="V35" s="753" t="s">
        <v>25</v>
      </c>
      <c r="W35" s="754">
        <f t="shared" si="12"/>
        <v>100</v>
      </c>
      <c r="X35" s="1895"/>
      <c r="Y35" s="3029"/>
      <c r="Z35" s="1897" t="str">
        <f t="shared" si="13"/>
        <v>宗地形状</v>
      </c>
      <c r="AA35" s="1898">
        <f t="shared" si="3"/>
        <v>1</v>
      </c>
      <c r="AB35" s="1898">
        <f t="shared" si="4"/>
        <v>1</v>
      </c>
      <c r="AC35" s="1898">
        <f t="shared" si="5"/>
        <v>1</v>
      </c>
    </row>
    <row r="36" spans="1:29" s="35" customFormat="1" ht="15">
      <c r="A36" s="454"/>
      <c r="B36" s="402" t="s">
        <v>2547</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29"/>
      <c r="Q36" s="1894"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2548</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29" t="s">
        <v>2364</v>
      </c>
      <c r="Q37" s="1894" t="str">
        <f t="shared" si="14"/>
        <v>工程地质条件</v>
      </c>
      <c r="R37" s="753" t="s">
        <v>25</v>
      </c>
      <c r="S37" s="754">
        <f t="shared" si="10"/>
        <v>100</v>
      </c>
      <c r="T37" s="753" t="s">
        <v>25</v>
      </c>
      <c r="U37" s="754">
        <f t="shared" si="11"/>
        <v>100</v>
      </c>
      <c r="V37" s="753" t="s">
        <v>25</v>
      </c>
      <c r="W37" s="754">
        <f t="shared" si="12"/>
        <v>100</v>
      </c>
      <c r="X37" s="1895"/>
      <c r="Y37" s="3029" t="s">
        <v>2364</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9"/>
      <c r="Q38" s="1894">
        <f t="shared" si="14"/>
        <v>111</v>
      </c>
      <c r="R38" s="753" t="s">
        <v>25</v>
      </c>
      <c r="S38" s="754">
        <f t="shared" si="10"/>
        <v>100</v>
      </c>
      <c r="T38" s="753" t="s">
        <v>25</v>
      </c>
      <c r="U38" s="754">
        <f t="shared" si="11"/>
        <v>100</v>
      </c>
      <c r="V38" s="753" t="s">
        <v>25</v>
      </c>
      <c r="W38" s="754">
        <f t="shared" si="12"/>
        <v>100</v>
      </c>
      <c r="X38" s="1895"/>
      <c r="Y38" s="3029"/>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9"/>
      <c r="Q39" s="1894">
        <f t="shared" si="14"/>
        <v>111</v>
      </c>
      <c r="R39" s="753" t="s">
        <v>25</v>
      </c>
      <c r="S39" s="754">
        <f t="shared" si="10"/>
        <v>100</v>
      </c>
      <c r="T39" s="753" t="s">
        <v>25</v>
      </c>
      <c r="U39" s="754">
        <f t="shared" si="11"/>
        <v>100</v>
      </c>
      <c r="V39" s="753" t="s">
        <v>25</v>
      </c>
      <c r="W39" s="754">
        <f t="shared" si="12"/>
        <v>100</v>
      </c>
      <c r="X39" s="1895"/>
      <c r="Y39" s="3029"/>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9"/>
      <c r="Q40" s="1894">
        <f t="shared" si="14"/>
        <v>111</v>
      </c>
      <c r="R40" s="756" t="s">
        <v>25</v>
      </c>
      <c r="S40" s="757">
        <f t="shared" si="10"/>
        <v>100</v>
      </c>
      <c r="T40" s="756" t="s">
        <v>25</v>
      </c>
      <c r="U40" s="757">
        <f t="shared" si="11"/>
        <v>100</v>
      </c>
      <c r="V40" s="756" t="s">
        <v>25</v>
      </c>
      <c r="W40" s="757">
        <f t="shared" si="12"/>
        <v>100</v>
      </c>
      <c r="X40" s="758"/>
      <c r="Y40" s="3029"/>
      <c r="Z40" s="759">
        <f t="shared" si="13"/>
        <v>111</v>
      </c>
      <c r="AA40" s="1898">
        <f t="shared" si="3"/>
        <v>1</v>
      </c>
      <c r="AB40" s="1898">
        <f t="shared" si="4"/>
        <v>1</v>
      </c>
      <c r="AC40" s="1898">
        <f t="shared" si="5"/>
        <v>1</v>
      </c>
    </row>
    <row r="41" spans="1:29" ht="15">
      <c r="A41" s="460" t="s">
        <v>2512</v>
      </c>
      <c r="B41" s="2486" t="s">
        <v>2587</v>
      </c>
      <c r="C41" s="665" t="s">
        <v>1</v>
      </c>
      <c r="D41" s="462"/>
      <c r="E41" s="463"/>
      <c r="F41" s="464"/>
      <c r="G41" s="465"/>
      <c r="H41" s="466"/>
      <c r="I41" s="463"/>
      <c r="J41" s="466"/>
      <c r="K41" s="762"/>
      <c r="L41" s="1252"/>
      <c r="M41" s="1240"/>
      <c r="N41" s="1240"/>
      <c r="O41" s="1253"/>
      <c r="P41" s="3021" t="str">
        <f>A41</f>
        <v>成交单价</v>
      </c>
      <c r="Q41" s="3021"/>
      <c r="R41" s="3058">
        <f>E41</f>
        <v>0</v>
      </c>
      <c r="S41" s="3058"/>
      <c r="T41" s="3058">
        <f>G41</f>
        <v>0</v>
      </c>
      <c r="U41" s="3058"/>
      <c r="V41" s="3058">
        <f>I41</f>
        <v>0</v>
      </c>
      <c r="W41" s="3058"/>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3021" t="str">
        <f>A42</f>
        <v>比较价值（元/平方米）</v>
      </c>
      <c r="Q42" s="3021"/>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18" t="str">
        <f>A43</f>
        <v>估价对象XX用房的比较价值（楼面单价，元/平方米）</v>
      </c>
      <c r="Q43" s="3019"/>
      <c r="R43" s="3072" t="e">
        <f>ROUND(AVERAGE(R42:V42),0)</f>
        <v>#DIV/0!</v>
      </c>
      <c r="S43" s="3072"/>
      <c r="T43" s="3072"/>
      <c r="U43" s="3072"/>
      <c r="V43" s="3072"/>
      <c r="W43" s="3072"/>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87" t="s">
        <v>2552</v>
      </c>
      <c r="D50" s="2488" t="s">
        <v>2553</v>
      </c>
      <c r="E50" s="669" t="s">
        <v>2554</v>
      </c>
      <c r="F50" s="670" t="s">
        <v>2555</v>
      </c>
      <c r="G50" s="1897" t="s">
        <v>2588</v>
      </c>
      <c r="H50" s="1897" t="str">
        <f>项目基本情况!G8</f>
        <v>XX</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2561</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2562</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2563</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2564</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2565</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2566</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2567</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2020-5-1</v>
      </c>
      <c r="D63" s="1666">
        <f>EDATE(C63,-3)</f>
        <v>43862</v>
      </c>
      <c r="E63" s="1666">
        <f t="shared" ref="E63:O63" si="18">EDATE(D63,-3)</f>
        <v>43770</v>
      </c>
      <c r="F63" s="1666">
        <f t="shared" si="18"/>
        <v>43678</v>
      </c>
      <c r="G63" s="1666">
        <f t="shared" si="18"/>
        <v>43586</v>
      </c>
      <c r="H63" s="1666">
        <f t="shared" si="18"/>
        <v>43497</v>
      </c>
      <c r="I63" s="1666">
        <f t="shared" si="18"/>
        <v>43405</v>
      </c>
      <c r="J63" s="1666">
        <f t="shared" si="18"/>
        <v>43313</v>
      </c>
      <c r="K63" s="1666">
        <f t="shared" si="18"/>
        <v>43221</v>
      </c>
      <c r="L63" s="1666">
        <f t="shared" si="18"/>
        <v>43132</v>
      </c>
      <c r="M63" s="1666">
        <f t="shared" si="18"/>
        <v>43040</v>
      </c>
      <c r="N63" s="1666">
        <f t="shared" si="18"/>
        <v>42948</v>
      </c>
      <c r="O63" s="1666">
        <f t="shared" si="18"/>
        <v>42856</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90" t="s">
        <v>2569</v>
      </c>
      <c r="B65" s="1452"/>
      <c r="C65" s="1667" t="str">
        <f>YEAR(C63)&amp;"-"&amp;ROUNDUP(MONTH(C63)/3,0)</f>
        <v>2020-2</v>
      </c>
      <c r="D65" s="1667" t="str">
        <f t="shared" ref="D65:O65" si="19">YEAR(D63)&amp;"-"&amp;ROUNDUP(MONTH(D63)/3,0)</f>
        <v>2020-1</v>
      </c>
      <c r="E65" s="1667" t="str">
        <f t="shared" si="19"/>
        <v>2019-4</v>
      </c>
      <c r="F65" s="1667" t="str">
        <f t="shared" si="19"/>
        <v>2019-3</v>
      </c>
      <c r="G65" s="1667" t="str">
        <f t="shared" si="19"/>
        <v>2019-2</v>
      </c>
      <c r="H65" s="1667" t="str">
        <f t="shared" si="19"/>
        <v>2019-1</v>
      </c>
      <c r="I65" s="1667" t="str">
        <f t="shared" si="19"/>
        <v>2018-4</v>
      </c>
      <c r="J65" s="1667" t="str">
        <f t="shared" si="19"/>
        <v>2018-3</v>
      </c>
      <c r="K65" s="1667" t="str">
        <f t="shared" si="19"/>
        <v>2018-2</v>
      </c>
      <c r="L65" s="1667" t="str">
        <f t="shared" si="19"/>
        <v>2018-1</v>
      </c>
      <c r="M65" s="1667" t="str">
        <f t="shared" si="19"/>
        <v>2017-4</v>
      </c>
      <c r="N65" s="1667" t="str">
        <f t="shared" si="19"/>
        <v>2017-3</v>
      </c>
      <c r="O65" s="1667" t="str">
        <f t="shared" si="19"/>
        <v>2017-2</v>
      </c>
      <c r="P65" s="488"/>
    </row>
    <row r="66" spans="1:17" s="35" customFormat="1" ht="33.75" customHeight="1">
      <c r="A66" s="2496" t="s">
        <v>2589</v>
      </c>
      <c r="B66" s="284" t="str">
        <f>"北京市平均增长率"&amp;TEXT(基准地价修正!P24,"0.00%")</f>
        <v>北京市平均增长率1.31%</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C10" sqref="C10:D10"/>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北京银行华安支行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受您的委托，我公司对北京市北京市通州区枫露苑一区甲1号楼1至4层甲1号楼房地产进行了预评估。</v>
      </c>
      <c r="B4" s="1912"/>
      <c r="C4" s="1912"/>
      <c r="D4" s="1912"/>
      <c r="E4" s="1912"/>
      <c r="F4" s="1912"/>
      <c r="G4" s="1912"/>
    </row>
    <row r="5" spans="1:7" ht="18.75">
      <c r="A5" s="1913" t="s">
        <v>1261</v>
      </c>
    </row>
    <row r="6" spans="1:7" s="1914" customFormat="1" ht="7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通州区枫露苑一区甲1号楼1至4层甲1号楼房地产，为北京先科中电电力技术设备有限公司所有。根据《不动产权证书》[京（2019）通不动产权第0007979号]，估价对象建筑面积为3600.5平方米，（分摊）出让国有建设用地使用权面积为1441.8平方米。估价对象用途为。</v>
      </c>
      <c r="B6" s="1912"/>
      <c r="C6" s="1912"/>
      <c r="D6" s="1912"/>
      <c r="E6" s="1912"/>
      <c r="F6" s="1912"/>
      <c r="G6" s="1912"/>
    </row>
    <row r="7" spans="1:7" ht="18.75">
      <c r="A7" s="1913" t="s">
        <v>1262</v>
      </c>
    </row>
    <row r="8" spans="1:7" ht="90">
      <c r="A8" s="1915" t="str">
        <f>IF(项目基本情况!D4="抵押",IF(项目基本情况!B4=项目基本情况!B5,定义!C51,定义!B51),定义!D51)</f>
        <v>北京先科中电电力技术设备有限公司拟使用北京市北京市通州区枫露苑一区甲1号楼1至4层甲1号楼房地产作为抵押担保物，向北京银行华安支行办理贷款手续。北京银行华安支行特委托北京康正宏基房地产评估有限公司对上述抵押物进行评估。本次评估为确定房地产抵押贷款额度提供参考依据而评估房地产抵押价值。</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2020年5月14日（评估专业人员实地查勘之日）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本次估价的“房地产价值”是指在正常市场情况下，在价值时点2020年5月14日，估价对象规划用途为，假定未设立法定优先受偿款下的房地产市场价值。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1259</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H24" sqref="H24"/>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2590</v>
      </c>
      <c r="B1" s="2498"/>
      <c r="C1" s="162" t="s">
        <v>2591</v>
      </c>
      <c r="D1" s="2499">
        <f>SUM(D29:D30,D33:D39)</f>
        <v>3600.5</v>
      </c>
      <c r="E1" s="2499"/>
      <c r="F1" s="2499"/>
      <c r="G1" s="2499"/>
      <c r="H1" s="2499"/>
      <c r="I1" s="2499"/>
      <c r="J1" s="2499"/>
      <c r="L1" s="2500"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f ca="1">C26</f>
        <v>46050395</v>
      </c>
      <c r="C2" s="2502" t="s">
        <v>2599</v>
      </c>
      <c r="D2" s="2503" t="s">
        <v>2600</v>
      </c>
      <c r="E2" s="2504" t="s">
        <v>2835</v>
      </c>
      <c r="F2" s="2503" t="s">
        <v>2601</v>
      </c>
      <c r="G2" s="2505" t="str">
        <f>项目基本情况!F9</f>
        <v>七级</v>
      </c>
      <c r="H2" s="2506" t="s">
        <v>2602</v>
      </c>
      <c r="I2" s="2505" t="str">
        <f>项目基本情况!F10</f>
        <v>Ⅶ-通1</v>
      </c>
      <c r="J2" s="2507"/>
      <c r="L2" s="2508" t="s">
        <v>2603</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23826</v>
      </c>
      <c r="U2" s="1706"/>
      <c r="V2" s="1705">
        <f ca="1">ROUND(T2*U2/10000,0)</f>
        <v>0</v>
      </c>
      <c r="W2" s="1709"/>
      <c r="X2" s="1709"/>
      <c r="Y2" s="1709"/>
      <c r="Z2" s="1709"/>
      <c r="AA2" s="1709"/>
      <c r="AB2" s="1709"/>
      <c r="AC2" s="1710"/>
      <c r="AD2" s="1711"/>
      <c r="AE2" s="1711"/>
      <c r="AF2" s="1711"/>
      <c r="AG2" s="1711"/>
      <c r="AH2" s="1711"/>
      <c r="AI2" s="1711"/>
      <c r="AJ2" s="1712"/>
    </row>
    <row r="3" spans="1:36" ht="25.5">
      <c r="A3" s="167" t="s">
        <v>2604</v>
      </c>
      <c r="B3" s="168">
        <f ca="1">ROUND(B2/D1,0)</f>
        <v>12790</v>
      </c>
      <c r="C3" s="2502" t="s">
        <v>2605</v>
      </c>
      <c r="D3" s="2503" t="s">
        <v>2606</v>
      </c>
      <c r="E3" s="2509" t="s">
        <v>2838</v>
      </c>
      <c r="F3" s="2510" t="s">
        <v>2607</v>
      </c>
      <c r="G3" s="941">
        <f>项目基本情况!C15</f>
        <v>2.5</v>
      </c>
      <c r="H3" s="115" t="s">
        <v>2608</v>
      </c>
      <c r="I3" s="970"/>
      <c r="J3" s="2507" t="s">
        <v>2609</v>
      </c>
      <c r="L3" s="2508" t="s">
        <v>2610</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17103</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76"/>
      <c r="B4" s="3077"/>
      <c r="C4" s="3077"/>
      <c r="D4" s="3078"/>
      <c r="E4" s="3078"/>
      <c r="F4" s="3078"/>
      <c r="G4" s="3078"/>
      <c r="H4" s="3078"/>
      <c r="I4" s="3078"/>
      <c r="J4" s="3079"/>
      <c r="L4" s="2508" t="s">
        <v>2611</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1.0788</v>
      </c>
      <c r="T4" s="1705">
        <f t="shared" ca="1" si="0"/>
        <v>13798</v>
      </c>
      <c r="U4" s="1706"/>
      <c r="V4" s="1705">
        <f t="shared" ca="1" si="1"/>
        <v>0</v>
      </c>
      <c r="W4" s="1709"/>
      <c r="X4" s="1709"/>
      <c r="Y4" s="1709"/>
      <c r="Z4" s="1709"/>
      <c r="AA4" s="1709"/>
      <c r="AB4" s="1709"/>
      <c r="AC4" s="1710"/>
      <c r="AD4" s="1711"/>
      <c r="AE4" s="1711"/>
      <c r="AF4" s="1711"/>
      <c r="AG4" s="1711"/>
      <c r="AH4" s="1711"/>
      <c r="AI4" s="1711"/>
      <c r="AJ4" s="1712"/>
    </row>
    <row r="5" spans="1:36" s="2519" customFormat="1" ht="15.75" thickBot="1">
      <c r="A5" s="2511" t="s">
        <v>2612</v>
      </c>
      <c r="B5" s="2512" t="s">
        <v>2613</v>
      </c>
      <c r="C5" s="2718">
        <f>ROUND(IF(E2="商业",C6*C7+C16,(IF(E2="住宅",C6*C12+C16,C6+C16))),0)</f>
        <v>8250</v>
      </c>
      <c r="D5" s="2719">
        <f>ROUND(C6+C16,0)</f>
        <v>7500</v>
      </c>
      <c r="E5" s="2719"/>
      <c r="F5" s="2720"/>
      <c r="G5" s="2513"/>
      <c r="H5" s="2513"/>
      <c r="I5" s="2513"/>
      <c r="J5" s="2514"/>
      <c r="K5" s="2515"/>
      <c r="L5" s="2508" t="s">
        <v>2614</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11071</v>
      </c>
      <c r="U5" s="1706"/>
      <c r="V5" s="1705">
        <f t="shared" ca="1" si="1"/>
        <v>0</v>
      </c>
      <c r="W5" s="1709"/>
      <c r="X5" s="1709"/>
      <c r="Y5" s="1709"/>
      <c r="Z5" s="1709"/>
      <c r="AA5" s="1709"/>
      <c r="AB5" s="1709"/>
      <c r="AC5" s="2516"/>
      <c r="AD5" s="2517"/>
      <c r="AE5" s="2517"/>
      <c r="AF5" s="2517"/>
      <c r="AG5" s="2517"/>
      <c r="AH5" s="2517"/>
      <c r="AI5" s="2517"/>
      <c r="AJ5" s="2518"/>
    </row>
    <row r="6" spans="1:36" ht="15.75" thickBot="1">
      <c r="A6" s="2520">
        <v>1</v>
      </c>
      <c r="B6" s="2521" t="s">
        <v>2615</v>
      </c>
      <c r="C6" s="942">
        <f>SUMIF(L1:L12,G2,M1:M12)</f>
        <v>7500</v>
      </c>
      <c r="D6" s="2522" t="s">
        <v>2616</v>
      </c>
      <c r="E6" s="2523"/>
      <c r="F6" s="2523"/>
      <c r="G6" s="2524"/>
      <c r="H6" s="2524"/>
      <c r="I6" s="2524"/>
      <c r="J6" s="2525"/>
      <c r="K6" s="2526"/>
      <c r="L6" s="2508" t="s">
        <v>2617</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9427</v>
      </c>
      <c r="U6" s="1706"/>
      <c r="V6" s="1705">
        <f t="shared" ca="1" si="1"/>
        <v>0</v>
      </c>
      <c r="W6" s="1709"/>
      <c r="X6" s="1709"/>
      <c r="Y6" s="1709"/>
      <c r="Z6" s="1709"/>
      <c r="AA6" s="1709"/>
      <c r="AB6" s="1709"/>
      <c r="AC6" s="2516"/>
      <c r="AD6" s="2517"/>
      <c r="AE6" s="2517"/>
      <c r="AF6" s="2517"/>
      <c r="AG6" s="2517"/>
      <c r="AH6" s="2517"/>
      <c r="AI6" s="2517"/>
      <c r="AJ6" s="2518"/>
    </row>
    <row r="7" spans="1:36" ht="24">
      <c r="A7" s="3080" t="str">
        <f>IF(E2="商业",IF(C8="不临58条商业街","",2),"")</f>
        <v/>
      </c>
      <c r="B7" s="2527" t="s">
        <v>2618</v>
      </c>
      <c r="C7" s="943" t="e">
        <f>IF(C8="不临58条商业街",1,ROUND(1+(1.6*E8+1.2*E9+0.8*E10+0.4*E11)*C9,4))</f>
        <v>#DIV/0!</v>
      </c>
      <c r="D7" s="2528" t="s">
        <v>2619</v>
      </c>
      <c r="E7" s="971"/>
      <c r="F7" s="2529"/>
      <c r="G7" s="2530"/>
      <c r="H7" s="2530"/>
      <c r="I7" s="2530"/>
      <c r="J7" s="2531"/>
      <c r="K7" s="2526"/>
      <c r="L7" s="2508" t="s">
        <v>2620</v>
      </c>
      <c r="M7" s="1116">
        <f>SUMPRODUCT((区片价!B158:B205=I2)*(区片价!C3:F3=E2)*(区片价!C158:F205))</f>
        <v>7500</v>
      </c>
      <c r="N7" s="1119">
        <f>SUMPRODUCT((因素修正幅度!B158:B205=I2)*(因素修正幅度!C3:F3=E2)*(因素修正幅度!C158:F205))</f>
        <v>0.13</v>
      </c>
      <c r="O7" s="1458"/>
      <c r="P7" s="1458"/>
      <c r="Q7" s="1458"/>
      <c r="R7" s="1705">
        <v>6</v>
      </c>
      <c r="S7" s="1705">
        <f>ROUND(IF(G3&gt;1,IF(R7&lt;7,SUMPRODUCT((B93:B98=R7)*(C92:N92=G2)*(C93:N98)),SUMIF(C92:N92,G2,C100:N100)),IF(R7&lt;7,SUMPRODUCT((B102:B107=R7)*(C92:N92=G2)*(C102:N107)),SUMIF(C92:N92,G2,C109:N109))),4)</f>
        <v>0.6482</v>
      </c>
      <c r="T7" s="1705">
        <f t="shared" ca="1" si="0"/>
        <v>8290</v>
      </c>
      <c r="U7" s="1706"/>
      <c r="V7" s="1705">
        <f t="shared" ca="1" si="1"/>
        <v>0</v>
      </c>
      <c r="W7" s="1900" t="s">
        <v>2621</v>
      </c>
      <c r="X7" s="1707" t="str">
        <f>G2</f>
        <v>七级</v>
      </c>
      <c r="Y7" s="1707" t="s">
        <v>2622</v>
      </c>
      <c r="Z7" s="1708">
        <f>G3</f>
        <v>2.5</v>
      </c>
      <c r="AA7" s="1709"/>
      <c r="AB7" s="1709"/>
      <c r="AC7" s="1710"/>
      <c r="AD7" s="1711"/>
      <c r="AE7" s="1711"/>
      <c r="AF7" s="1711"/>
      <c r="AG7" s="1711"/>
      <c r="AH7" s="1711"/>
      <c r="AI7" s="1711"/>
      <c r="AJ7" s="1712"/>
    </row>
    <row r="8" spans="1:36" ht="15">
      <c r="A8" s="3081"/>
      <c r="B8" s="115" t="s">
        <v>2623</v>
      </c>
      <c r="C8" s="2532"/>
      <c r="D8" s="944" t="s">
        <v>89</v>
      </c>
      <c r="E8" s="945" t="e">
        <f>ROUND(C11/E7,4)</f>
        <v>#DIV/0!</v>
      </c>
      <c r="F8" s="2533" t="s">
        <v>2624</v>
      </c>
      <c r="G8" s="2534"/>
      <c r="H8" s="2534"/>
      <c r="I8" s="2534"/>
      <c r="J8" s="2535"/>
      <c r="L8" s="2508"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73" t="s">
        <v>2626</v>
      </c>
      <c r="X8" s="3074"/>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81"/>
      <c r="B9" s="115" t="s">
        <v>2639</v>
      </c>
      <c r="C9" s="946">
        <f>SUMIF(修正!C59:C119,C8,修正!E59:E119)</f>
        <v>0</v>
      </c>
      <c r="D9" s="117" t="s">
        <v>90</v>
      </c>
      <c r="E9" s="117" t="e">
        <f>ROUND(C11/E7,4)</f>
        <v>#DIV/0!</v>
      </c>
      <c r="F9" s="2533" t="s">
        <v>2640</v>
      </c>
      <c r="G9" s="2534"/>
      <c r="H9" s="2534"/>
      <c r="I9" s="2534"/>
      <c r="J9" s="2535"/>
      <c r="L9" s="2508"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5"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1"/>
      <c r="B10" s="115" t="s">
        <v>2644</v>
      </c>
      <c r="C10" s="117">
        <f>SUMIF(修正!C59:C119,C8,修正!F59:F119)</f>
        <v>0</v>
      </c>
      <c r="D10" s="117" t="s">
        <v>91</v>
      </c>
      <c r="E10" s="117" t="e">
        <f>ROUND(C11/E7,4)</f>
        <v>#DIV/0!</v>
      </c>
      <c r="F10" s="2533" t="s">
        <v>2645</v>
      </c>
      <c r="G10" s="2534"/>
      <c r="H10" s="2534"/>
      <c r="I10" s="2534"/>
      <c r="J10" s="2535"/>
      <c r="L10" s="2508"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5"/>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1"/>
      <c r="B11" s="2536" t="s">
        <v>2647</v>
      </c>
      <c r="C11" s="947">
        <f>C10/4</f>
        <v>0</v>
      </c>
      <c r="D11" s="947" t="s">
        <v>92</v>
      </c>
      <c r="E11" s="947" t="e">
        <f>ROUND(C11/E7,4)</f>
        <v>#DIV/0!</v>
      </c>
      <c r="F11" s="2537" t="s">
        <v>2648</v>
      </c>
      <c r="G11" s="2538"/>
      <c r="H11" s="2538"/>
      <c r="I11" s="2538"/>
      <c r="J11" s="2539"/>
      <c r="L11" s="2508"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5" t="s">
        <v>2650</v>
      </c>
      <c r="X11" s="1718" t="s">
        <v>2651</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080">
        <f>IF(E2="住宅",2,"")</f>
        <v>2</v>
      </c>
      <c r="B12" s="2540" t="s">
        <v>2652</v>
      </c>
      <c r="C12" s="943">
        <f>ROUND(C15*D15*E15*F15*G15*H15*I15*J15,4)</f>
        <v>1.1000000000000001</v>
      </c>
      <c r="D12" s="2541" t="s">
        <v>2653</v>
      </c>
      <c r="E12" s="2542"/>
      <c r="F12" s="2542"/>
      <c r="G12" s="2543"/>
      <c r="H12" s="2543"/>
      <c r="I12" s="2543"/>
      <c r="J12" s="2544"/>
      <c r="L12" s="2545"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5"/>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2"/>
      <c r="B13" s="2546" t="s">
        <v>2656</v>
      </c>
      <c r="C13" s="2547" t="s">
        <v>2657</v>
      </c>
      <c r="D13" s="2548" t="s">
        <v>2658</v>
      </c>
      <c r="E13" s="2548" t="s">
        <v>2659</v>
      </c>
      <c r="F13" s="20" t="s">
        <v>2660</v>
      </c>
      <c r="G13" s="2549" t="s">
        <v>2661</v>
      </c>
      <c r="H13" s="2549" t="s">
        <v>2661</v>
      </c>
      <c r="I13" s="2549" t="s">
        <v>2661</v>
      </c>
      <c r="J13" s="2550" t="s">
        <v>2661</v>
      </c>
      <c r="L13" s="1458"/>
      <c r="M13" s="1458"/>
      <c r="N13" s="1458"/>
      <c r="O13" s="1458"/>
      <c r="P13" s="1458"/>
      <c r="Q13" s="1458"/>
      <c r="R13" s="1705">
        <v>12</v>
      </c>
      <c r="S13" s="1706"/>
      <c r="T13" s="1705">
        <f t="shared" ca="1" si="0"/>
        <v>0</v>
      </c>
      <c r="U13" s="1706"/>
      <c r="V13" s="1705">
        <f t="shared" ca="1" si="1"/>
        <v>0</v>
      </c>
      <c r="W13" s="3075"/>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082"/>
      <c r="B14" s="2551"/>
      <c r="C14" s="2552" t="s">
        <v>2842</v>
      </c>
      <c r="D14" s="2553" t="s">
        <v>2841</v>
      </c>
      <c r="E14" s="2553" t="s">
        <v>2662</v>
      </c>
      <c r="F14" s="2554" t="s">
        <v>2843</v>
      </c>
      <c r="G14" s="2555" t="s">
        <v>2663</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3"/>
      <c r="B15" s="2559" t="s">
        <v>2664</v>
      </c>
      <c r="C15" s="150">
        <f>IF(C14="有",1.1,1)</f>
        <v>1</v>
      </c>
      <c r="D15" s="150">
        <f>IF(D14="有",1.1,1)</f>
        <v>1.1000000000000001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4">
        <f>IF(E2="办公",2,IF(E2="工业",2,IF(E2="住宅",3,IF(E2="商业",IF(C8="不临58条商业街",2,3)))))</f>
        <v>3</v>
      </c>
      <c r="B16" s="2727" t="s">
        <v>2670</v>
      </c>
      <c r="C16" s="2721">
        <f>ROUND(IF(F17="与级别开发程度一致",0,(G17-E17)/C17),0)</f>
        <v>0</v>
      </c>
      <c r="D16" s="3097" t="s">
        <v>2674</v>
      </c>
      <c r="E16" s="3098"/>
      <c r="F16" s="3097" t="s">
        <v>2671</v>
      </c>
      <c r="G16" s="3098"/>
      <c r="H16" s="2562"/>
      <c r="I16" s="2562"/>
      <c r="J16" s="2734"/>
      <c r="K16" s="2562"/>
      <c r="L16" s="2562"/>
      <c r="M16" s="2562"/>
      <c r="N16" s="2562"/>
      <c r="O16" s="2563"/>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5"/>
      <c r="B17" s="2728" t="s">
        <v>2673</v>
      </c>
      <c r="C17" s="2729">
        <f>SUMPRODUCT((修正!A2:A5=E2)*(修正!B1:M1=G2)*(修正!B2:M5))</f>
        <v>2.5</v>
      </c>
      <c r="D17" s="150" t="str">
        <f>IF(OR(G2="八级",G2="九级",G2="十级",G2="十一级",G2="十二级"),"五通一平","七通一平")</f>
        <v>七通一平</v>
      </c>
      <c r="E17" s="2730">
        <f>SUMPRODUCT((修正!B1:M1=G2)*(修正!B15:M15))</f>
        <v>300</v>
      </c>
      <c r="F17" s="2731" t="s">
        <v>2840</v>
      </c>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2676</v>
      </c>
      <c r="B18" s="2722" t="s">
        <v>2677</v>
      </c>
      <c r="C18" s="2723">
        <f>SUMIF(修正!C18:C39,E3,修正!E18:E39)</f>
        <v>1</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9.25" thickBot="1">
      <c r="A19" s="2564" t="s">
        <v>2678</v>
      </c>
      <c r="B19" s="2565" t="s">
        <v>2679</v>
      </c>
      <c r="C19" s="948">
        <f>ROUND(IF(H19="按公示增长率计算",SUMPRODUCT((地价!A3:A30=YEAR(G19)&amp;"-"&amp;ROUNDUP(MONTH(G19)/3,0))*(地价!X2:AB2=E2)*(地价!X3:AB30)),IF(H19="地价指数",M20/M19,(1+I19)^O19)),4)</f>
        <v>1.6254999999999999</v>
      </c>
      <c r="D19" s="2569" t="s">
        <v>2680</v>
      </c>
      <c r="E19" s="949">
        <v>41640</v>
      </c>
      <c r="F19" s="2569" t="s">
        <v>2681</v>
      </c>
      <c r="G19" s="950">
        <f>'数据-取费表'!B2</f>
        <v>43965</v>
      </c>
      <c r="H19" s="2570" t="s">
        <v>2818</v>
      </c>
      <c r="I19" s="951" t="str">
        <f>IF(H19="季度增幅（自定义）",SUMIF(N21:N24,E2,O21:O24),"")</f>
        <v/>
      </c>
      <c r="J19" s="2566"/>
      <c r="K19" s="2567"/>
      <c r="L19" s="2571" t="s">
        <v>2682</v>
      </c>
      <c r="M19" s="1822">
        <f>ROUND(SUMIF(地价!B2:F2,E2,地价!B30:F30),0)</f>
        <v>423</v>
      </c>
      <c r="N19" s="1462" t="s">
        <v>2683</v>
      </c>
      <c r="O19" s="952">
        <f>ROUNDDOWN(DATEDIF(E19,G19,"M")/3,0)</f>
        <v>25</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2684</v>
      </c>
      <c r="B20" s="2576" t="s">
        <v>2685</v>
      </c>
      <c r="C20" s="953">
        <f ca="1">ROUND(POWER(1+G20,J20-I20)*(POWER(1+G20,I20)-1)/(POWER(1+G20,J20)-1),4)</f>
        <v>0.90780000000000005</v>
      </c>
      <c r="D20" s="2577" t="s">
        <v>2686</v>
      </c>
      <c r="E20" s="1852">
        <f ca="1">存贷款利率!D4/100</f>
        <v>4.3499999999999997E-2</v>
      </c>
      <c r="F20" s="2577" t="s">
        <v>2675</v>
      </c>
      <c r="G20" s="959">
        <f ca="1">SUMIF(M26:P26,E2,M28:P28)</f>
        <v>0.05</v>
      </c>
      <c r="H20" s="2577" t="s">
        <v>2687</v>
      </c>
      <c r="I20" s="960">
        <f>'数据-取费表'!B13</f>
        <v>43.11</v>
      </c>
      <c r="J20" s="961">
        <f>IF(E2="住宅",70,IF(E2="商业",40,50))</f>
        <v>70</v>
      </c>
      <c r="K20" s="2567"/>
      <c r="L20" s="2578" t="s">
        <v>2688</v>
      </c>
      <c r="M20" s="1823">
        <f>ROUND(SUMPRODUCT((地价!A4:A30=YEAR(G19)&amp;"-"&amp;ROUNDUP(MONTH(G19)/3,0))*(地价!B2:F2=E2)*(地价!B4:F30)),0)</f>
        <v>687</v>
      </c>
      <c r="N20" s="2579" t="s">
        <v>2689</v>
      </c>
      <c r="O20" s="2580" t="s">
        <v>2690</v>
      </c>
      <c r="P20" s="2581" t="s">
        <v>2691</v>
      </c>
      <c r="R20" s="1458"/>
      <c r="S20" s="1458"/>
      <c r="T20" s="1458"/>
      <c r="U20" s="1458"/>
      <c r="V20" s="1458"/>
      <c r="W20" s="1458"/>
      <c r="X20" s="1458"/>
      <c r="Y20" s="1458"/>
      <c r="Z20" s="1458"/>
      <c r="AA20" s="1458"/>
      <c r="AB20" s="1458"/>
      <c r="AC20" s="1458"/>
      <c r="AD20" s="1458"/>
      <c r="AE20" s="2567"/>
      <c r="AF20" s="2567"/>
    </row>
    <row r="21" spans="1:37" s="2519" customFormat="1" ht="14.25">
      <c r="A21" s="2582" t="s">
        <v>2692</v>
      </c>
      <c r="B21" s="2583" t="s">
        <v>2693</v>
      </c>
      <c r="C21" s="962">
        <f>IF(B21="容积率修正",IF(G3&lt;=10,D22,J22),C23)</f>
        <v>1</v>
      </c>
      <c r="D21" s="2584"/>
      <c r="E21" s="2584"/>
      <c r="F21" s="2584"/>
      <c r="G21" s="2584"/>
      <c r="H21" s="2584"/>
      <c r="I21" s="2584"/>
      <c r="J21" s="2585"/>
      <c r="K21" s="2567"/>
      <c r="N21" s="2586" t="s">
        <v>2694</v>
      </c>
      <c r="O21" s="1660"/>
      <c r="P21" s="1661">
        <f>SUMPRODUCT((地价!A3:A30=YEAR(G19)&amp;"-"&amp;ROUNDUP(MONTH(G19)/3,0))*(地价!AD2:AH2=N21)*(地价!AD3:AH30))</f>
        <v>1.2800000000000001E-2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2695</v>
      </c>
      <c r="C22" s="1894" t="s">
        <v>2696</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67"/>
      <c r="N22" s="2586" t="s">
        <v>2697</v>
      </c>
      <c r="O22" s="1660"/>
      <c r="P22" s="1661">
        <f>SUMPRODUCT((地价!A3:A30=YEAR(G19)&amp;"-"&amp;ROUNDUP(MONTH(G19)/3,0))*(地价!AD2:AH2=N22)*(地价!AD3:AH30))</f>
        <v>1.2800000000000001E-2</v>
      </c>
      <c r="R22" s="1458"/>
      <c r="S22" s="1458"/>
      <c r="T22" s="1458"/>
      <c r="U22" s="1458"/>
      <c r="V22" s="1458"/>
      <c r="W22" s="1458"/>
      <c r="X22" s="1458"/>
      <c r="Y22" s="1458"/>
      <c r="Z22" s="1458"/>
      <c r="AA22" s="1458"/>
      <c r="AB22" s="1458"/>
      <c r="AC22" s="1458"/>
      <c r="AD22" s="1458"/>
      <c r="AE22" s="2567"/>
      <c r="AF22" s="2567"/>
    </row>
    <row r="23" spans="1:37" ht="27">
      <c r="A23" s="2587">
        <v>2</v>
      </c>
      <c r="B23" s="2588" t="s">
        <v>2698</v>
      </c>
      <c r="C23" s="954">
        <f>ROUND(IF(G3&gt;1,IF(I3&lt;7,SUMPRODUCT((B93:B98=I3)*(C92:N92=G2)*(C93:N98)),SUMIF(C92:N92,G2,C100:N100)),IF(I3&lt;7,SUMPRODUCT((B102:B107=I3)*(C92:N92=G2)*(C102:N107)),SUMIF(C92:N92,G2,C109:N109))),4)</f>
        <v>0</v>
      </c>
      <c r="D23" s="2556"/>
      <c r="E23" s="2556"/>
      <c r="F23" s="2589"/>
      <c r="G23" s="2590"/>
      <c r="H23" s="2591"/>
      <c r="I23" s="2592"/>
      <c r="J23" s="2593"/>
      <c r="N23" s="2586" t="s">
        <v>2699</v>
      </c>
      <c r="O23" s="1660"/>
      <c r="P23" s="1661">
        <f>SUMPRODUCT((地价!A3:A30=YEAR(G19)&amp;"-"&amp;ROUNDUP(MONTH(G19)/3,0))*(地价!AD2:AH2=N23)*(地价!AD3:AH30))</f>
        <v>2.0299999999999999E-2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2700</v>
      </c>
      <c r="B24" s="2595" t="s">
        <v>2701</v>
      </c>
      <c r="C24" s="964">
        <f>SUMIF(A46:A88,E2,B46:B88)</f>
        <v>1.0506</v>
      </c>
      <c r="D24" s="2596"/>
      <c r="E24" s="2597"/>
      <c r="F24" s="2597"/>
      <c r="G24" s="2597"/>
      <c r="H24" s="2597"/>
      <c r="I24" s="2597"/>
      <c r="J24" s="2598"/>
      <c r="K24" s="2567"/>
      <c r="N24" s="2599" t="s">
        <v>2702</v>
      </c>
      <c r="O24" s="1662"/>
      <c r="P24" s="1663">
        <f>SUMPRODUCT((地价!A3:A30=YEAR(G19)&amp;"-"&amp;ROUNDUP(MONTH(G19)/3,0))*(地价!AD2:AH2=N24)*(地价!AD3:AH30))</f>
        <v>1.3100000000000001E-2</v>
      </c>
      <c r="R24" s="1458"/>
      <c r="S24" s="1458"/>
      <c r="T24" s="1458"/>
      <c r="U24" s="1458"/>
      <c r="V24" s="1458"/>
      <c r="W24" s="1458"/>
      <c r="X24" s="1458"/>
      <c r="Y24" s="1458"/>
      <c r="Z24" s="1458"/>
      <c r="AA24" s="1458"/>
      <c r="AB24" s="1458"/>
      <c r="AC24" s="1458"/>
      <c r="AD24" s="1458"/>
      <c r="AE24" s="2567"/>
      <c r="AF24" s="2567"/>
    </row>
    <row r="25" spans="1:37" ht="15" thickBot="1">
      <c r="A25" s="2575" t="s">
        <v>2703</v>
      </c>
      <c r="B25" s="2600" t="s">
        <v>2704</v>
      </c>
      <c r="C25" s="955"/>
      <c r="D25" s="2530"/>
      <c r="E25" s="2530"/>
      <c r="F25" s="2601"/>
      <c r="G25" s="2530"/>
      <c r="H25" s="2530"/>
      <c r="I25" s="2530"/>
      <c r="J25" s="2531"/>
      <c r="L25" s="1458"/>
      <c r="M25" s="1458"/>
      <c r="N25" s="2602" t="s">
        <v>2705</v>
      </c>
      <c r="O25" s="1664"/>
      <c r="P25" s="1663">
        <f>SUMPRODUCT((地价!A3:A30=YEAR(G19)&amp;"-"&amp;ROUNDUP(MONTH(G19)/3,0))*(地价!AD2:AH2=N25)*(地价!AD3:AH30))</f>
        <v>1.8499999999999999E-2</v>
      </c>
      <c r="R25" s="1458"/>
      <c r="S25" s="1458"/>
      <c r="T25" s="1458"/>
      <c r="U25" s="1458"/>
      <c r="V25" s="1458"/>
      <c r="W25" s="1458"/>
      <c r="X25" s="1458"/>
      <c r="Y25" s="1458"/>
      <c r="Z25" s="1458"/>
      <c r="AA25" s="1458"/>
      <c r="AB25" s="1458"/>
      <c r="AC25" s="1458"/>
      <c r="AD25" s="1458"/>
      <c r="AE25" s="1459"/>
      <c r="AF25" s="1459"/>
    </row>
    <row r="26" spans="1:37" ht="15">
      <c r="A26" s="2603"/>
      <c r="B26" s="2588" t="s">
        <v>2706</v>
      </c>
      <c r="C26" s="123">
        <f ca="1">E29+SUM(E33:E39)</f>
        <v>46050395</v>
      </c>
      <c r="D26" s="2604"/>
      <c r="E26" s="2556"/>
      <c r="F26" s="2605"/>
      <c r="G26" s="2556"/>
      <c r="H26" s="2556"/>
      <c r="I26" s="2556"/>
      <c r="J26" s="2606"/>
      <c r="L26" s="2560" t="s">
        <v>2665</v>
      </c>
      <c r="M26" s="944" t="s">
        <v>2666</v>
      </c>
      <c r="N26" s="944" t="s">
        <v>2667</v>
      </c>
      <c r="O26" s="944" t="s">
        <v>2668</v>
      </c>
      <c r="P26" s="2561" t="s">
        <v>2669</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2707</v>
      </c>
      <c r="C27" s="956">
        <f ca="1">E30+SUM(I33:I39)</f>
        <v>0</v>
      </c>
      <c r="D27" s="2608"/>
      <c r="E27" s="2609"/>
      <c r="F27" s="2610"/>
      <c r="G27" s="2609"/>
      <c r="H27" s="2609"/>
      <c r="I27" s="2609"/>
      <c r="J27" s="2611"/>
      <c r="L27" s="1456" t="s">
        <v>2672</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2708</v>
      </c>
      <c r="C28" s="2613" t="s">
        <v>2709</v>
      </c>
      <c r="D28" s="2613" t="s">
        <v>2710</v>
      </c>
      <c r="E28" s="2614" t="s">
        <v>2711</v>
      </c>
      <c r="F28" s="2615"/>
      <c r="G28" s="2543"/>
      <c r="H28" s="2543"/>
      <c r="I28" s="2543"/>
      <c r="J28" s="2544"/>
      <c r="L28" s="1460" t="s">
        <v>2675</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2712</v>
      </c>
      <c r="C29" s="123">
        <f ca="1">ROUND(C5*C18*C19*C20*C21*C24,0)</f>
        <v>12790</v>
      </c>
      <c r="D29" s="2618">
        <f>项目基本情况!C12</f>
        <v>3600.5</v>
      </c>
      <c r="E29" s="968">
        <f ca="1">ROUND(C29*D29,0)</f>
        <v>46050395</v>
      </c>
      <c r="F29" s="2619" t="s">
        <v>2713</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2714</v>
      </c>
      <c r="C30" s="150">
        <f ca="1">ROUND(IF(E2="工业",C29*M39,C29*M38),0)</f>
        <v>3198</v>
      </c>
      <c r="D30" s="2624"/>
      <c r="E30" s="968">
        <f ca="1">ROUND(C30*D30,0)</f>
        <v>0</v>
      </c>
      <c r="F30" s="2625" t="s">
        <v>2715</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2716</v>
      </c>
      <c r="C31" s="2630" t="s">
        <v>2717</v>
      </c>
      <c r="D31" s="2543"/>
      <c r="E31" s="2630"/>
      <c r="F31" s="2630"/>
      <c r="G31" s="2541" t="s">
        <v>2718</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2709</v>
      </c>
      <c r="D32" s="479" t="s">
        <v>2710</v>
      </c>
      <c r="E32" s="479" t="s">
        <v>2711</v>
      </c>
      <c r="F32" s="367" t="s">
        <v>2719</v>
      </c>
      <c r="G32" s="954" t="s">
        <v>2709</v>
      </c>
      <c r="H32" s="954" t="s">
        <v>2710</v>
      </c>
      <c r="I32" s="954" t="s">
        <v>2711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094" t="s">
        <v>2720</v>
      </c>
      <c r="B33" s="2633" t="s">
        <v>2721</v>
      </c>
      <c r="C33" s="123">
        <f ca="1">ROUND(D5*C19*C20*C24*F33,0)</f>
        <v>8139</v>
      </c>
      <c r="D33" s="2618"/>
      <c r="E33" s="117">
        <f t="shared" ref="E33:E39" ca="1" si="6">ROUND(C33*D33,0)</f>
        <v>0</v>
      </c>
      <c r="F33" s="117">
        <f>SUMIF(修正!A45:A56,G2,修正!B45:B56)</f>
        <v>0.7</v>
      </c>
      <c r="G33" s="117">
        <f t="shared" ref="G33" ca="1" si="7">ROUND(IF(E2="工业",C33*$M$39,C33*$M$38),0)</f>
        <v>2035</v>
      </c>
      <c r="H33" s="117">
        <f>D33</f>
        <v>0</v>
      </c>
      <c r="I33" s="117">
        <f t="shared" ref="I33:I39" ca="1" si="8">ROUND(G33*H33,0)</f>
        <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5"/>
      <c r="B34" s="2547" t="s">
        <v>2722</v>
      </c>
      <c r="C34" s="123">
        <f ca="1">ROUND(D5*C19*C20*C24*F34,0)</f>
        <v>4651</v>
      </c>
      <c r="D34" s="2618"/>
      <c r="E34" s="117">
        <f t="shared" ca="1" si="6"/>
        <v>0</v>
      </c>
      <c r="F34" s="117">
        <f>SUMIF(修正!A45:A56,G2,修正!C45:C56)</f>
        <v>0.4</v>
      </c>
      <c r="G34" s="117">
        <f ca="1">ROUND(IF(E2="工业",C34*$M$39,C34*$M$38),0)</f>
        <v>1163</v>
      </c>
      <c r="H34" s="117">
        <f t="shared" ref="H34:H39" si="9">D34</f>
        <v>0</v>
      </c>
      <c r="I34" s="117">
        <f t="shared" ca="1" si="8"/>
        <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5"/>
      <c r="B35" s="2547" t="s">
        <v>2723</v>
      </c>
      <c r="C35" s="123">
        <f ca="1">ROUND(D5*C19*C20*C24*F35,0)</f>
        <v>3256</v>
      </c>
      <c r="D35" s="2618"/>
      <c r="E35" s="117">
        <f t="shared" ca="1" si="6"/>
        <v>0</v>
      </c>
      <c r="F35" s="117">
        <f>SUMIF(修正!A45:A56,G2,修正!D45:D56)</f>
        <v>0.28000000000000003</v>
      </c>
      <c r="G35" s="117">
        <f ca="1">ROUND(IF(E2="工业",C35*$M$39,C35*$M$38),0)</f>
        <v>814</v>
      </c>
      <c r="H35" s="117">
        <f t="shared" si="9"/>
        <v>0</v>
      </c>
      <c r="I35" s="117">
        <f t="shared" ca="1" si="8"/>
        <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6"/>
      <c r="B36" s="2547" t="s">
        <v>2724</v>
      </c>
      <c r="C36" s="123">
        <f ca="1">ROUND(D5*C19*C20*C24*F36,0)</f>
        <v>2907</v>
      </c>
      <c r="D36" s="2618"/>
      <c r="E36" s="117">
        <f t="shared" ca="1" si="6"/>
        <v>0</v>
      </c>
      <c r="F36" s="117">
        <f>SUMIF(修正!A45:A56,G2,修正!E45:E56)</f>
        <v>0.25</v>
      </c>
      <c r="G36" s="117">
        <f ca="1">ROUND(IF(E2="工业",C36*$M$39,C36*$M$38),0)</f>
        <v>727</v>
      </c>
      <c r="H36" s="117">
        <f t="shared" si="9"/>
        <v>0</v>
      </c>
      <c r="I36" s="117">
        <f t="shared" ca="1" si="8"/>
        <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2725</v>
      </c>
      <c r="C37" s="117">
        <f ca="1">ROUND(D5*C19*C20*C24*F37,0)</f>
        <v>2907</v>
      </c>
      <c r="D37" s="2618"/>
      <c r="E37" s="117">
        <f t="shared" ca="1" si="6"/>
        <v>0</v>
      </c>
      <c r="F37" s="123">
        <f>SUMIF(修正!A45:A56,G2,修正!F45:F56)</f>
        <v>0.25</v>
      </c>
      <c r="G37" s="117">
        <f ca="1">ROUND(IF(E2="工业",C37*$M$39,C37*$M$38),0)</f>
        <v>727</v>
      </c>
      <c r="H37" s="117">
        <f t="shared" si="9"/>
        <v>0</v>
      </c>
      <c r="I37" s="117">
        <f t="shared" ca="1" si="8"/>
        <v>0</v>
      </c>
      <c r="J37" s="2634"/>
      <c r="L37" s="2637" t="s">
        <v>2726</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2727</v>
      </c>
      <c r="C38" s="117">
        <f ca="1">ROUND(D5*C19*C41*C24*F38,0)</f>
        <v>0</v>
      </c>
      <c r="D38" s="2618"/>
      <c r="E38" s="117">
        <f t="shared" ca="1" si="6"/>
        <v>0</v>
      </c>
      <c r="F38" s="123">
        <f>SUMIF(修正!A45:A56,G2,修正!G45:G56)</f>
        <v>0.25</v>
      </c>
      <c r="G38" s="117">
        <f ca="1">ROUND(IF(E2="工业",C38*$M$39,C38*$M$38),0)</f>
        <v>0</v>
      </c>
      <c r="H38" s="117">
        <f t="shared" si="9"/>
        <v>0</v>
      </c>
      <c r="I38" s="117">
        <f t="shared" ca="1" si="8"/>
        <v>0</v>
      </c>
      <c r="J38" s="2634"/>
      <c r="L38" s="2638" t="s">
        <v>2728</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2729</v>
      </c>
      <c r="C39" s="150">
        <f ca="1">ROUND(D5*C19*C41*C24*F39,0)</f>
        <v>0</v>
      </c>
      <c r="D39" s="2624"/>
      <c r="E39" s="150">
        <f t="shared" ca="1" si="6"/>
        <v>0</v>
      </c>
      <c r="F39" s="957">
        <f>SUMIF(修正!A45:A56,G2,修正!H45:H56)</f>
        <v>0.2</v>
      </c>
      <c r="G39" s="150">
        <f ca="1">ROUND(IF(E2="工业",C39*$M$39,C39*$M$38),0)</f>
        <v>0</v>
      </c>
      <c r="H39" s="150">
        <f t="shared" si="9"/>
        <v>0</v>
      </c>
      <c r="I39" s="150">
        <f t="shared" ca="1" si="8"/>
        <v>0</v>
      </c>
      <c r="J39" s="2641"/>
      <c r="L39" s="2642" t="s">
        <v>2669</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2811</v>
      </c>
      <c r="C41" s="367">
        <f ca="1">ROUND(POWER(1+E41,H41-G41)*(POWER(1+E41,G41)-1)/(POWER(1+E41,H41)-1),4)</f>
        <v>0</v>
      </c>
      <c r="D41" s="117" t="s">
        <v>2809</v>
      </c>
      <c r="E41" s="827">
        <f ca="1">G20</f>
        <v>0.05</v>
      </c>
      <c r="F41" s="117" t="s">
        <v>2810</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2730</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2731</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2732</v>
      </c>
      <c r="B47" s="823" t="s">
        <v>2733</v>
      </c>
      <c r="C47" s="823" t="s">
        <v>2734</v>
      </c>
      <c r="D47" s="823" t="s">
        <v>2735</v>
      </c>
      <c r="E47" s="824" t="s">
        <v>2736</v>
      </c>
      <c r="F47" s="2655" t="s">
        <v>2737</v>
      </c>
      <c r="G47" s="823" t="s">
        <v>2738</v>
      </c>
      <c r="H47" s="2656" t="s">
        <v>2739</v>
      </c>
      <c r="I47" s="823" t="s">
        <v>2740</v>
      </c>
      <c r="J47" s="587" t="s">
        <v>2741</v>
      </c>
      <c r="K47" s="587" t="s">
        <v>2742</v>
      </c>
      <c r="L47" s="587" t="s">
        <v>2743</v>
      </c>
      <c r="M47" s="587" t="s">
        <v>2744</v>
      </c>
      <c r="N47" s="587" t="s">
        <v>2745</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38.25">
      <c r="A48" s="2654" t="s">
        <v>2746</v>
      </c>
      <c r="B48" s="2657" t="str">
        <f>估价对象房地状况!C16</f>
        <v>估价对象位于XX商圈，周边商业氛围成熟，人流量大，商业繁华度好</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51">
      <c r="A49" s="2654" t="s">
        <v>2747</v>
      </c>
      <c r="B49" s="2658" t="str">
        <f>估价对象房地状况!C18</f>
        <v>估价对象周边道路状况、公共交通通达情况、停车便捷程度，综合评价交通便捷度较好</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2748</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2749</v>
      </c>
      <c r="B51" s="2659" t="s">
        <v>2750</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2751</v>
      </c>
      <c r="B52" s="2658">
        <f>估价对象房地状况!C24</f>
        <v>0</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2752</v>
      </c>
      <c r="B53" s="2660" t="s">
        <v>2753</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25.5">
      <c r="A54" s="2661" t="s">
        <v>2754</v>
      </c>
      <c r="B54" s="2662" t="str">
        <f>估价对象房地状况!C21</f>
        <v>估价对象所在区域公共配套设施齐备情况</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5.5">
      <c r="A55" s="2661" t="s">
        <v>2755</v>
      </c>
      <c r="B55" s="2658" t="str">
        <f>估价对象房地状况!C22</f>
        <v>估价对象所在区域基础设施水平</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39" thickBot="1">
      <c r="A56" s="2663" t="s">
        <v>2756</v>
      </c>
      <c r="B56" s="2664" t="str">
        <f>估价对象房地状况!C20</f>
        <v>区域自然环境：；人文环境；综合评价环境状况一般</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2757</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2732</v>
      </c>
      <c r="B58" s="2658"/>
      <c r="C58" s="823" t="s">
        <v>2734</v>
      </c>
      <c r="D58" s="823" t="s">
        <v>2735</v>
      </c>
      <c r="E58" s="824" t="s">
        <v>2736</v>
      </c>
      <c r="F58" s="2655" t="s">
        <v>2737</v>
      </c>
      <c r="G58" s="823" t="s">
        <v>2758</v>
      </c>
      <c r="H58" s="2656" t="s">
        <v>2759</v>
      </c>
      <c r="I58" s="823" t="s">
        <v>2760</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38.25">
      <c r="A59" s="2654" t="s">
        <v>2761</v>
      </c>
      <c r="B59" s="2657" t="str">
        <f>估价对象房地状况!C17</f>
        <v>估价对象位于XX商圈，周边办公楼项目较多，入驻率高，办公集聚程度较好</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51">
      <c r="A60" s="2654" t="s">
        <v>2747</v>
      </c>
      <c r="B60" s="2658" t="str">
        <f>估价对象房地状况!C18</f>
        <v>估价对象周边道路状况、公共交通通达情况、停车便捷程度，综合评价交通便捷度较好</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2748</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2749</v>
      </c>
      <c r="B62" s="2659" t="s">
        <v>2750</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2751</v>
      </c>
      <c r="B63" s="2658">
        <f>估价对象房地状况!C24</f>
        <v>0</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2752</v>
      </c>
      <c r="B64" s="2660" t="s">
        <v>2753</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25.5">
      <c r="A65" s="2654" t="s">
        <v>2754</v>
      </c>
      <c r="B65" s="2662" t="str">
        <f>估价对象房地状况!C21</f>
        <v>估价对象所在区域公共配套设施齐备情况</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5.5">
      <c r="A66" s="2654" t="s">
        <v>2755</v>
      </c>
      <c r="B66" s="2662" t="str">
        <f>估价对象房地状况!C22</f>
        <v>估价对象所在区域基础设施水平</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39" thickBot="1">
      <c r="A67" s="2663" t="s">
        <v>2756</v>
      </c>
      <c r="B67" s="2666" t="str">
        <f>估价对象房地状况!C20</f>
        <v>区域自然环境：；人文环境；综合评价环境状况一般</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2762</v>
      </c>
      <c r="B68" s="2665">
        <f>1+E70</f>
        <v>1.0506</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2732</v>
      </c>
      <c r="B69" s="2658"/>
      <c r="C69" s="823" t="s">
        <v>2734</v>
      </c>
      <c r="D69" s="823" t="s">
        <v>2735</v>
      </c>
      <c r="E69" s="824" t="s">
        <v>2736</v>
      </c>
      <c r="F69" s="2655" t="s">
        <v>2737</v>
      </c>
      <c r="G69" s="823" t="s">
        <v>2758</v>
      </c>
      <c r="H69" s="2656" t="s">
        <v>2759</v>
      </c>
      <c r="I69" s="823" t="s">
        <v>2760</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51">
      <c r="A70" s="2654" t="s">
        <v>2763</v>
      </c>
      <c r="B70" s="2657" t="str">
        <f>估价对象房地状况!C15</f>
        <v>估价对象周边居住用地比例、居住小区规模和社区发展完善程度，综合评价居住社区成熟度一般</v>
      </c>
      <c r="C70" s="2553" t="s">
        <v>30</v>
      </c>
      <c r="D70" s="1372">
        <f t="shared" ref="D70:D78" si="20">SUMIF($J$69:$N$69,C70,J70:N70)</f>
        <v>9.1000000000000004E-3</v>
      </c>
      <c r="E70" s="829">
        <f>ROUND(SUM(D70:D78),4)</f>
        <v>5.0599999999999999E-2</v>
      </c>
      <c r="F70" s="2271">
        <f>IF(E2="住宅",SUMIF(L1:L12,G2,N1:N12),"——")</f>
        <v>0.13</v>
      </c>
      <c r="G70" s="1373">
        <v>9.1000000000000004E-3</v>
      </c>
      <c r="H70" s="1377">
        <f t="shared" ref="H70:H78" si="21">IFERROR(ROUNDDOWN($F$70*I70/2,4),"——")</f>
        <v>9.1000000000000004E-3</v>
      </c>
      <c r="I70" s="828">
        <v>0.14000000000000001</v>
      </c>
      <c r="J70" s="1374">
        <f t="shared" ref="J70:J78" si="22">K70+$G70</f>
        <v>1.8200000000000001E-2</v>
      </c>
      <c r="K70" s="1374">
        <f t="shared" ref="K70:K78" si="23">$L70+$G70</f>
        <v>9.1000000000000004E-3</v>
      </c>
      <c r="L70" s="1374">
        <v>0</v>
      </c>
      <c r="M70" s="1374">
        <f t="shared" ref="M70:N78" si="24">L70-$G70</f>
        <v>-9.1000000000000004E-3</v>
      </c>
      <c r="N70" s="1374">
        <f t="shared" si="24"/>
        <v>-1.8200000000000001E-2</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51">
      <c r="A71" s="2654" t="s">
        <v>2747</v>
      </c>
      <c r="B71" s="2658" t="str">
        <f>估价对象房地状况!C18</f>
        <v>估价对象周边道路状况、公共交通通达情况、停车便捷程度，综合评价交通便捷度较好</v>
      </c>
      <c r="C71" s="2553" t="s">
        <v>31</v>
      </c>
      <c r="D71" s="1372">
        <f t="shared" si="20"/>
        <v>0</v>
      </c>
      <c r="E71" s="840"/>
      <c r="F71" s="2667"/>
      <c r="G71" s="1373">
        <v>1.95E-2</v>
      </c>
      <c r="H71" s="1377">
        <f t="shared" si="21"/>
        <v>1.95E-2</v>
      </c>
      <c r="I71" s="828">
        <v>0.3</v>
      </c>
      <c r="J71" s="1374">
        <f t="shared" si="22"/>
        <v>3.9E-2</v>
      </c>
      <c r="K71" s="1374">
        <f t="shared" si="23"/>
        <v>1.95E-2</v>
      </c>
      <c r="L71" s="1374">
        <v>0</v>
      </c>
      <c r="M71" s="1374">
        <f t="shared" si="24"/>
        <v>-1.95E-2</v>
      </c>
      <c r="N71" s="1374">
        <f t="shared" si="24"/>
        <v>-3.9E-2</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2748</v>
      </c>
      <c r="B72" s="2658">
        <f>估价对象房地状况!C19</f>
        <v>0</v>
      </c>
      <c r="C72" s="2553" t="s">
        <v>30</v>
      </c>
      <c r="D72" s="1372">
        <f t="shared" si="20"/>
        <v>5.1999999999999998E-3</v>
      </c>
      <c r="E72" s="840"/>
      <c r="F72" s="2667"/>
      <c r="G72" s="1373">
        <v>5.1999999999999998E-3</v>
      </c>
      <c r="H72" s="1377">
        <f t="shared" si="21"/>
        <v>5.1999999999999998E-3</v>
      </c>
      <c r="I72" s="828">
        <v>0.08</v>
      </c>
      <c r="J72" s="1374">
        <f t="shared" si="22"/>
        <v>1.04E-2</v>
      </c>
      <c r="K72" s="1374">
        <f t="shared" si="23"/>
        <v>5.1999999999999998E-3</v>
      </c>
      <c r="L72" s="1374">
        <v>0</v>
      </c>
      <c r="M72" s="1374">
        <f t="shared" si="24"/>
        <v>-5.1999999999999998E-3</v>
      </c>
      <c r="N72" s="1374">
        <f t="shared" si="24"/>
        <v>-1.04E-2</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2764</v>
      </c>
      <c r="B73" s="2658">
        <f>估价对象房地状况!C24</f>
        <v>0</v>
      </c>
      <c r="C73" s="2553" t="s">
        <v>31</v>
      </c>
      <c r="D73" s="1372">
        <f t="shared" si="20"/>
        <v>0</v>
      </c>
      <c r="E73" s="840"/>
      <c r="F73" s="2667"/>
      <c r="G73" s="1373">
        <v>2.5999999999999999E-3</v>
      </c>
      <c r="H73" s="1377">
        <f t="shared" si="21"/>
        <v>2.5999999999999999E-3</v>
      </c>
      <c r="I73" s="828">
        <v>0.04</v>
      </c>
      <c r="J73" s="1374">
        <f t="shared" si="22"/>
        <v>5.1999999999999998E-3</v>
      </c>
      <c r="K73" s="1374">
        <f t="shared" si="23"/>
        <v>2.5999999999999999E-3</v>
      </c>
      <c r="L73" s="1374">
        <v>0</v>
      </c>
      <c r="M73" s="1374">
        <f t="shared" si="24"/>
        <v>-2.5999999999999999E-3</v>
      </c>
      <c r="N73" s="1374">
        <f t="shared" si="24"/>
        <v>-5.1999999999999998E-3</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25.5">
      <c r="A74" s="2654" t="s">
        <v>2754</v>
      </c>
      <c r="B74" s="2662" t="str">
        <f>估价对象房地状况!C21</f>
        <v>估价对象所在区域公共配套设施齐备情况</v>
      </c>
      <c r="C74" s="2553" t="s">
        <v>30</v>
      </c>
      <c r="D74" s="1372">
        <f t="shared" si="20"/>
        <v>5.1999999999999998E-3</v>
      </c>
      <c r="E74" s="840"/>
      <c r="F74" s="2667"/>
      <c r="G74" s="1373">
        <v>5.1999999999999998E-3</v>
      </c>
      <c r="H74" s="1377">
        <f t="shared" si="21"/>
        <v>5.1999999999999998E-3</v>
      </c>
      <c r="I74" s="828">
        <v>0.08</v>
      </c>
      <c r="J74" s="1374">
        <f t="shared" si="22"/>
        <v>1.04E-2</v>
      </c>
      <c r="K74" s="1374">
        <f t="shared" si="23"/>
        <v>5.1999999999999998E-3</v>
      </c>
      <c r="L74" s="1374">
        <v>0</v>
      </c>
      <c r="M74" s="1374">
        <f t="shared" si="24"/>
        <v>-5.1999999999999998E-3</v>
      </c>
      <c r="N74" s="1374">
        <f t="shared" si="24"/>
        <v>-1.04E-2</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5.5">
      <c r="A75" s="2654" t="s">
        <v>2755</v>
      </c>
      <c r="B75" s="2662" t="str">
        <f>估价对象房地状况!C22</f>
        <v>估价对象所在区域基础设施水平</v>
      </c>
      <c r="C75" s="2553" t="s">
        <v>29</v>
      </c>
      <c r="D75" s="1372">
        <f t="shared" si="20"/>
        <v>1.5599999999999999E-2</v>
      </c>
      <c r="E75" s="840"/>
      <c r="F75" s="2667"/>
      <c r="G75" s="1373">
        <v>7.7999999999999996E-3</v>
      </c>
      <c r="H75" s="1377">
        <f t="shared" si="21"/>
        <v>7.7999999999999996E-3</v>
      </c>
      <c r="I75" s="828">
        <v>0.12</v>
      </c>
      <c r="J75" s="1374">
        <f t="shared" si="22"/>
        <v>1.5599999999999999E-2</v>
      </c>
      <c r="K75" s="1374">
        <f t="shared" si="23"/>
        <v>7.7999999999999996E-3</v>
      </c>
      <c r="L75" s="1374">
        <v>0</v>
      </c>
      <c r="M75" s="1374">
        <f t="shared" si="24"/>
        <v>-7.7999999999999996E-3</v>
      </c>
      <c r="N75" s="1374">
        <f t="shared" si="24"/>
        <v>-1.5599999999999999E-2</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2752</v>
      </c>
      <c r="B76" s="2660" t="s">
        <v>2753</v>
      </c>
      <c r="C76" s="2553" t="s">
        <v>30</v>
      </c>
      <c r="D76" s="1372">
        <f t="shared" si="20"/>
        <v>3.2000000000000002E-3</v>
      </c>
      <c r="E76" s="840"/>
      <c r="F76" s="2667"/>
      <c r="G76" s="1373">
        <v>3.2000000000000002E-3</v>
      </c>
      <c r="H76" s="1377">
        <f t="shared" si="21"/>
        <v>3.2000000000000002E-3</v>
      </c>
      <c r="I76" s="828">
        <v>0.05</v>
      </c>
      <c r="J76" s="1374">
        <f t="shared" si="22"/>
        <v>6.4000000000000003E-3</v>
      </c>
      <c r="K76" s="1374">
        <f t="shared" si="23"/>
        <v>3.2000000000000002E-3</v>
      </c>
      <c r="L76" s="1374">
        <v>0</v>
      </c>
      <c r="M76" s="1374">
        <f t="shared" si="24"/>
        <v>-3.2000000000000002E-3</v>
      </c>
      <c r="N76" s="1374">
        <f t="shared" si="24"/>
        <v>-6.4000000000000003E-3</v>
      </c>
      <c r="Z76" s="2501"/>
      <c r="AA76" s="2568"/>
      <c r="AG76" s="2644"/>
      <c r="AK76" s="2568"/>
    </row>
    <row r="77" spans="1:37" ht="38.25">
      <c r="A77" s="2654" t="s">
        <v>2756</v>
      </c>
      <c r="B77" s="2657" t="str">
        <f>估价对象房地状况!C20</f>
        <v>区域自然环境：；人文环境；综合评价环境状况一般</v>
      </c>
      <c r="C77" s="2553" t="s">
        <v>30</v>
      </c>
      <c r="D77" s="1372">
        <f t="shared" si="20"/>
        <v>9.7000000000000003E-3</v>
      </c>
      <c r="E77" s="840"/>
      <c r="F77" s="2667"/>
      <c r="G77" s="1373">
        <v>9.7000000000000003E-3</v>
      </c>
      <c r="H77" s="1377">
        <f t="shared" si="21"/>
        <v>9.7000000000000003E-3</v>
      </c>
      <c r="I77" s="828">
        <v>0.15</v>
      </c>
      <c r="J77" s="1374">
        <f t="shared" si="22"/>
        <v>1.9400000000000001E-2</v>
      </c>
      <c r="K77" s="1374">
        <f t="shared" si="23"/>
        <v>9.7000000000000003E-3</v>
      </c>
      <c r="L77" s="1374">
        <v>0</v>
      </c>
      <c r="M77" s="1374">
        <f t="shared" si="24"/>
        <v>-9.7000000000000003E-3</v>
      </c>
      <c r="N77" s="1374">
        <f t="shared" si="24"/>
        <v>-1.9400000000000001E-2</v>
      </c>
      <c r="Z77" s="2501"/>
      <c r="AA77" s="2568"/>
      <c r="AG77" s="2644"/>
      <c r="AK77" s="2568"/>
    </row>
    <row r="78" spans="1:37" ht="24.75" thickBot="1">
      <c r="A78" s="2663" t="s">
        <v>2765</v>
      </c>
      <c r="B78" s="2668"/>
      <c r="C78" s="2553" t="s">
        <v>30</v>
      </c>
      <c r="D78" s="1372">
        <f t="shared" si="20"/>
        <v>2.5999999999999999E-3</v>
      </c>
      <c r="E78" s="841"/>
      <c r="F78" s="2667"/>
      <c r="G78" s="1373">
        <v>2.5999999999999999E-3</v>
      </c>
      <c r="H78" s="1377">
        <f t="shared" si="21"/>
        <v>2.5999999999999999E-3</v>
      </c>
      <c r="I78" s="837">
        <v>0.04</v>
      </c>
      <c r="J78" s="1374">
        <f t="shared" si="22"/>
        <v>5.1999999999999998E-3</v>
      </c>
      <c r="K78" s="1374">
        <f t="shared" si="23"/>
        <v>2.5999999999999999E-3</v>
      </c>
      <c r="L78" s="1374">
        <v>0</v>
      </c>
      <c r="M78" s="1374">
        <f t="shared" si="24"/>
        <v>-2.5999999999999999E-3</v>
      </c>
      <c r="N78" s="1374">
        <f t="shared" si="24"/>
        <v>-5.1999999999999998E-3</v>
      </c>
      <c r="Z78" s="2501"/>
      <c r="AA78" s="2568"/>
      <c r="AG78" s="2644"/>
      <c r="AK78" s="2568"/>
    </row>
    <row r="79" spans="1:37" ht="15">
      <c r="A79" s="2649" t="s">
        <v>2766</v>
      </c>
      <c r="B79" s="2665">
        <f>1+E81</f>
        <v>1</v>
      </c>
      <c r="C79" s="817"/>
      <c r="D79" s="817"/>
      <c r="E79" s="818"/>
      <c r="F79" s="2652"/>
      <c r="G79" s="7"/>
      <c r="H79" s="7"/>
      <c r="I79" s="7"/>
      <c r="J79" s="9"/>
      <c r="K79" s="9"/>
      <c r="L79" s="9"/>
      <c r="M79" s="9"/>
      <c r="N79" s="9"/>
      <c r="Z79" s="2501"/>
      <c r="AA79" s="2568"/>
      <c r="AG79" s="2644"/>
      <c r="AK79" s="2568"/>
    </row>
    <row r="80" spans="1:37" ht="24.75">
      <c r="A80" s="2654" t="s">
        <v>2732</v>
      </c>
      <c r="B80" s="2658"/>
      <c r="C80" s="823" t="s">
        <v>2734</v>
      </c>
      <c r="D80" s="823" t="s">
        <v>2735</v>
      </c>
      <c r="E80" s="824" t="s">
        <v>2736</v>
      </c>
      <c r="F80" s="2655" t="s">
        <v>2737</v>
      </c>
      <c r="G80" s="823" t="s">
        <v>2758</v>
      </c>
      <c r="H80" s="2656" t="s">
        <v>2759</v>
      </c>
      <c r="I80" s="823" t="s">
        <v>2760</v>
      </c>
      <c r="J80" s="587" t="s">
        <v>2396</v>
      </c>
      <c r="K80" s="587" t="s">
        <v>2397</v>
      </c>
      <c r="L80" s="587" t="s">
        <v>2398</v>
      </c>
      <c r="M80" s="587" t="s">
        <v>2399</v>
      </c>
      <c r="N80" s="587" t="s">
        <v>2400</v>
      </c>
      <c r="Z80" s="2501"/>
      <c r="AA80" s="2568"/>
      <c r="AG80" s="2644"/>
      <c r="AK80" s="2568"/>
    </row>
    <row r="81" spans="1:37" ht="38.25">
      <c r="A81" s="2654" t="s">
        <v>2767</v>
      </c>
      <c r="B81" s="2658" t="str">
        <f>估价对象房地状况!G15</f>
        <v>估价对象位于XX开发区，园区建设成熟度XX，产业集聚程度XX</v>
      </c>
      <c r="C81" s="2553"/>
      <c r="D81" s="1372">
        <f t="shared" ref="D81:D88" si="25">SUMIF($J$80:$N$80,C81,J81:N81)</f>
        <v>0</v>
      </c>
      <c r="E81" s="829">
        <f>ROUND(SUM(D81:D88),4)</f>
        <v>0</v>
      </c>
      <c r="F81" s="2271"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1"/>
      <c r="AA81" s="2568"/>
      <c r="AG81" s="2644"/>
      <c r="AK81" s="2568"/>
    </row>
    <row r="82" spans="1:37" ht="51">
      <c r="A82" s="2654" t="s">
        <v>2747</v>
      </c>
      <c r="B82" s="2658" t="str">
        <f>估价对象房地状况!G16</f>
        <v>估价对象周边道路状况、公共交通通达情况、停车便捷程度，综合评价交通便捷度较好</v>
      </c>
      <c r="C82" s="2553"/>
      <c r="D82" s="1372">
        <f t="shared" si="25"/>
        <v>0</v>
      </c>
      <c r="E82" s="840"/>
      <c r="F82" s="2667"/>
      <c r="G82" s="1373"/>
      <c r="H82" s="1377" t="str">
        <f t="shared" si="26"/>
        <v>——</v>
      </c>
      <c r="I82" s="828">
        <v>0.33</v>
      </c>
      <c r="J82" s="1374">
        <f t="shared" si="27"/>
        <v>0</v>
      </c>
      <c r="K82" s="1374">
        <f t="shared" si="28"/>
        <v>0</v>
      </c>
      <c r="L82" s="1374">
        <v>0</v>
      </c>
      <c r="M82" s="1374">
        <f t="shared" si="29"/>
        <v>0</v>
      </c>
      <c r="N82" s="1374">
        <f t="shared" si="29"/>
        <v>0</v>
      </c>
      <c r="Z82" s="2501"/>
      <c r="AA82" s="2568"/>
      <c r="AG82" s="2644"/>
      <c r="AK82" s="2568"/>
    </row>
    <row r="83" spans="1:37" ht="24">
      <c r="A83" s="2654" t="s">
        <v>2748</v>
      </c>
      <c r="B83" s="2658">
        <f>估价对象房地状况!G17</f>
        <v>0</v>
      </c>
      <c r="C83" s="2553"/>
      <c r="D83" s="1372">
        <f t="shared" si="25"/>
        <v>0</v>
      </c>
      <c r="E83" s="840"/>
      <c r="F83" s="2667"/>
      <c r="G83" s="1373"/>
      <c r="H83" s="1377" t="str">
        <f t="shared" si="26"/>
        <v>——</v>
      </c>
      <c r="I83" s="828">
        <v>0.05</v>
      </c>
      <c r="J83" s="1374">
        <f t="shared" si="27"/>
        <v>0</v>
      </c>
      <c r="K83" s="1374">
        <f t="shared" si="28"/>
        <v>0</v>
      </c>
      <c r="L83" s="1374">
        <v>0</v>
      </c>
      <c r="M83" s="1374">
        <f t="shared" si="29"/>
        <v>0</v>
      </c>
      <c r="N83" s="1374">
        <f t="shared" si="29"/>
        <v>0</v>
      </c>
      <c r="Z83" s="2501"/>
      <c r="AA83" s="2568"/>
      <c r="AG83" s="2644"/>
      <c r="AK83" s="2568"/>
    </row>
    <row r="84" spans="1:37" ht="14.25">
      <c r="A84" s="2654" t="s">
        <v>2764</v>
      </c>
      <c r="B84" s="2658">
        <f>估价对象房地状况!G22</f>
        <v>0</v>
      </c>
      <c r="C84" s="2553"/>
      <c r="D84" s="1372">
        <f t="shared" si="25"/>
        <v>0</v>
      </c>
      <c r="E84" s="840"/>
      <c r="F84" s="2667"/>
      <c r="G84" s="1373"/>
      <c r="H84" s="1377" t="str">
        <f t="shared" si="26"/>
        <v>——</v>
      </c>
      <c r="I84" s="828">
        <v>0.04</v>
      </c>
      <c r="J84" s="1374">
        <f t="shared" si="27"/>
        <v>0</v>
      </c>
      <c r="K84" s="1374">
        <f t="shared" si="28"/>
        <v>0</v>
      </c>
      <c r="L84" s="1374">
        <v>0</v>
      </c>
      <c r="M84" s="1374">
        <f t="shared" si="29"/>
        <v>0</v>
      </c>
      <c r="N84" s="1374">
        <f t="shared" si="29"/>
        <v>0</v>
      </c>
      <c r="Z84" s="2501"/>
      <c r="AA84" s="2568"/>
      <c r="AG84" s="2644"/>
      <c r="AK84" s="2568"/>
    </row>
    <row r="85" spans="1:37" ht="25.5">
      <c r="A85" s="2654" t="s">
        <v>2754</v>
      </c>
      <c r="B85" s="2662" t="str">
        <f>估价对象房地状况!G19</f>
        <v>估价对象所在区域公共配套设施齐备情况</v>
      </c>
      <c r="C85" s="2553"/>
      <c r="D85" s="1372">
        <f t="shared" si="25"/>
        <v>0</v>
      </c>
      <c r="E85" s="840"/>
      <c r="F85" s="2667"/>
      <c r="G85" s="1373"/>
      <c r="H85" s="1377" t="str">
        <f t="shared" si="26"/>
        <v>——</v>
      </c>
      <c r="I85" s="828">
        <v>0.06</v>
      </c>
      <c r="J85" s="1374">
        <f t="shared" si="27"/>
        <v>0</v>
      </c>
      <c r="K85" s="1374">
        <f t="shared" si="28"/>
        <v>0</v>
      </c>
      <c r="L85" s="1374">
        <v>0</v>
      </c>
      <c r="M85" s="1374">
        <f t="shared" si="29"/>
        <v>0</v>
      </c>
      <c r="N85" s="1374">
        <f t="shared" si="29"/>
        <v>0</v>
      </c>
      <c r="Z85" s="2501"/>
      <c r="AA85" s="2568"/>
      <c r="AG85" s="2644"/>
      <c r="AK85" s="2568"/>
    </row>
    <row r="86" spans="1:37" ht="25.5">
      <c r="A86" s="2654" t="s">
        <v>2755</v>
      </c>
      <c r="B86" s="2662" t="str">
        <f>估价对象房地状况!G20</f>
        <v>估价对象所在区域基础设施水平</v>
      </c>
      <c r="C86" s="2553"/>
      <c r="D86" s="1372">
        <f t="shared" si="25"/>
        <v>0</v>
      </c>
      <c r="E86" s="840"/>
      <c r="F86" s="2667"/>
      <c r="G86" s="1373"/>
      <c r="H86" s="1377" t="str">
        <f t="shared" si="26"/>
        <v>——</v>
      </c>
      <c r="I86" s="828">
        <v>0.15</v>
      </c>
      <c r="J86" s="1374">
        <f t="shared" si="27"/>
        <v>0</v>
      </c>
      <c r="K86" s="1374">
        <f t="shared" si="28"/>
        <v>0</v>
      </c>
      <c r="L86" s="1374">
        <v>0</v>
      </c>
      <c r="M86" s="1374">
        <f t="shared" si="29"/>
        <v>0</v>
      </c>
      <c r="N86" s="1374">
        <f t="shared" si="29"/>
        <v>0</v>
      </c>
      <c r="Z86" s="2501"/>
      <c r="AA86" s="2568"/>
      <c r="AG86" s="2644"/>
      <c r="AK86" s="2568"/>
    </row>
    <row r="87" spans="1:37" ht="24">
      <c r="A87" s="2654" t="s">
        <v>2752</v>
      </c>
      <c r="B87" s="2660" t="s">
        <v>2753</v>
      </c>
      <c r="C87" s="2553"/>
      <c r="D87" s="1372">
        <f t="shared" si="25"/>
        <v>0</v>
      </c>
      <c r="E87" s="840"/>
      <c r="F87" s="2667"/>
      <c r="G87" s="1373"/>
      <c r="H87" s="1377" t="str">
        <f t="shared" si="26"/>
        <v>——</v>
      </c>
      <c r="I87" s="828">
        <v>0.05</v>
      </c>
      <c r="J87" s="1374">
        <f t="shared" si="27"/>
        <v>0</v>
      </c>
      <c r="K87" s="1374">
        <f t="shared" si="28"/>
        <v>0</v>
      </c>
      <c r="L87" s="1374">
        <v>0</v>
      </c>
      <c r="M87" s="1374">
        <f t="shared" si="29"/>
        <v>0</v>
      </c>
      <c r="N87" s="1374">
        <f t="shared" si="29"/>
        <v>0</v>
      </c>
      <c r="Z87" s="2501"/>
      <c r="AA87" s="2568"/>
      <c r="AG87" s="2644"/>
      <c r="AK87" s="2568"/>
    </row>
    <row r="88" spans="1:37" ht="39" thickBot="1">
      <c r="A88" s="2663" t="s">
        <v>2768</v>
      </c>
      <c r="B88" s="2669" t="str">
        <f>估价对象房地状况!G18</f>
        <v>该园区内是否有污染型企业，绿化情况，卫生条件，整体环境状况判断</v>
      </c>
      <c r="C88" s="2670"/>
      <c r="D88" s="1378">
        <f t="shared" si="25"/>
        <v>0</v>
      </c>
      <c r="E88" s="841"/>
      <c r="F88" s="2667"/>
      <c r="G88" s="1373"/>
      <c r="H88" s="1377" t="str">
        <f t="shared" si="26"/>
        <v>——</v>
      </c>
      <c r="I88" s="837">
        <v>0.06</v>
      </c>
      <c r="J88" s="1374">
        <f t="shared" si="27"/>
        <v>0</v>
      </c>
      <c r="K88" s="1374">
        <f t="shared" si="28"/>
        <v>0</v>
      </c>
      <c r="L88" s="1374">
        <v>0</v>
      </c>
      <c r="M88" s="1374">
        <f t="shared" si="29"/>
        <v>0</v>
      </c>
      <c r="N88" s="1374">
        <f t="shared" si="29"/>
        <v>0</v>
      </c>
      <c r="Z88" s="2501"/>
      <c r="AA88" s="2568"/>
      <c r="AG88" s="2644"/>
      <c r="AK88" s="2568"/>
    </row>
    <row r="90" spans="1:37">
      <c r="A90" s="3086" t="s">
        <v>2769</v>
      </c>
      <c r="B90" s="3086"/>
      <c r="C90" s="3086"/>
      <c r="D90" s="3086"/>
      <c r="E90" s="3086"/>
      <c r="F90" s="3086"/>
      <c r="G90" s="3086"/>
      <c r="H90" s="3086"/>
      <c r="I90" s="3086"/>
      <c r="J90" s="3086"/>
      <c r="K90" s="2671"/>
      <c r="L90" s="2671"/>
      <c r="M90" s="2671"/>
      <c r="N90" s="2671"/>
    </row>
    <row r="91" spans="1:37">
      <c r="A91" s="3088" t="s">
        <v>2770</v>
      </c>
      <c r="B91" s="3088" t="s">
        <v>2771</v>
      </c>
      <c r="C91" s="2619" t="s">
        <v>2772</v>
      </c>
      <c r="D91" s="2620"/>
      <c r="E91" s="2620"/>
      <c r="F91" s="2620"/>
      <c r="G91" s="2620"/>
      <c r="H91" s="2620"/>
      <c r="I91" s="2620"/>
      <c r="J91" s="2672"/>
      <c r="K91" s="2673"/>
      <c r="L91" s="2673"/>
      <c r="M91" s="2673"/>
      <c r="N91" s="2673"/>
    </row>
    <row r="92" spans="1:37">
      <c r="A92" s="3088"/>
      <c r="B92" s="3088"/>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89" t="s">
        <v>2773</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090"/>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090"/>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090"/>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090"/>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090"/>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090"/>
      <c r="B99" s="2674" t="s">
        <v>2643</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091"/>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089" t="s">
        <v>2774</v>
      </c>
      <c r="B101" s="2678" t="s">
        <v>2775</v>
      </c>
      <c r="C101" s="2679">
        <f>$G$3</f>
        <v>2.5</v>
      </c>
      <c r="D101" s="2679">
        <f t="shared" ref="D101:N101" si="31">$G$3</f>
        <v>2.5</v>
      </c>
      <c r="E101" s="2679">
        <f t="shared" si="31"/>
        <v>2.5</v>
      </c>
      <c r="F101" s="2679">
        <f t="shared" si="31"/>
        <v>2.5</v>
      </c>
      <c r="G101" s="2679">
        <f t="shared" si="31"/>
        <v>2.5</v>
      </c>
      <c r="H101" s="2679">
        <f t="shared" si="31"/>
        <v>2.5</v>
      </c>
      <c r="I101" s="2679">
        <f t="shared" si="31"/>
        <v>2.5</v>
      </c>
      <c r="J101" s="2679">
        <f t="shared" si="31"/>
        <v>2.5</v>
      </c>
      <c r="K101" s="2679">
        <f t="shared" si="31"/>
        <v>2.5</v>
      </c>
      <c r="L101" s="2679">
        <f t="shared" si="31"/>
        <v>2.5</v>
      </c>
      <c r="M101" s="2679">
        <f t="shared" si="31"/>
        <v>2.5</v>
      </c>
      <c r="N101" s="2679">
        <f t="shared" si="31"/>
        <v>2.5</v>
      </c>
    </row>
    <row r="102" spans="1:14">
      <c r="A102" s="3090"/>
      <c r="B102" s="2674">
        <v>1</v>
      </c>
      <c r="C102" s="2675">
        <f>1.9362/C101</f>
        <v>0.77447999999999995</v>
      </c>
      <c r="D102" s="2675">
        <f>1.9362/D101</f>
        <v>0.77447999999999995</v>
      </c>
      <c r="E102" s="2675">
        <f>1.8629/E101</f>
        <v>0.74516000000000004</v>
      </c>
      <c r="F102" s="2675">
        <f>1.8629/F101</f>
        <v>0.74516000000000004</v>
      </c>
      <c r="G102" s="2675">
        <f>1.8629/G101</f>
        <v>0.74516000000000004</v>
      </c>
      <c r="H102" s="2675">
        <f>1.8629/H101</f>
        <v>0.74516000000000004</v>
      </c>
      <c r="I102" s="2675">
        <f>1.8629/I101</f>
        <v>0.74516000000000004</v>
      </c>
      <c r="J102" s="2675">
        <f>1.942/J101</f>
        <v>0.77679999999999993</v>
      </c>
      <c r="K102" s="2675">
        <f>1.942/K101</f>
        <v>0.77679999999999993</v>
      </c>
      <c r="L102" s="2675">
        <f>1.942/L101</f>
        <v>0.77679999999999993</v>
      </c>
      <c r="M102" s="2675">
        <f>1.942/M101</f>
        <v>0.77679999999999993</v>
      </c>
      <c r="N102" s="2675">
        <f>1.942/N101</f>
        <v>0.77679999999999993</v>
      </c>
    </row>
    <row r="103" spans="1:14">
      <c r="A103" s="3090"/>
      <c r="B103" s="2674">
        <v>2</v>
      </c>
      <c r="C103" s="2675">
        <f>1.4198/C101</f>
        <v>0.56791999999999998</v>
      </c>
      <c r="D103" s="2675">
        <f>1.4198/D101</f>
        <v>0.56791999999999998</v>
      </c>
      <c r="E103" s="2675">
        <f>1.3372/E101</f>
        <v>0.53488000000000002</v>
      </c>
      <c r="F103" s="2675">
        <f>1.3372/F101</f>
        <v>0.53488000000000002</v>
      </c>
      <c r="G103" s="2675">
        <f>1.3372/G101</f>
        <v>0.53488000000000002</v>
      </c>
      <c r="H103" s="2675">
        <f>1.3372/H101</f>
        <v>0.53488000000000002</v>
      </c>
      <c r="I103" s="2675">
        <f>1.3372/I101</f>
        <v>0.53488000000000002</v>
      </c>
      <c r="J103" s="2675">
        <f>1.2799/J101</f>
        <v>0.51195999999999997</v>
      </c>
      <c r="K103" s="2675">
        <f>1.2799/K101</f>
        <v>0.51195999999999997</v>
      </c>
      <c r="L103" s="2675">
        <f>1.2799/L101</f>
        <v>0.51195999999999997</v>
      </c>
      <c r="M103" s="2675">
        <f>1.2799/M101</f>
        <v>0.51195999999999997</v>
      </c>
      <c r="N103" s="2675">
        <f>1.2799/N101</f>
        <v>0.51195999999999997</v>
      </c>
    </row>
    <row r="104" spans="1:14">
      <c r="A104" s="3090"/>
      <c r="B104" s="2674">
        <v>3</v>
      </c>
      <c r="C104" s="2675">
        <f>1.1594/C101</f>
        <v>0.46376000000000001</v>
      </c>
      <c r="D104" s="2675">
        <f>1.1594/D101</f>
        <v>0.46376000000000001</v>
      </c>
      <c r="E104" s="2675">
        <f>1.0788/E101</f>
        <v>0.43152000000000001</v>
      </c>
      <c r="F104" s="2675">
        <f>1.0788/F101</f>
        <v>0.43152000000000001</v>
      </c>
      <c r="G104" s="2675">
        <f>1.0788/G101</f>
        <v>0.43152000000000001</v>
      </c>
      <c r="H104" s="2675">
        <f>1.0788/H101</f>
        <v>0.43152000000000001</v>
      </c>
      <c r="I104" s="2675">
        <f>1.0788/I101</f>
        <v>0.43152000000000001</v>
      </c>
      <c r="J104" s="2675">
        <f>1.0072/J101</f>
        <v>0.40288000000000002</v>
      </c>
      <c r="K104" s="2675">
        <f>1.0072/K101</f>
        <v>0.40288000000000002</v>
      </c>
      <c r="L104" s="2675">
        <f>1.0072/L101</f>
        <v>0.40288000000000002</v>
      </c>
      <c r="M104" s="2675">
        <f>1.0072/M101</f>
        <v>0.40288000000000002</v>
      </c>
      <c r="N104" s="2675">
        <f>1.0072/N101</f>
        <v>0.40288000000000002</v>
      </c>
    </row>
    <row r="105" spans="1:14">
      <c r="A105" s="3090"/>
      <c r="B105" s="2674">
        <v>4</v>
      </c>
      <c r="C105" s="2675">
        <f>0.9622/C101</f>
        <v>0.38488</v>
      </c>
      <c r="D105" s="2675">
        <f>0.9622/D101</f>
        <v>0.38488</v>
      </c>
      <c r="E105" s="2675">
        <f>0.8656/E101</f>
        <v>0.34623999999999999</v>
      </c>
      <c r="F105" s="2675">
        <f>0.8656/F101</f>
        <v>0.34623999999999999</v>
      </c>
      <c r="G105" s="2675">
        <f>0.8656/G101</f>
        <v>0.34623999999999999</v>
      </c>
      <c r="H105" s="2675">
        <f>0.8656/H101</f>
        <v>0.34623999999999999</v>
      </c>
      <c r="I105" s="2675">
        <f>0.8656/I101</f>
        <v>0.34623999999999999</v>
      </c>
      <c r="J105" s="2675">
        <f>0.7525/J101</f>
        <v>0.30099999999999999</v>
      </c>
      <c r="K105" s="2675">
        <f>0.7525/K101</f>
        <v>0.30099999999999999</v>
      </c>
      <c r="L105" s="2675">
        <f>0.7525/L101</f>
        <v>0.30099999999999999</v>
      </c>
      <c r="M105" s="2675">
        <f>0.7525/M101</f>
        <v>0.30099999999999999</v>
      </c>
      <c r="N105" s="2675">
        <f>0.7525/N101</f>
        <v>0.30099999999999999</v>
      </c>
    </row>
    <row r="106" spans="1:14">
      <c r="A106" s="3090"/>
      <c r="B106" s="2674">
        <v>5</v>
      </c>
      <c r="C106" s="2675">
        <f>0.8417/C101</f>
        <v>0.33667999999999998</v>
      </c>
      <c r="D106" s="2675">
        <f>0.8417/D101</f>
        <v>0.33667999999999998</v>
      </c>
      <c r="E106" s="2675">
        <f>0.7371/E101</f>
        <v>0.29483999999999999</v>
      </c>
      <c r="F106" s="2675">
        <f>0.7371/F101</f>
        <v>0.29483999999999999</v>
      </c>
      <c r="G106" s="2675">
        <f>0.7371/G101</f>
        <v>0.29483999999999999</v>
      </c>
      <c r="H106" s="2675">
        <f>0.7371/H101</f>
        <v>0.29483999999999999</v>
      </c>
      <c r="I106" s="2675">
        <f>0.7371/I101</f>
        <v>0.29483999999999999</v>
      </c>
      <c r="J106" s="2675">
        <f>0.5659/J101</f>
        <v>0.22635999999999998</v>
      </c>
      <c r="K106" s="2675">
        <f>0.5659/K101</f>
        <v>0.22635999999999998</v>
      </c>
      <c r="L106" s="2675">
        <f>0.5659/L101</f>
        <v>0.22635999999999998</v>
      </c>
      <c r="M106" s="2675">
        <f>0.5659/M101</f>
        <v>0.22635999999999998</v>
      </c>
      <c r="N106" s="2675">
        <f>0.5659/N101</f>
        <v>0.22635999999999998</v>
      </c>
    </row>
    <row r="107" spans="1:14">
      <c r="A107" s="3090"/>
      <c r="B107" s="2674">
        <v>6</v>
      </c>
      <c r="C107" s="2675">
        <f>0.7608/C101</f>
        <v>0.30432000000000003</v>
      </c>
      <c r="D107" s="2675">
        <f>0.7608/D101</f>
        <v>0.30432000000000003</v>
      </c>
      <c r="E107" s="2675">
        <f>0.6482/E101</f>
        <v>0.25928000000000001</v>
      </c>
      <c r="F107" s="2675">
        <f>0.6482/F101</f>
        <v>0.25928000000000001</v>
      </c>
      <c r="G107" s="2675">
        <f>0.6482/G101</f>
        <v>0.25928000000000001</v>
      </c>
      <c r="H107" s="2675">
        <f>0.6482/H101</f>
        <v>0.25928000000000001</v>
      </c>
      <c r="I107" s="2675">
        <f>0.6482/I101</f>
        <v>0.25928000000000001</v>
      </c>
      <c r="J107" s="2675">
        <f>0.4525/J101</f>
        <v>0.18099999999999999</v>
      </c>
      <c r="K107" s="2675">
        <f>0.4525/K101</f>
        <v>0.18099999999999999</v>
      </c>
      <c r="L107" s="2675">
        <f>0.4525/L101</f>
        <v>0.18099999999999999</v>
      </c>
      <c r="M107" s="2675">
        <f>0.4525/M101</f>
        <v>0.18099999999999999</v>
      </c>
      <c r="N107" s="2675">
        <f>0.4525/N101</f>
        <v>0.18099999999999999</v>
      </c>
    </row>
    <row r="108" spans="1:14">
      <c r="A108" s="3090"/>
      <c r="B108" s="3092" t="s">
        <v>2776</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091"/>
      <c r="B109" s="3093"/>
      <c r="C109" s="2677">
        <f>(-0.163*(C108^2)-0.59*C108+7617)*(10^(-4))/C101</f>
        <v>0.30468000000000001</v>
      </c>
      <c r="D109" s="2677">
        <f>(-0.163*(D108^2)-0.59*D108+7617)*(10^(-4))/D101</f>
        <v>0.30468000000000001</v>
      </c>
      <c r="E109" s="2677">
        <f>(-0.161*(E108^2)-7.509*E108+6533)*(10^(-4))/E101</f>
        <v>0.26132</v>
      </c>
      <c r="F109" s="2677">
        <f>(-0.161*(F108^2)-7.509*F108+6533)*(10^(-4))/F101</f>
        <v>0.26132</v>
      </c>
      <c r="G109" s="2677">
        <f>(-0.161*(G108^2)-7.509*G108+6533)*(10^(-4))/G101</f>
        <v>0.26132</v>
      </c>
      <c r="H109" s="2677">
        <f>(-0.161*(H108^2)-7.509*H108+6533)*(10^(-4))/H101</f>
        <v>0.26132</v>
      </c>
      <c r="I109" s="2677">
        <f>(-0.161*(I108^2)-7.509*I108+6533)*(10^(-4))/I101</f>
        <v>0.26132</v>
      </c>
      <c r="J109" s="2677">
        <f>(-0.214*(J108^2)-21.991*J108+4665)*(10^(-4))/J101</f>
        <v>0.18660000000000002</v>
      </c>
      <c r="K109" s="2677">
        <f>(-0.214*(K108^2)-21.991*K108+4665)*(10^(-4))/K101</f>
        <v>0.18660000000000002</v>
      </c>
      <c r="L109" s="2677">
        <f>(-0.214*(L108^2)-21.991*L108+4665)*(10^(-4))/L101</f>
        <v>0.18660000000000002</v>
      </c>
      <c r="M109" s="2677">
        <f>(-0.214*(M108^2)-21.991*M108+4665)*(10^(-4))/M101</f>
        <v>0.18660000000000002</v>
      </c>
      <c r="N109" s="2677">
        <f>(-0.214*(N108^2)-21.991*N108+4665)*(10^(-4))/N101</f>
        <v>0.18660000000000002</v>
      </c>
    </row>
    <row r="110" spans="1:14">
      <c r="A110" s="3087" t="s">
        <v>2777</v>
      </c>
      <c r="B110" s="3087"/>
      <c r="C110" s="3087"/>
      <c r="D110" s="3087"/>
      <c r="E110" s="3087"/>
      <c r="F110" s="3087"/>
      <c r="G110" s="3087"/>
      <c r="H110" s="3087"/>
      <c r="I110" s="3087"/>
      <c r="J110" s="3087"/>
      <c r="K110" s="2680"/>
      <c r="L110" s="2680"/>
      <c r="M110" s="2680"/>
      <c r="N110" s="2680"/>
    </row>
    <row r="112" spans="1:14" ht="13.5" thickBot="1"/>
    <row r="113" spans="1:13" ht="25.5" thickBot="1">
      <c r="A113" s="928" t="s">
        <v>2778</v>
      </c>
      <c r="B113" s="1375">
        <f>G3</f>
        <v>2.5</v>
      </c>
      <c r="C113" s="929" t="s">
        <v>2779</v>
      </c>
      <c r="D113" s="930">
        <f>SUMPRODUCT((A115:A118=F113)*(B114:M114=H113)*B115:M118)</f>
        <v>0.8548</v>
      </c>
      <c r="E113" s="2682" t="s">
        <v>2665</v>
      </c>
      <c r="F113" s="2683" t="str">
        <f>E2</f>
        <v>住宅</v>
      </c>
      <c r="G113" s="2682" t="s">
        <v>2601</v>
      </c>
      <c r="H113" s="2683" t="str">
        <f>G2</f>
        <v>七级</v>
      </c>
      <c r="I113" s="2682"/>
      <c r="J113" s="2684"/>
      <c r="K113" s="2684"/>
      <c r="L113" s="2684"/>
      <c r="M113" s="2684"/>
    </row>
    <row r="114" spans="1:13">
      <c r="A114" s="933"/>
      <c r="B114" s="2685" t="s">
        <v>2780</v>
      </c>
      <c r="C114" s="2685" t="s">
        <v>2781</v>
      </c>
      <c r="D114" s="2685" t="s">
        <v>2782</v>
      </c>
      <c r="E114" s="2686" t="s">
        <v>2783</v>
      </c>
      <c r="F114" s="2686" t="s">
        <v>2784</v>
      </c>
      <c r="G114" s="2686" t="s">
        <v>2785</v>
      </c>
      <c r="H114" s="2687" t="s">
        <v>2786</v>
      </c>
      <c r="I114" s="2687" t="s">
        <v>2787</v>
      </c>
      <c r="J114" s="2688" t="s">
        <v>2788</v>
      </c>
      <c r="K114" s="2688" t="s">
        <v>2789</v>
      </c>
      <c r="L114" s="2688" t="s">
        <v>2790</v>
      </c>
      <c r="M114" s="2689" t="s">
        <v>2791</v>
      </c>
    </row>
    <row r="115" spans="1:13">
      <c r="A115" s="934" t="s">
        <v>2666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2667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2668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2669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783</v>
      </c>
      <c r="B1" s="3099"/>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7500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2813</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S6" sqref="S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9" t="s">
        <v>1027</v>
      </c>
      <c r="C1" s="3109"/>
      <c r="D1" s="3109"/>
      <c r="E1" s="3109"/>
      <c r="F1" s="3109"/>
      <c r="G1" s="3105" t="s">
        <v>1028</v>
      </c>
      <c r="H1" s="3105"/>
      <c r="I1" s="3105"/>
      <c r="J1" s="3105"/>
      <c r="K1" s="3105"/>
      <c r="L1" s="3105"/>
      <c r="N1" s="3105" t="s">
        <v>1029</v>
      </c>
      <c r="O1" s="3105"/>
      <c r="P1" s="3105"/>
      <c r="Q1" s="3105"/>
      <c r="R1" s="1544"/>
      <c r="S1" s="3105" t="s">
        <v>1030</v>
      </c>
      <c r="T1" s="3105"/>
      <c r="U1" s="3105"/>
      <c r="V1" s="3105"/>
      <c r="X1" s="3104" t="s">
        <v>1031</v>
      </c>
      <c r="Y1" s="3105"/>
      <c r="Z1" s="3105"/>
      <c r="AA1" s="3105"/>
      <c r="AB1" s="3105"/>
      <c r="AD1" s="3104" t="s">
        <v>1032</v>
      </c>
      <c r="AE1" s="3105"/>
      <c r="AF1" s="3105"/>
      <c r="AG1" s="3105"/>
      <c r="AH1" s="3105"/>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1" customFormat="1" ht="14.25">
      <c r="A3" s="2712" t="s">
        <v>2799</v>
      </c>
      <c r="B3" s="2702"/>
      <c r="C3" s="2702"/>
      <c r="D3" s="2703"/>
      <c r="E3" s="2703"/>
      <c r="F3" s="2702"/>
      <c r="G3" s="2704"/>
      <c r="H3" s="2705"/>
      <c r="I3" s="2706">
        <f>ROUND(AVERAGE(I4:I30),2)</f>
        <v>1.85</v>
      </c>
      <c r="J3" s="2706">
        <f>ROUND(AVERAGE(J4:J30),2)</f>
        <v>1.28</v>
      </c>
      <c r="K3" s="2706">
        <f>ROUND(AVERAGE(K4:K30),2)</f>
        <v>2.0299999999999998</v>
      </c>
      <c r="L3" s="2707">
        <f>ROUND(AVERAGE(L4:L30),2)</f>
        <v>1.31</v>
      </c>
      <c r="N3" s="2704"/>
      <c r="O3" s="2708"/>
      <c r="P3" s="2708"/>
      <c r="Q3" s="2708"/>
      <c r="R3" s="2708"/>
      <c r="S3" s="2704"/>
      <c r="T3" s="2708"/>
      <c r="U3" s="2708"/>
      <c r="V3" s="2708"/>
      <c r="W3" s="2711"/>
      <c r="X3" s="2709">
        <f>ROUND(SUMPRODUCT(PRODUCT(1+N3:N$29)),4)</f>
        <v>1.5605</v>
      </c>
      <c r="Y3" s="2709">
        <f>ROUND(SUMPRODUCT(PRODUCT(1+O3:O$29)),4)</f>
        <v>1.3577999999999999</v>
      </c>
      <c r="Z3" s="2709">
        <f t="shared" ref="Z3:Z27" si="0">Y3</f>
        <v>1.3577999999999999</v>
      </c>
      <c r="AA3" s="2709">
        <f>ROUND(SUMPRODUCT(PRODUCT(1+P3:P$29)),4)</f>
        <v>1.6254999999999999</v>
      </c>
      <c r="AB3" s="2709">
        <f>ROUND(SUMPRODUCT(PRODUCT(1+Q3:Q$29)),4)</f>
        <v>1.3815999999999999</v>
      </c>
      <c r="AD3" s="2710">
        <f>ROUND(AVERAGE(I3:I$30)/100,4)</f>
        <v>1.8499999999999999E-2</v>
      </c>
      <c r="AE3" s="2710">
        <f>ROUND(AVERAGE(J3:J$30)/100,4)</f>
        <v>1.2800000000000001E-2</v>
      </c>
      <c r="AF3" s="2710">
        <f t="shared" ref="AF3:AF18" si="1">AE3</f>
        <v>1.2800000000000001E-2</v>
      </c>
      <c r="AG3" s="2710">
        <f>ROUND(AVERAGE(K3:K$30)/100,4)</f>
        <v>2.0299999999999999E-2</v>
      </c>
      <c r="AH3" s="2710">
        <f>ROUND(AVERAGE(L3:L$30)/100,4)</f>
        <v>1.3100000000000001E-2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2846</v>
      </c>
      <c r="B5" s="1564">
        <f t="shared" ref="B5" si="2">B6*(1+N5)</f>
        <v>479.92259063878413</v>
      </c>
      <c r="C5" s="1564">
        <f t="shared" ref="C5" si="3">C6*(1+O5)</f>
        <v>350.02082268341775</v>
      </c>
      <c r="D5" s="1813">
        <f t="shared" ref="D5" si="4">C5</f>
        <v>350.02082268341775</v>
      </c>
      <c r="E5" s="1564">
        <f t="shared" ref="E5" si="5">E6*(1+P5)</f>
        <v>687.42265944181099</v>
      </c>
      <c r="F5" s="1564">
        <f t="shared" ref="F5" si="6">F6*(1+Q5)</f>
        <v>317.63846657708956</v>
      </c>
      <c r="G5" s="2747">
        <v>2020</v>
      </c>
      <c r="H5" s="1817">
        <v>1</v>
      </c>
      <c r="I5" s="2695">
        <v>0</v>
      </c>
      <c r="J5" s="2695">
        <v>0</v>
      </c>
      <c r="K5" s="2695">
        <v>0</v>
      </c>
      <c r="L5" s="2696">
        <v>0</v>
      </c>
      <c r="N5" s="1566">
        <f t="shared" ref="N5" si="7">I5/100</f>
        <v>0</v>
      </c>
      <c r="O5" s="1566">
        <f t="shared" ref="O5" si="8">J5/100</f>
        <v>0</v>
      </c>
      <c r="P5" s="1566">
        <f t="shared" ref="P5" si="9">K5/100</f>
        <v>0</v>
      </c>
      <c r="Q5" s="1566">
        <f t="shared" ref="Q5" si="10">L5/100</f>
        <v>0</v>
      </c>
      <c r="R5" s="1819"/>
      <c r="S5" s="1820"/>
      <c r="T5" s="1819"/>
      <c r="U5" s="1819"/>
      <c r="V5" s="1819"/>
      <c r="W5" s="2700" t="s">
        <v>2798</v>
      </c>
      <c r="X5" s="1812">
        <f>ROUND(SUMPRODUCT(PRODUCT(1+N5:N$29)),4)</f>
        <v>1.5605</v>
      </c>
      <c r="Y5" s="1812">
        <f>ROUND(SUMPRODUCT(PRODUCT(1+O5:O$29)),4)</f>
        <v>1.3577999999999999</v>
      </c>
      <c r="Z5" s="1812">
        <f t="shared" ref="Z5" si="11">Y5</f>
        <v>1.3577999999999999</v>
      </c>
      <c r="AA5" s="1812">
        <f>ROUND(SUMPRODUCT(PRODUCT(1+P5:P$29)),4)</f>
        <v>1.6254999999999999</v>
      </c>
      <c r="AB5" s="1812">
        <f>ROUND(SUMPRODUCT(PRODUCT(1+Q5:Q$29)),4)</f>
        <v>1.3815999999999999</v>
      </c>
      <c r="AD5" s="1567">
        <f>ROUND(AVERAGE(I5:I$30)/100,4)</f>
        <v>1.8499999999999999E-2</v>
      </c>
      <c r="AE5" s="1567">
        <f>ROUND(AVERAGE(J5:J$30)/100,4)</f>
        <v>1.2800000000000001E-2</v>
      </c>
      <c r="AF5" s="1567">
        <f t="shared" ref="AF5" si="12">AE5</f>
        <v>1.2800000000000001E-2</v>
      </c>
      <c r="AG5" s="1567">
        <f>ROUND(AVERAGE(K5:K$30)/100,4)</f>
        <v>2.0299999999999999E-2</v>
      </c>
      <c r="AH5" s="1567">
        <f>ROUND(AVERAGE(L5:L$30)/100,4)</f>
        <v>1.3100000000000001E-2</v>
      </c>
    </row>
    <row r="6" spans="1:34" s="2743" customFormat="1" ht="14.45" customHeight="1">
      <c r="A6" s="1559" t="s">
        <v>2845</v>
      </c>
      <c r="B6" s="2737">
        <f t="shared" ref="B6" si="13">B7*(1+N6)</f>
        <v>479.92259063878413</v>
      </c>
      <c r="C6" s="2737">
        <f t="shared" ref="C6" si="14">C7*(1+O6)</f>
        <v>350.02082268341775</v>
      </c>
      <c r="D6" s="2737">
        <f t="shared" ref="D6" si="15">C6</f>
        <v>350.02082268341775</v>
      </c>
      <c r="E6" s="2737">
        <f t="shared" ref="E6" si="16">E7*(1+P6)</f>
        <v>687.42265944181099</v>
      </c>
      <c r="F6" s="2737">
        <f t="shared" ref="F6" si="17">F7*(1+Q6)</f>
        <v>317.63846657708956</v>
      </c>
      <c r="G6" s="2747">
        <v>2020</v>
      </c>
      <c r="H6" s="1562">
        <v>1</v>
      </c>
      <c r="I6" s="2748">
        <v>0.12</v>
      </c>
      <c r="J6" s="2748">
        <v>-0.4</v>
      </c>
      <c r="K6" s="2748">
        <v>0.21</v>
      </c>
      <c r="L6" s="2749">
        <v>0.27</v>
      </c>
      <c r="M6" s="2738"/>
      <c r="N6" s="2739">
        <f t="shared" ref="N6" si="18">I6/100</f>
        <v>1.1999999999999999E-3</v>
      </c>
      <c r="O6" s="2740">
        <f t="shared" ref="O6" si="19">J6/100</f>
        <v>-4.0000000000000001E-3</v>
      </c>
      <c r="P6" s="2740">
        <f t="shared" ref="P6" si="20">K6/100</f>
        <v>2.0999999999999999E-3</v>
      </c>
      <c r="Q6" s="2740">
        <f t="shared" ref="Q6" si="21">L6/100</f>
        <v>2.7000000000000001E-3</v>
      </c>
      <c r="R6" s="2738"/>
      <c r="S6" s="2739">
        <f>B6/B7-1</f>
        <v>1.2000000000000899E-3</v>
      </c>
      <c r="T6" s="2740">
        <f>C6/C7-1</f>
        <v>-4.0000000000000036E-3</v>
      </c>
      <c r="U6" s="2740">
        <f>E6/E7-1</f>
        <v>2.0999999999999908E-3</v>
      </c>
      <c r="V6" s="2740">
        <f>F6/F7-1</f>
        <v>2.6999999999999247E-3</v>
      </c>
      <c r="W6" s="2738"/>
      <c r="X6" s="2741">
        <f>ROUND(SUMPRODUCT(PRODUCT(1+N6:N$29)),4)</f>
        <v>1.5605</v>
      </c>
      <c r="Y6" s="2741">
        <f>ROUND(SUMPRODUCT(PRODUCT(1+O6:O$29)),4)</f>
        <v>1.3577999999999999</v>
      </c>
      <c r="Z6" s="2741">
        <f t="shared" ref="Z6" si="22">Y6</f>
        <v>1.3577999999999999</v>
      </c>
      <c r="AA6" s="2741">
        <f>ROUND(SUMPRODUCT(PRODUCT(1+P6:P$29)),4)</f>
        <v>1.6254999999999999</v>
      </c>
      <c r="AB6" s="2741">
        <f>ROUND(SUMPRODUCT(PRODUCT(1+Q6:Q$29)),4)</f>
        <v>1.3815999999999999</v>
      </c>
      <c r="AC6" s="2738"/>
      <c r="AD6" s="2742">
        <f>ROUND(AVERAGE(I6:I$30)/100,4)</f>
        <v>1.9199999999999998E-2</v>
      </c>
      <c r="AE6" s="2742">
        <f>ROUND(AVERAGE(J6:J$30)/100,4)</f>
        <v>1.3299999999999999E-2</v>
      </c>
      <c r="AF6" s="2742">
        <f t="shared" ref="AF6" si="23">AE6</f>
        <v>1.3299999999999999E-2</v>
      </c>
      <c r="AG6" s="2742">
        <f>ROUND(AVERAGE(K6:K$30)/100,4)</f>
        <v>2.1100000000000001E-2</v>
      </c>
      <c r="AH6" s="2742">
        <f>ROUND(AVERAGE(L6:L$30)/100,4)</f>
        <v>1.3599999999999999E-2</v>
      </c>
    </row>
    <row r="7" spans="1:34" s="2743" customFormat="1" ht="14.45" customHeight="1">
      <c r="A7" s="1559" t="s">
        <v>2826</v>
      </c>
      <c r="B7" s="2737">
        <f t="shared" ref="B7:B12" si="24">B8*(1+N7)</f>
        <v>479.34737379023579</v>
      </c>
      <c r="C7" s="2737">
        <f t="shared" ref="C7" si="25">C8*(1+O7)</f>
        <v>351.4265287986122</v>
      </c>
      <c r="D7" s="2737">
        <f t="shared" ref="D7" si="26">C7</f>
        <v>351.4265287986122</v>
      </c>
      <c r="E7" s="2737">
        <f t="shared" ref="E7" si="27">E8*(1+P7)</f>
        <v>685.98209703803116</v>
      </c>
      <c r="F7" s="2737">
        <f t="shared" ref="F7" si="28">F8*(1+Q7)</f>
        <v>316.78315206651001</v>
      </c>
      <c r="G7" s="2746">
        <v>2019</v>
      </c>
      <c r="H7" s="1562">
        <v>4</v>
      </c>
      <c r="I7" s="1562">
        <v>0.45</v>
      </c>
      <c r="J7" s="1562">
        <v>-0.12</v>
      </c>
      <c r="K7" s="1562">
        <v>0.54</v>
      </c>
      <c r="L7" s="1577">
        <v>0.48</v>
      </c>
      <c r="M7" s="2738"/>
      <c r="N7" s="2739">
        <f t="shared" ref="N7:N12" si="29">I7/100</f>
        <v>4.5000000000000005E-3</v>
      </c>
      <c r="O7" s="2740">
        <f t="shared" ref="O7" si="30">J7/100</f>
        <v>-1.1999999999999999E-3</v>
      </c>
      <c r="P7" s="2740">
        <f t="shared" ref="P7" si="31">K7/100</f>
        <v>5.4000000000000003E-3</v>
      </c>
      <c r="Q7" s="2740">
        <f t="shared" ref="Q7" si="32">L7/100</f>
        <v>4.7999999999999996E-3</v>
      </c>
      <c r="R7" s="2738"/>
      <c r="S7" s="2739"/>
      <c r="T7" s="2740"/>
      <c r="U7" s="2740"/>
      <c r="V7" s="2740"/>
      <c r="W7" s="2738"/>
      <c r="X7" s="2741">
        <f>ROUND(SUMPRODUCT(PRODUCT(1+N7:N$29)),4)</f>
        <v>1.5586</v>
      </c>
      <c r="Y7" s="2741">
        <f>ROUND(SUMPRODUCT(PRODUCT(1+O7:O$29)),4)</f>
        <v>1.3633</v>
      </c>
      <c r="Z7" s="2741">
        <f t="shared" ref="Z7" si="33">Y7</f>
        <v>1.3633</v>
      </c>
      <c r="AA7" s="2741">
        <f>ROUND(SUMPRODUCT(PRODUCT(1+P7:P$29)),4)</f>
        <v>1.6221000000000001</v>
      </c>
      <c r="AB7" s="2741">
        <f>ROUND(SUMPRODUCT(PRODUCT(1+Q7:Q$29)),4)</f>
        <v>1.3777999999999999</v>
      </c>
      <c r="AC7" s="2738"/>
      <c r="AD7" s="2742">
        <f>ROUND(AVERAGE(I7:I$30)/100,4)</f>
        <v>0.02</v>
      </c>
      <c r="AE7" s="2742">
        <f>ROUND(AVERAGE(J7:J$30)/100,4)</f>
        <v>1.4E-2</v>
      </c>
      <c r="AF7" s="2742">
        <f t="shared" ref="AF7" si="34">AE7</f>
        <v>1.4E-2</v>
      </c>
      <c r="AG7" s="2742">
        <f>ROUND(AVERAGE(K7:K$30)/100,4)</f>
        <v>2.1899999999999999E-2</v>
      </c>
      <c r="AH7" s="2742">
        <f>ROUND(AVERAGE(L7:L$30)/100,4)</f>
        <v>1.4E-2</v>
      </c>
    </row>
    <row r="8" spans="1:34" s="2743" customFormat="1" ht="14.45" customHeight="1" thickBot="1">
      <c r="A8" s="1559" t="s">
        <v>2822</v>
      </c>
      <c r="B8" s="2737">
        <f t="shared" si="24"/>
        <v>477.19997390765138</v>
      </c>
      <c r="C8" s="2737">
        <f t="shared" ref="C8" si="35">C9*(1+O8)</f>
        <v>351.84874729536665</v>
      </c>
      <c r="D8" s="2737">
        <f t="shared" ref="D8" si="36">C8</f>
        <v>351.84874729536665</v>
      </c>
      <c r="E8" s="2737">
        <f t="shared" ref="E8" si="37">E9*(1+P8)</f>
        <v>682.29768951465201</v>
      </c>
      <c r="F8" s="2737">
        <f t="shared" ref="F8" si="38">F9*(1+Q8)</f>
        <v>315.26985675409043</v>
      </c>
      <c r="G8" s="2745">
        <v>2019</v>
      </c>
      <c r="H8" s="1562">
        <v>3</v>
      </c>
      <c r="I8" s="1562">
        <v>0.61</v>
      </c>
      <c r="J8" s="1562">
        <v>0.67</v>
      </c>
      <c r="K8" s="1562">
        <v>0.6</v>
      </c>
      <c r="L8" s="1577">
        <v>1.03</v>
      </c>
      <c r="M8" s="2738"/>
      <c r="N8" s="2739">
        <f t="shared" si="29"/>
        <v>6.0999999999999995E-3</v>
      </c>
      <c r="O8" s="2740">
        <f t="shared" ref="O8" si="39">J8/100</f>
        <v>6.7000000000000002E-3</v>
      </c>
      <c r="P8" s="2740">
        <f t="shared" ref="P8" si="40">K8/100</f>
        <v>6.0000000000000001E-3</v>
      </c>
      <c r="Q8" s="2740">
        <f t="shared" ref="Q8" si="41">L8/100</f>
        <v>1.03E-2</v>
      </c>
      <c r="R8" s="2738"/>
      <c r="S8" s="2739"/>
      <c r="T8" s="2740"/>
      <c r="U8" s="2740"/>
      <c r="V8" s="2740"/>
      <c r="W8" s="2738"/>
      <c r="X8" s="2741">
        <f>ROUND(SUMPRODUCT(PRODUCT(1+N8:N$29)),4)</f>
        <v>1.5516000000000001</v>
      </c>
      <c r="Y8" s="2741">
        <f>ROUND(SUMPRODUCT(PRODUCT(1+O8:O$29)),4)</f>
        <v>1.3649</v>
      </c>
      <c r="Z8" s="2741">
        <f t="shared" ref="Z8" si="42">Y8</f>
        <v>1.3649</v>
      </c>
      <c r="AA8" s="2741">
        <f>ROUND(SUMPRODUCT(PRODUCT(1+P8:P$29)),4)</f>
        <v>1.6133999999999999</v>
      </c>
      <c r="AB8" s="2741">
        <f>ROUND(SUMPRODUCT(PRODUCT(1+Q8:Q$29)),4)</f>
        <v>1.3713</v>
      </c>
      <c r="AC8" s="2738"/>
      <c r="AD8" s="2742">
        <f>ROUND(AVERAGE(I8:I$30)/100,4)</f>
        <v>2.07E-2</v>
      </c>
      <c r="AE8" s="2742">
        <f>ROUND(AVERAGE(J8:J$30)/100,4)</f>
        <v>1.47E-2</v>
      </c>
      <c r="AF8" s="2742">
        <f t="shared" ref="AF8" si="43">AE8</f>
        <v>1.47E-2</v>
      </c>
      <c r="AG8" s="2742">
        <f>ROUND(AVERAGE(K8:K$30)/100,4)</f>
        <v>2.2599999999999999E-2</v>
      </c>
      <c r="AH8" s="2742">
        <f>ROUND(AVERAGE(L8:L$30)/100,4)</f>
        <v>1.44E-2</v>
      </c>
    </row>
    <row r="9" spans="1:34" s="2743" customFormat="1" ht="14.45" customHeight="1">
      <c r="A9" s="1559" t="s">
        <v>2816</v>
      </c>
      <c r="B9" s="2737">
        <f t="shared" si="24"/>
        <v>474.30670301923408</v>
      </c>
      <c r="C9" s="2737">
        <f t="shared" ref="C9" si="44">C10*(1+O9)</f>
        <v>349.50705005996491</v>
      </c>
      <c r="D9" s="2737">
        <f t="shared" ref="D9" si="45">C9</f>
        <v>349.50705005996491</v>
      </c>
      <c r="E9" s="2737">
        <f t="shared" ref="E9" si="46">E10*(1+P9)</f>
        <v>678.22831959706957</v>
      </c>
      <c r="F9" s="2737">
        <f t="shared" ref="F9" si="47">F10*(1+Q9)</f>
        <v>312.0556832169558</v>
      </c>
      <c r="G9" s="2736">
        <v>2019</v>
      </c>
      <c r="H9" s="1560">
        <v>2</v>
      </c>
      <c r="I9" s="1560">
        <v>1.53</v>
      </c>
      <c r="J9" s="1560">
        <v>1.01</v>
      </c>
      <c r="K9" s="1560">
        <v>1.62</v>
      </c>
      <c r="L9" s="1561">
        <v>1.25</v>
      </c>
      <c r="M9" s="2738"/>
      <c r="N9" s="2739">
        <f t="shared" si="29"/>
        <v>1.5300000000000001E-2</v>
      </c>
      <c r="O9" s="2740">
        <f t="shared" ref="O9" si="48">J9/100</f>
        <v>1.01E-2</v>
      </c>
      <c r="P9" s="2740">
        <f t="shared" ref="P9" si="49">K9/100</f>
        <v>1.6200000000000003E-2</v>
      </c>
      <c r="Q9" s="2740">
        <f t="shared" ref="Q9" si="50">L9/100</f>
        <v>1.2500000000000001E-2</v>
      </c>
      <c r="R9" s="2738"/>
      <c r="S9" s="2739"/>
      <c r="T9" s="2740"/>
      <c r="U9" s="2740"/>
      <c r="V9" s="2740"/>
      <c r="W9" s="2738"/>
      <c r="X9" s="2741">
        <f>ROUND(SUMPRODUCT(PRODUCT(1+N9:N$29)),4)</f>
        <v>1.5422</v>
      </c>
      <c r="Y9" s="2741">
        <f>ROUND(SUMPRODUCT(PRODUCT(1+O9:O$29)),4)</f>
        <v>1.3557999999999999</v>
      </c>
      <c r="Z9" s="2741">
        <f t="shared" ref="Z9" si="51">Y9</f>
        <v>1.3557999999999999</v>
      </c>
      <c r="AA9" s="2741">
        <f>ROUND(SUMPRODUCT(PRODUCT(1+P9:P$29)),4)</f>
        <v>1.6036999999999999</v>
      </c>
      <c r="AB9" s="2741">
        <f>ROUND(SUMPRODUCT(PRODUCT(1+Q9:Q$29)),4)</f>
        <v>1.3573</v>
      </c>
      <c r="AC9" s="2738"/>
      <c r="AD9" s="2742">
        <f>ROUND(AVERAGE(I9:I$30)/100,4)</f>
        <v>2.1299999999999999E-2</v>
      </c>
      <c r="AE9" s="2742">
        <f>ROUND(AVERAGE(J9:J$30)/100,4)</f>
        <v>1.4999999999999999E-2</v>
      </c>
      <c r="AF9" s="2742">
        <f t="shared" ref="AF9" si="52">AE9</f>
        <v>1.4999999999999999E-2</v>
      </c>
      <c r="AG9" s="2742">
        <f>ROUND(AVERAGE(K9:K$30)/100,4)</f>
        <v>2.3300000000000001E-2</v>
      </c>
      <c r="AH9" s="2742">
        <f>ROUND(AVERAGE(L9:L$30)/100,4)</f>
        <v>1.46E-2</v>
      </c>
    </row>
    <row r="10" spans="1:34" s="2743" customFormat="1" ht="14.45" customHeight="1" thickBot="1">
      <c r="A10" s="1559" t="s">
        <v>2817</v>
      </c>
      <c r="B10" s="2737">
        <f t="shared" si="24"/>
        <v>467.15916775261894</v>
      </c>
      <c r="C10" s="2737">
        <f t="shared" ref="C10" si="53">C11*(1+O10)</f>
        <v>346.01232557169084</v>
      </c>
      <c r="D10" s="2737">
        <f t="shared" ref="D10" si="54">C10</f>
        <v>346.01232557169084</v>
      </c>
      <c r="E10" s="2737">
        <f t="shared" ref="E10" si="55">E11*(1+P10)</f>
        <v>667.41617752122568</v>
      </c>
      <c r="F10" s="2737">
        <f t="shared" ref="F10" si="56">F11*(1+Q10)</f>
        <v>308.20314391798104</v>
      </c>
      <c r="G10" s="2717">
        <v>2019</v>
      </c>
      <c r="H10" s="1562">
        <v>1</v>
      </c>
      <c r="I10" s="1562">
        <v>0.6</v>
      </c>
      <c r="J10" s="1562">
        <v>0.37</v>
      </c>
      <c r="K10" s="1562">
        <v>0.63</v>
      </c>
      <c r="L10" s="1577">
        <v>1.1299999999999999</v>
      </c>
      <c r="M10" s="2738"/>
      <c r="N10" s="2739">
        <f t="shared" si="29"/>
        <v>6.0000000000000001E-3</v>
      </c>
      <c r="O10" s="2740">
        <f t="shared" ref="O10" si="57">J10/100</f>
        <v>3.7000000000000002E-3</v>
      </c>
      <c r="P10" s="2740">
        <f t="shared" ref="P10" si="58">K10/100</f>
        <v>6.3E-3</v>
      </c>
      <c r="Q10" s="2740">
        <f t="shared" ref="Q10" si="59">L10/100</f>
        <v>1.1299999999999999E-2</v>
      </c>
      <c r="R10" s="2738"/>
      <c r="S10" s="2739">
        <f>B10/B11-1</f>
        <v>6.0000000000000053E-3</v>
      </c>
      <c r="T10" s="2740">
        <f>C10/C11-1</f>
        <v>3.7000000000000366E-3</v>
      </c>
      <c r="U10" s="2740">
        <f>E10/E11-1</f>
        <v>6.2999999999999723E-3</v>
      </c>
      <c r="V10" s="2740">
        <f>F10/F11-1</f>
        <v>1.1300000000000088E-2</v>
      </c>
      <c r="W10" s="2738"/>
      <c r="X10" s="2741">
        <f>ROUND(SUMPRODUCT(PRODUCT(1+N10:N$29)),4)</f>
        <v>1.5189999999999999</v>
      </c>
      <c r="Y10" s="2741">
        <f>ROUND(SUMPRODUCT(PRODUCT(1+O10:O$29)),4)</f>
        <v>1.3423</v>
      </c>
      <c r="Z10" s="2741">
        <f t="shared" ref="Z10" si="60">Y10</f>
        <v>1.3423</v>
      </c>
      <c r="AA10" s="2741">
        <f>ROUND(SUMPRODUCT(PRODUCT(1+P10:P$29)),4)</f>
        <v>1.5782</v>
      </c>
      <c r="AB10" s="2741">
        <f>ROUND(SUMPRODUCT(PRODUCT(1+Q10:Q$29)),4)</f>
        <v>1.3405</v>
      </c>
      <c r="AC10" s="2738"/>
      <c r="AD10" s="2742">
        <f>ROUND(AVERAGE(I10:I$30)/100,4)</f>
        <v>2.1600000000000001E-2</v>
      </c>
      <c r="AE10" s="2742">
        <f>ROUND(AVERAGE(J10:J$30)/100,4)</f>
        <v>1.5299999999999999E-2</v>
      </c>
      <c r="AF10" s="2742">
        <f t="shared" ref="AF10" si="61">AE10</f>
        <v>1.5299999999999999E-2</v>
      </c>
      <c r="AG10" s="2742">
        <f>ROUND(AVERAGE(K10:K$30)/100,4)</f>
        <v>2.3699999999999999E-2</v>
      </c>
      <c r="AH10" s="2742">
        <f>ROUND(AVERAGE(L10:L$30)/100,4)</f>
        <v>1.47E-2</v>
      </c>
    </row>
    <row r="11" spans="1:34">
      <c r="A11" s="1559" t="s">
        <v>2812</v>
      </c>
      <c r="B11" s="1568">
        <f t="shared" si="24"/>
        <v>464.37293017158942</v>
      </c>
      <c r="C11" s="1568">
        <f t="shared" ref="C11" si="62">C12*(1+O11)</f>
        <v>344.73679941385956</v>
      </c>
      <c r="D11" s="1568">
        <f t="shared" ref="D11" si="63">C11</f>
        <v>344.73679941385956</v>
      </c>
      <c r="E11" s="1568">
        <f t="shared" ref="E11" si="64">E12*(1+P11)</f>
        <v>663.2377795103107</v>
      </c>
      <c r="F11" s="1569">
        <f t="shared" ref="F11" si="65">F12*(1+Q11)</f>
        <v>304.75936311478398</v>
      </c>
      <c r="G11" s="3107">
        <v>2018</v>
      </c>
      <c r="H11" s="1560">
        <v>4</v>
      </c>
      <c r="I11" s="1560">
        <v>0.96</v>
      </c>
      <c r="J11" s="1560">
        <v>1.03</v>
      </c>
      <c r="K11" s="1560">
        <v>0.92</v>
      </c>
      <c r="L11" s="1561">
        <v>1.29</v>
      </c>
      <c r="N11" s="1583">
        <f t="shared" si="29"/>
        <v>9.5999999999999992E-3</v>
      </c>
      <c r="O11" s="1584">
        <f t="shared" ref="O11" si="66">J11/100</f>
        <v>1.03E-2</v>
      </c>
      <c r="P11" s="1584">
        <f t="shared" ref="P11" si="67">K11/100</f>
        <v>9.1999999999999998E-3</v>
      </c>
      <c r="Q11" s="1584">
        <f t="shared" ref="Q11" si="68">L11/100</f>
        <v>1.29E-2</v>
      </c>
      <c r="R11" s="1573"/>
      <c r="S11" s="1574"/>
      <c r="T11" s="1575"/>
      <c r="U11" s="1575"/>
      <c r="V11" s="1575"/>
      <c r="X11" s="1557">
        <f>ROUND(SUMPRODUCT(PRODUCT(1+N11:N$29)),4)</f>
        <v>1.5099</v>
      </c>
      <c r="Y11" s="1557">
        <f>ROUND(SUMPRODUCT(PRODUCT(1+O11:O$29)),4)</f>
        <v>1.3372999999999999</v>
      </c>
      <c r="Z11" s="1557">
        <f t="shared" ref="Z11" si="69">Y11</f>
        <v>1.3372999999999999</v>
      </c>
      <c r="AA11" s="1557">
        <f>ROUND(SUMPRODUCT(PRODUCT(1+P11:P$29)),4)</f>
        <v>1.5683</v>
      </c>
      <c r="AB11" s="1557">
        <f>ROUND(SUMPRODUCT(PRODUCT(1+Q11:Q$29)),4)</f>
        <v>1.3255999999999999</v>
      </c>
      <c r="AD11" s="1558">
        <f>ROUND(AVERAGE(I11:I$30)/100,4)</f>
        <v>2.24E-2</v>
      </c>
      <c r="AE11" s="1558">
        <f>ROUND(AVERAGE(J11:J$30)/100,4)</f>
        <v>1.5800000000000002E-2</v>
      </c>
      <c r="AF11" s="1558">
        <f t="shared" ref="AF11" si="70">AE11</f>
        <v>1.5800000000000002E-2</v>
      </c>
      <c r="AG11" s="1558">
        <f>ROUND(AVERAGE(K11:K$30)/100,4)</f>
        <v>2.4500000000000001E-2</v>
      </c>
      <c r="AH11" s="1558">
        <f>ROUND(AVERAGE(L11:L$30)/100,4)</f>
        <v>1.49E-2</v>
      </c>
    </row>
    <row r="12" spans="1:34" s="1565" customFormat="1" ht="14.45" customHeight="1">
      <c r="A12" s="1559" t="s">
        <v>2807</v>
      </c>
      <c r="B12" s="1576">
        <f t="shared" si="24"/>
        <v>459.95733971036987</v>
      </c>
      <c r="C12" s="1576">
        <f t="shared" ref="C12" si="71">C13*(1+O12)</f>
        <v>341.22221064422405</v>
      </c>
      <c r="D12" s="1576">
        <f t="shared" ref="D12" si="72">C12</f>
        <v>341.22221064422405</v>
      </c>
      <c r="E12" s="1576">
        <f t="shared" ref="E12" si="73">E13*(1+P12)</f>
        <v>657.19161663724799</v>
      </c>
      <c r="F12" s="1576">
        <f t="shared" ref="F12" si="74">F13*(1+Q12)</f>
        <v>300.87803644464805</v>
      </c>
      <c r="G12" s="3107"/>
      <c r="H12" s="1562">
        <v>3</v>
      </c>
      <c r="I12" s="1562">
        <v>1.51</v>
      </c>
      <c r="J12" s="1562">
        <v>1.41</v>
      </c>
      <c r="K12" s="1562">
        <v>1.52</v>
      </c>
      <c r="L12" s="1577">
        <v>1.74</v>
      </c>
      <c r="M12" s="1570"/>
      <c r="N12" s="1571">
        <f t="shared" si="29"/>
        <v>1.5100000000000001E-2</v>
      </c>
      <c r="O12" s="1572">
        <f t="shared" ref="O12" si="75">J12/100</f>
        <v>1.41E-2</v>
      </c>
      <c r="P12" s="1572">
        <f t="shared" ref="P12" si="76">K12/100</f>
        <v>1.52E-2</v>
      </c>
      <c r="Q12" s="1572">
        <f t="shared" ref="Q12" si="77">L12/100</f>
        <v>1.7399999999999999E-2</v>
      </c>
      <c r="R12" s="1570"/>
      <c r="S12" s="1571"/>
      <c r="T12" s="1572"/>
      <c r="U12" s="1572"/>
      <c r="V12" s="1572"/>
      <c r="W12" s="1570"/>
      <c r="X12" s="1557">
        <f>ROUND(SUMPRODUCT(PRODUCT(1+N12:N$29)),4)</f>
        <v>1.4956</v>
      </c>
      <c r="Y12" s="1557">
        <f>ROUND(SUMPRODUCT(PRODUCT(1+O12:O$29)),4)</f>
        <v>1.3237000000000001</v>
      </c>
      <c r="Z12" s="1557">
        <f t="shared" ref="Z12" si="78">Y12</f>
        <v>1.3237000000000001</v>
      </c>
      <c r="AA12" s="1557">
        <f>ROUND(SUMPRODUCT(PRODUCT(1+P12:P$29)),4)</f>
        <v>1.554</v>
      </c>
      <c r="AB12" s="1557">
        <f>ROUND(SUMPRODUCT(PRODUCT(1+Q12:Q$29)),4)</f>
        <v>1.3087</v>
      </c>
      <c r="AC12" s="1570"/>
      <c r="AD12" s="1558">
        <f>ROUND(AVERAGE(I12:I$30)/100,4)</f>
        <v>2.3099999999999999E-2</v>
      </c>
      <c r="AE12" s="1558">
        <f>ROUND(AVERAGE(J12:J$30)/100,4)</f>
        <v>1.61E-2</v>
      </c>
      <c r="AF12" s="1558">
        <f t="shared" ref="AF12" si="79">AE12</f>
        <v>1.61E-2</v>
      </c>
      <c r="AG12" s="1558">
        <f>ROUND(AVERAGE(K12:K$30)/100,4)</f>
        <v>2.53E-2</v>
      </c>
      <c r="AH12" s="1558">
        <f>ROUND(AVERAGE(L12:L$30)/100,4)</f>
        <v>1.4999999999999999E-2</v>
      </c>
    </row>
    <row r="13" spans="1:34" s="1565" customFormat="1" ht="14.45" customHeight="1">
      <c r="A13" s="1559" t="s">
        <v>2806</v>
      </c>
      <c r="B13" s="1576">
        <f t="shared" ref="B13:B18" si="80">B14*(1+N13)</f>
        <v>453.11529869999993</v>
      </c>
      <c r="C13" s="1576">
        <f t="shared" ref="C13" si="81">C14*(1+O13)</f>
        <v>336.47787264000004</v>
      </c>
      <c r="D13" s="1576">
        <f t="shared" ref="D13" si="82">C13</f>
        <v>336.47787264000004</v>
      </c>
      <c r="E13" s="1576">
        <f t="shared" ref="E13" si="83">E14*(1+P13)</f>
        <v>647.35186823999993</v>
      </c>
      <c r="F13" s="1576">
        <f t="shared" ref="F13" si="84">F14*(1+Q13)</f>
        <v>295.73229452000004</v>
      </c>
      <c r="G13" s="3107"/>
      <c r="H13" s="1563">
        <v>2</v>
      </c>
      <c r="I13" s="1563">
        <v>1.49</v>
      </c>
      <c r="J13" s="1563">
        <v>0.96</v>
      </c>
      <c r="K13" s="1563">
        <v>1.58</v>
      </c>
      <c r="L13" s="1578">
        <v>2.44</v>
      </c>
      <c r="M13" s="1570"/>
      <c r="N13" s="1571">
        <f t="shared" ref="N13" si="85">I13/100</f>
        <v>1.49E-2</v>
      </c>
      <c r="O13" s="1572">
        <f t="shared" ref="O13" si="86">J13/100</f>
        <v>9.5999999999999992E-3</v>
      </c>
      <c r="P13" s="1572">
        <f t="shared" ref="P13" si="87">K13/100</f>
        <v>1.5800000000000002E-2</v>
      </c>
      <c r="Q13" s="1572">
        <f t="shared" ref="Q13" si="88">L13/100</f>
        <v>2.4399999999999998E-2</v>
      </c>
      <c r="R13" s="1570"/>
      <c r="S13" s="1571"/>
      <c r="T13" s="1572"/>
      <c r="U13" s="1572"/>
      <c r="V13" s="1572"/>
      <c r="W13" s="1570"/>
      <c r="X13" s="1557">
        <f>ROUND(SUMPRODUCT(PRODUCT(1+N13:N$29)),4)</f>
        <v>1.4733000000000001</v>
      </c>
      <c r="Y13" s="1557">
        <f>ROUND(SUMPRODUCT(PRODUCT(1+O13:O$29)),4)</f>
        <v>1.3052999999999999</v>
      </c>
      <c r="Z13" s="1557">
        <f t="shared" ref="Z13" si="89">Y13</f>
        <v>1.3052999999999999</v>
      </c>
      <c r="AA13" s="1557">
        <f>ROUND(SUMPRODUCT(PRODUCT(1+P13:P$29)),4)</f>
        <v>1.5306999999999999</v>
      </c>
      <c r="AB13" s="1557">
        <f>ROUND(SUMPRODUCT(PRODUCT(1+Q13:Q$29)),4)</f>
        <v>1.2863</v>
      </c>
      <c r="AC13" s="1570"/>
      <c r="AD13" s="1558">
        <f>ROUND(AVERAGE(I13:I$30)/100,4)</f>
        <v>2.35E-2</v>
      </c>
      <c r="AE13" s="1558">
        <f>ROUND(AVERAGE(J13:J$30)/100,4)</f>
        <v>1.6199999999999999E-2</v>
      </c>
      <c r="AF13" s="1558">
        <f t="shared" ref="AF13" si="90">AE13</f>
        <v>1.6199999999999999E-2</v>
      </c>
      <c r="AG13" s="1558">
        <f>ROUND(AVERAGE(K13:K$30)/100,4)</f>
        <v>2.5899999999999999E-2</v>
      </c>
      <c r="AH13" s="1558">
        <f>ROUND(AVERAGE(L13:L$30)/100,4)</f>
        <v>1.49E-2</v>
      </c>
    </row>
    <row r="14" spans="1:34" s="1565" customFormat="1" ht="15" customHeight="1" thickBot="1">
      <c r="A14" s="1559" t="s">
        <v>2803</v>
      </c>
      <c r="B14" s="1576">
        <f t="shared" si="80"/>
        <v>446.46299999999997</v>
      </c>
      <c r="C14" s="1576">
        <f t="shared" ref="C14" si="91">C15*(1+O14)</f>
        <v>333.27840000000003</v>
      </c>
      <c r="D14" s="1576">
        <f t="shared" ref="D14:D19" si="92">C14</f>
        <v>333.27840000000003</v>
      </c>
      <c r="E14" s="1576">
        <f t="shared" ref="E14" si="93">E15*(1+P14)</f>
        <v>637.28279999999995</v>
      </c>
      <c r="F14" s="1576">
        <f t="shared" ref="F14" si="94">F15*(1+Q14)</f>
        <v>288.68830000000003</v>
      </c>
      <c r="G14" s="3114"/>
      <c r="H14" s="1562">
        <v>1</v>
      </c>
      <c r="I14" s="1562">
        <v>1.7</v>
      </c>
      <c r="J14" s="1562">
        <v>1.92</v>
      </c>
      <c r="K14" s="1562">
        <v>1.64</v>
      </c>
      <c r="L14" s="1577">
        <v>2.0099999999999998</v>
      </c>
      <c r="M14" s="1570"/>
      <c r="N14" s="1571">
        <f t="shared" ref="N14:N19" si="95">I14/100</f>
        <v>1.7000000000000001E-2</v>
      </c>
      <c r="O14" s="1572">
        <f t="shared" ref="O14" si="96">J14/100</f>
        <v>1.9199999999999998E-2</v>
      </c>
      <c r="P14" s="1572">
        <f t="shared" ref="P14" si="97">K14/100</f>
        <v>1.6399999999999998E-2</v>
      </c>
      <c r="Q14" s="1572">
        <f t="shared" ref="Q14" si="98">L14/100</f>
        <v>2.0099999999999996E-2</v>
      </c>
      <c r="R14" s="1570"/>
      <c r="S14" s="1579">
        <f>B14/B15-1</f>
        <v>1.6999999999999904E-2</v>
      </c>
      <c r="T14" s="1580">
        <f>C14/C15-1</f>
        <v>1.9200000000000106E-2</v>
      </c>
      <c r="U14" s="1580">
        <f>E14/E15-1</f>
        <v>1.639999999999997E-2</v>
      </c>
      <c r="V14" s="1580">
        <f>F14/F15-1</f>
        <v>2.0100000000000007E-2</v>
      </c>
      <c r="W14" s="1570"/>
      <c r="X14" s="1557">
        <f>ROUND(SUMPRODUCT(PRODUCT(1+N14:N$29)),4)</f>
        <v>1.4517</v>
      </c>
      <c r="Y14" s="1557">
        <f>ROUND(SUMPRODUCT(PRODUCT(1+O14:O$29)),4)</f>
        <v>1.2928999999999999</v>
      </c>
      <c r="Z14" s="1557">
        <f t="shared" ref="Z14" si="99">Y14</f>
        <v>1.2928999999999999</v>
      </c>
      <c r="AA14" s="1557">
        <f>ROUND(SUMPRODUCT(PRODUCT(1+P14:P$29)),4)</f>
        <v>1.5068999999999999</v>
      </c>
      <c r="AB14" s="1557">
        <f>ROUND(SUMPRODUCT(PRODUCT(1+Q14:Q$29)),4)</f>
        <v>1.2557</v>
      </c>
      <c r="AC14" s="1570"/>
      <c r="AD14" s="1558">
        <f>ROUND(AVERAGE(I14:I$30)/100,4)</f>
        <v>2.4E-2</v>
      </c>
      <c r="AE14" s="1558">
        <f>ROUND(AVERAGE(J14:J$30)/100,4)</f>
        <v>1.66E-2</v>
      </c>
      <c r="AF14" s="1558">
        <f t="shared" ref="AF14" si="100">AE14</f>
        <v>1.66E-2</v>
      </c>
      <c r="AG14" s="1558">
        <f>ROUND(AVERAGE(K14:K$30)/100,4)</f>
        <v>2.6499999999999999E-2</v>
      </c>
      <c r="AH14" s="1558">
        <f>ROUND(AVERAGE(L14:L$30)/100,4)</f>
        <v>1.43E-2</v>
      </c>
    </row>
    <row r="15" spans="1:34">
      <c r="A15" s="1559" t="s">
        <v>2800</v>
      </c>
      <c r="B15" s="1568">
        <v>439</v>
      </c>
      <c r="C15" s="1568">
        <v>327</v>
      </c>
      <c r="D15" s="1568">
        <f t="shared" si="92"/>
        <v>327</v>
      </c>
      <c r="E15" s="1568">
        <v>627</v>
      </c>
      <c r="F15" s="1569">
        <v>283</v>
      </c>
      <c r="G15" s="3110">
        <v>2017</v>
      </c>
      <c r="H15" s="1560">
        <v>4</v>
      </c>
      <c r="I15" s="1560">
        <v>1.71</v>
      </c>
      <c r="J15" s="1560">
        <v>1.78</v>
      </c>
      <c r="K15" s="1560">
        <v>1.71</v>
      </c>
      <c r="L15" s="1561">
        <v>1.43</v>
      </c>
      <c r="N15" s="1583">
        <f t="shared" si="95"/>
        <v>1.7100000000000001E-2</v>
      </c>
      <c r="O15" s="1584">
        <f t="shared" ref="O15" si="101">J15/100</f>
        <v>1.78E-2</v>
      </c>
      <c r="P15" s="1584">
        <f t="shared" ref="P15" si="102">K15/100</f>
        <v>1.7100000000000001E-2</v>
      </c>
      <c r="Q15" s="1584">
        <f t="shared" ref="Q15" si="103">L15/100</f>
        <v>1.43E-2</v>
      </c>
      <c r="R15" s="1573"/>
      <c r="S15" s="1574"/>
      <c r="T15" s="1575"/>
      <c r="U15" s="1575"/>
      <c r="V15" s="1575"/>
      <c r="X15" s="1557">
        <f>ROUND(SUMPRODUCT(PRODUCT(1+N15:N$29)),4)</f>
        <v>1.4274</v>
      </c>
      <c r="Y15" s="1557">
        <f>ROUND(SUMPRODUCT(PRODUCT(1+O15:O$29)),4)</f>
        <v>1.2685</v>
      </c>
      <c r="Z15" s="1557">
        <f t="shared" si="0"/>
        <v>1.2685</v>
      </c>
      <c r="AA15" s="1557">
        <f>ROUND(SUMPRODUCT(PRODUCT(1+P15:P$29)),4)</f>
        <v>1.4825999999999999</v>
      </c>
      <c r="AB15" s="1557">
        <f>ROUND(SUMPRODUCT(PRODUCT(1+Q15:Q$29)),4)</f>
        <v>1.2309000000000001</v>
      </c>
      <c r="AD15" s="1558">
        <f>ROUND(AVERAGE(I15:I$30)/100,4)</f>
        <v>2.4500000000000001E-2</v>
      </c>
      <c r="AE15" s="1558">
        <f>ROUND(AVERAGE(J15:J$30)/100,4)</f>
        <v>1.6500000000000001E-2</v>
      </c>
      <c r="AF15" s="1558">
        <f t="shared" si="1"/>
        <v>1.6500000000000001E-2</v>
      </c>
      <c r="AG15" s="1558">
        <f>ROUND(AVERAGE(K15:K$30)/100,4)</f>
        <v>2.7099999999999999E-2</v>
      </c>
      <c r="AH15" s="1558">
        <f>ROUND(AVERAGE(L15:L$30)/100,4)</f>
        <v>1.3899999999999999E-2</v>
      </c>
    </row>
    <row r="16" spans="1:34" s="1565" customFormat="1" ht="14.45" customHeight="1">
      <c r="A16" s="1559" t="s">
        <v>2795</v>
      </c>
      <c r="B16" s="1576">
        <f t="shared" si="80"/>
        <v>431.80730811680002</v>
      </c>
      <c r="C16" s="1576">
        <f t="shared" ref="C16" si="104">C17*(1+O16)</f>
        <v>320.57880516480003</v>
      </c>
      <c r="D16" s="1576">
        <f t="shared" si="92"/>
        <v>320.57880516480003</v>
      </c>
      <c r="E16" s="1576">
        <f t="shared" ref="E16:F18" si="105">E17*(1+P16)</f>
        <v>615.96110553196797</v>
      </c>
      <c r="F16" s="1576">
        <f t="shared" si="105"/>
        <v>279.46777300108801</v>
      </c>
      <c r="G16" s="3107"/>
      <c r="H16" s="1562">
        <v>3</v>
      </c>
      <c r="I16" s="1562">
        <v>2.98</v>
      </c>
      <c r="J16" s="1562">
        <v>2.11</v>
      </c>
      <c r="K16" s="1562">
        <v>3.24</v>
      </c>
      <c r="L16" s="1577">
        <v>1.72</v>
      </c>
      <c r="M16" s="1570"/>
      <c r="N16" s="1571">
        <f t="shared" si="95"/>
        <v>2.98E-2</v>
      </c>
      <c r="O16" s="1588">
        <f t="shared" ref="O16" si="106">J16/100</f>
        <v>2.1099999999999997E-2</v>
      </c>
      <c r="P16" s="1588">
        <f t="shared" ref="P16" si="107">K16/100</f>
        <v>3.2400000000000005E-2</v>
      </c>
      <c r="Q16" s="1588">
        <f t="shared" ref="Q16" si="108">L16/100</f>
        <v>1.72E-2</v>
      </c>
      <c r="R16" s="1570"/>
      <c r="S16" s="1571"/>
      <c r="T16" s="1572"/>
      <c r="U16" s="1572"/>
      <c r="V16" s="1572"/>
      <c r="W16" s="1570"/>
      <c r="X16" s="1557">
        <f>ROUND(SUMPRODUCT(PRODUCT(1+N16:N$29)),4)</f>
        <v>1.4034</v>
      </c>
      <c r="Y16" s="1557">
        <f>ROUND(SUMPRODUCT(PRODUCT(1+O16:O$29)),4)</f>
        <v>1.2463</v>
      </c>
      <c r="Z16" s="1557">
        <f t="shared" si="0"/>
        <v>1.2463</v>
      </c>
      <c r="AA16" s="1557">
        <f>ROUND(SUMPRODUCT(PRODUCT(1+P16:P$29)),4)</f>
        <v>1.4577</v>
      </c>
      <c r="AB16" s="1557">
        <f>ROUND(SUMPRODUCT(PRODUCT(1+Q16:Q$29)),4)</f>
        <v>1.2136</v>
      </c>
      <c r="AC16" s="1570"/>
      <c r="AD16" s="1558">
        <f>ROUND(AVERAGE(I16:I$30)/100,4)</f>
        <v>2.4899999999999999E-2</v>
      </c>
      <c r="AE16" s="1558">
        <f>ROUND(AVERAGE(J16:J$30)/100,4)</f>
        <v>1.6400000000000001E-2</v>
      </c>
      <c r="AF16" s="1558">
        <f t="shared" si="1"/>
        <v>1.6400000000000001E-2</v>
      </c>
      <c r="AG16" s="1558">
        <f>ROUND(AVERAGE(K16:K$30)/100,4)</f>
        <v>2.7799999999999998E-2</v>
      </c>
      <c r="AH16" s="1558">
        <f>ROUND(AVERAGE(L16:L$30)/100,4)</f>
        <v>1.3899999999999999E-2</v>
      </c>
    </row>
    <row r="17" spans="1:34" s="1818" customFormat="1" ht="14.45" customHeight="1">
      <c r="A17" s="1559" t="s">
        <v>1252</v>
      </c>
      <c r="B17" s="1576">
        <f t="shared" si="80"/>
        <v>419.31181600000002</v>
      </c>
      <c r="C17" s="1576">
        <f t="shared" ref="C17" si="109">C18*(1+O17)</f>
        <v>313.95436800000004</v>
      </c>
      <c r="D17" s="1576">
        <f t="shared" si="92"/>
        <v>313.95436800000004</v>
      </c>
      <c r="E17" s="1576">
        <f t="shared" si="105"/>
        <v>596.63028431999999</v>
      </c>
      <c r="F17" s="1576">
        <f t="shared" si="105"/>
        <v>274.74220703999998</v>
      </c>
      <c r="G17" s="3107"/>
      <c r="H17" s="1563">
        <v>2</v>
      </c>
      <c r="I17" s="1563">
        <v>3.4</v>
      </c>
      <c r="J17" s="1563">
        <v>2</v>
      </c>
      <c r="K17" s="1563">
        <v>3.82</v>
      </c>
      <c r="L17" s="1578">
        <v>1.68</v>
      </c>
      <c r="M17" s="1570"/>
      <c r="N17" s="1571">
        <f t="shared" si="95"/>
        <v>3.4000000000000002E-2</v>
      </c>
      <c r="O17" s="1588">
        <f t="shared" ref="O17" si="110">J17/100</f>
        <v>0.02</v>
      </c>
      <c r="P17" s="1588">
        <f t="shared" ref="P17" si="111">K17/100</f>
        <v>3.8199999999999998E-2</v>
      </c>
      <c r="Q17" s="1588">
        <f t="shared" ref="Q17" si="112">L17/100</f>
        <v>1.6799999999999999E-2</v>
      </c>
      <c r="R17" s="1570"/>
      <c r="S17" s="1571"/>
      <c r="T17" s="1572"/>
      <c r="U17" s="1572"/>
      <c r="V17" s="1572"/>
      <c r="W17" s="1570"/>
      <c r="X17" s="1871">
        <f>ROUND(SUMPRODUCT(PRODUCT(1+N17:N$29)),4)</f>
        <v>1.3628</v>
      </c>
      <c r="Y17" s="1871">
        <f>ROUND(SUMPRODUCT(PRODUCT(1+O17:O$29)),4)</f>
        <v>1.2205999999999999</v>
      </c>
      <c r="Z17" s="1871">
        <f t="shared" si="0"/>
        <v>1.2205999999999999</v>
      </c>
      <c r="AA17" s="1871">
        <f>ROUND(SUMPRODUCT(PRODUCT(1+P17:P$29)),4)</f>
        <v>1.4118999999999999</v>
      </c>
      <c r="AB17" s="1871">
        <f>ROUND(SUMPRODUCT(PRODUCT(1+Q17:Q$29)),4)</f>
        <v>1.1930000000000001</v>
      </c>
      <c r="AC17" s="1551"/>
      <c r="AD17" s="1872">
        <f>ROUND(AVERAGE(I17:I$30)/100,4)</f>
        <v>2.46E-2</v>
      </c>
      <c r="AE17" s="1872">
        <f>ROUND(AVERAGE(J17:J$30)/100,4)</f>
        <v>1.6E-2</v>
      </c>
      <c r="AF17" s="1872">
        <f t="shared" si="1"/>
        <v>1.6E-2</v>
      </c>
      <c r="AG17" s="1872">
        <f>ROUND(AVERAGE(K17:K$30)/100,4)</f>
        <v>2.75E-2</v>
      </c>
      <c r="AH17" s="1872">
        <f>ROUND(AVERAGE(L17:L$30)/100,4)</f>
        <v>1.37E-2</v>
      </c>
    </row>
    <row r="18" spans="1:34" s="1565" customFormat="1" ht="15" customHeight="1" thickBot="1">
      <c r="A18" s="1559" t="s">
        <v>1043</v>
      </c>
      <c r="B18" s="1576">
        <f t="shared" si="80"/>
        <v>405.524</v>
      </c>
      <c r="C18" s="1576">
        <f t="shared" ref="C18" si="113">C19*(1+O18)</f>
        <v>307.79840000000002</v>
      </c>
      <c r="D18" s="1576">
        <f t="shared" si="92"/>
        <v>307.79840000000002</v>
      </c>
      <c r="E18" s="1576">
        <f t="shared" si="105"/>
        <v>574.67759999999998</v>
      </c>
      <c r="F18" s="1576">
        <f t="shared" si="105"/>
        <v>270.20280000000002</v>
      </c>
      <c r="G18" s="3114"/>
      <c r="H18" s="1562">
        <v>1</v>
      </c>
      <c r="I18" s="1562">
        <v>3.45</v>
      </c>
      <c r="J18" s="1562">
        <v>1.92</v>
      </c>
      <c r="K18" s="1562">
        <v>3.92</v>
      </c>
      <c r="L18" s="1577">
        <v>1.58</v>
      </c>
      <c r="M18" s="1570"/>
      <c r="N18" s="1579">
        <f t="shared" si="95"/>
        <v>3.4500000000000003E-2</v>
      </c>
      <c r="O18" s="1580">
        <f t="shared" ref="O18:Q33" si="114">J18/100</f>
        <v>1.9199999999999998E-2</v>
      </c>
      <c r="P18" s="1580">
        <f t="shared" si="114"/>
        <v>3.9199999999999999E-2</v>
      </c>
      <c r="Q18" s="1580">
        <f t="shared" si="114"/>
        <v>1.5800000000000002E-2</v>
      </c>
      <c r="R18" s="1570"/>
      <c r="S18" s="1579">
        <f>B18/B19-1</f>
        <v>3.4499999999999975E-2</v>
      </c>
      <c r="T18" s="1580">
        <f>C18/C19-1</f>
        <v>1.9200000000000106E-2</v>
      </c>
      <c r="U18" s="1580">
        <f>E18/E19-1</f>
        <v>3.9199999999999902E-2</v>
      </c>
      <c r="V18" s="1580">
        <f>F18/F19-1</f>
        <v>1.5800000000000036E-2</v>
      </c>
      <c r="W18" s="1570"/>
      <c r="X18" s="1557">
        <f>ROUND(SUMPRODUCT(PRODUCT(1+N18:N$29)),4)</f>
        <v>1.3180000000000001</v>
      </c>
      <c r="Y18" s="1557">
        <f>ROUND(SUMPRODUCT(PRODUCT(1+O18:O$29)),4)</f>
        <v>1.1966000000000001</v>
      </c>
      <c r="Z18" s="1557">
        <f t="shared" si="0"/>
        <v>1.1966000000000001</v>
      </c>
      <c r="AA18" s="1557">
        <f>ROUND(SUMPRODUCT(PRODUCT(1+P18:P$29)),4)</f>
        <v>1.36</v>
      </c>
      <c r="AB18" s="1557">
        <f>ROUND(SUMPRODUCT(PRODUCT(1+Q18:Q$29)),4)</f>
        <v>1.1733</v>
      </c>
      <c r="AC18" s="1570"/>
      <c r="AD18" s="1558">
        <f>ROUND(AVERAGE(I18:I$30)/100,4)</f>
        <v>2.3900000000000001E-2</v>
      </c>
      <c r="AE18" s="1558">
        <f>ROUND(AVERAGE(J18:J$30)/100,4)</f>
        <v>1.5699999999999999E-2</v>
      </c>
      <c r="AF18" s="1558">
        <f t="shared" si="1"/>
        <v>1.5699999999999999E-2</v>
      </c>
      <c r="AG18" s="1558">
        <f>ROUND(AVERAGE(K18:K$30)/100,4)</f>
        <v>2.6599999999999999E-2</v>
      </c>
      <c r="AH18" s="1558">
        <f>ROUND(AVERAGE(L18:L$30)/100,4)</f>
        <v>1.34E-2</v>
      </c>
    </row>
    <row r="19" spans="1:34">
      <c r="A19" s="1559" t="s">
        <v>1044</v>
      </c>
      <c r="B19" s="1568">
        <v>392</v>
      </c>
      <c r="C19" s="1568">
        <v>302</v>
      </c>
      <c r="D19" s="1568">
        <f t="shared" si="92"/>
        <v>302</v>
      </c>
      <c r="E19" s="1568">
        <v>553</v>
      </c>
      <c r="F19" s="1569">
        <v>266</v>
      </c>
      <c r="G19" s="3110">
        <v>2016</v>
      </c>
      <c r="H19" s="1560">
        <v>4</v>
      </c>
      <c r="I19" s="1560">
        <v>4.5599999999999996</v>
      </c>
      <c r="J19" s="1560">
        <v>2.15</v>
      </c>
      <c r="K19" s="1560">
        <v>5.32</v>
      </c>
      <c r="L19" s="1561">
        <v>1.57</v>
      </c>
      <c r="N19" s="1571">
        <f t="shared" si="95"/>
        <v>4.5599999999999995E-2</v>
      </c>
      <c r="O19" s="1572">
        <f t="shared" si="114"/>
        <v>2.1499999999999998E-2</v>
      </c>
      <c r="P19" s="1572">
        <f t="shared" si="114"/>
        <v>5.3200000000000004E-2</v>
      </c>
      <c r="Q19" s="1572">
        <f t="shared" si="114"/>
        <v>1.5700000000000002E-2</v>
      </c>
      <c r="R19" s="1573"/>
      <c r="S19" s="1574"/>
      <c r="T19" s="1575"/>
      <c r="U19" s="1575"/>
      <c r="V19" s="1575"/>
      <c r="X19" s="1557">
        <f>ROUND(SUMPRODUCT(PRODUCT(1+N19:N$29)),4)</f>
        <v>1.274</v>
      </c>
      <c r="Y19" s="1557">
        <f>ROUND(SUMPRODUCT(PRODUCT(1+O19:O$29)),4)</f>
        <v>1.1740999999999999</v>
      </c>
      <c r="Z19" s="1557">
        <f t="shared" si="0"/>
        <v>1.1740999999999999</v>
      </c>
      <c r="AA19" s="1557">
        <f>ROUND(SUMPRODUCT(PRODUCT(1+P19:P$29)),4)</f>
        <v>1.3087</v>
      </c>
      <c r="AB19" s="1557">
        <f>ROUND(SUMPRODUCT(PRODUCT(1+Q19:Q$29)),4)</f>
        <v>1.1551</v>
      </c>
      <c r="AD19" s="1558">
        <f>ROUND(AVERAGE(I19:I$30)/100,4)</f>
        <v>2.3E-2</v>
      </c>
      <c r="AE19" s="1558">
        <f>ROUND(AVERAGE(J19:J$30)/100,4)</f>
        <v>1.55E-2</v>
      </c>
      <c r="AF19" s="1558">
        <f t="shared" ref="AF19:AF28" si="115">AE19</f>
        <v>1.55E-2</v>
      </c>
      <c r="AG19" s="1558">
        <f>ROUND(AVERAGE(K19:K$30)/100,4)</f>
        <v>2.5600000000000001E-2</v>
      </c>
      <c r="AH19" s="1558">
        <f>ROUND(AVERAGE(L19:L$30)/100,4)</f>
        <v>1.32E-2</v>
      </c>
    </row>
    <row r="20" spans="1:34">
      <c r="A20" s="1559" t="s">
        <v>103</v>
      </c>
      <c r="B20" s="1576">
        <f t="shared" ref="B20:C22" si="116">B19/(1+N19)</f>
        <v>374.90436113236416</v>
      </c>
      <c r="C20" s="1576">
        <f t="shared" si="116"/>
        <v>295.64366128242779</v>
      </c>
      <c r="D20" s="1576">
        <f t="shared" ref="D20:D79" si="117">C20</f>
        <v>295.64366128242779</v>
      </c>
      <c r="E20" s="1576">
        <f t="shared" ref="E20:F22" si="118">E19/(1+P19)</f>
        <v>525.06646410938095</v>
      </c>
      <c r="F20" s="1576">
        <f t="shared" si="118"/>
        <v>261.88835286009646</v>
      </c>
      <c r="G20" s="3107"/>
      <c r="H20" s="1562">
        <v>3</v>
      </c>
      <c r="I20" s="1562">
        <v>4.12</v>
      </c>
      <c r="J20" s="1562">
        <v>2</v>
      </c>
      <c r="K20" s="1562">
        <v>4.79</v>
      </c>
      <c r="L20" s="1577">
        <v>1.97</v>
      </c>
      <c r="N20" s="1571">
        <f t="shared" ref="N20:Q54" si="119">I20/100</f>
        <v>4.1200000000000001E-2</v>
      </c>
      <c r="O20" s="1572">
        <f t="shared" si="114"/>
        <v>0.02</v>
      </c>
      <c r="P20" s="1572">
        <f t="shared" si="114"/>
        <v>4.7899999999999998E-2</v>
      </c>
      <c r="Q20" s="1572">
        <f t="shared" si="114"/>
        <v>1.9699999999999999E-2</v>
      </c>
      <c r="R20" s="1573"/>
      <c r="S20" s="1571"/>
      <c r="T20" s="1572"/>
      <c r="U20" s="1572"/>
      <c r="V20" s="1572"/>
      <c r="X20" s="1557">
        <f>ROUND(SUMPRODUCT(PRODUCT(1+N20:N$29)),4)</f>
        <v>1.2184999999999999</v>
      </c>
      <c r="Y20" s="1557">
        <f>ROUND(SUMPRODUCT(PRODUCT(1+O20:O$29)),4)</f>
        <v>1.1494</v>
      </c>
      <c r="Z20" s="1557">
        <f t="shared" si="0"/>
        <v>1.1494</v>
      </c>
      <c r="AA20" s="1557">
        <f>ROUND(SUMPRODUCT(PRODUCT(1+P20:P$29)),4)</f>
        <v>1.2425999999999999</v>
      </c>
      <c r="AB20" s="1557">
        <f>ROUND(SUMPRODUCT(PRODUCT(1+Q20:Q$29)),4)</f>
        <v>1.1372</v>
      </c>
      <c r="AD20" s="1558">
        <f>ROUND(AVERAGE(I20:I$30)/100,4)</f>
        <v>2.0899999999999998E-2</v>
      </c>
      <c r="AE20" s="1558">
        <f>ROUND(AVERAGE(J20:J$30)/100,4)</f>
        <v>1.49E-2</v>
      </c>
      <c r="AF20" s="1558">
        <f t="shared" si="115"/>
        <v>1.49E-2</v>
      </c>
      <c r="AG20" s="1558">
        <f>ROUND(AVERAGE(K20:K$30)/100,4)</f>
        <v>2.3099999999999999E-2</v>
      </c>
      <c r="AH20" s="1558">
        <f>ROUND(AVERAGE(L20:L$30)/100,4)</f>
        <v>1.2999999999999999E-2</v>
      </c>
    </row>
    <row r="21" spans="1:34">
      <c r="A21" s="1559" t="s">
        <v>93</v>
      </c>
      <c r="B21" s="1576">
        <f t="shared" si="116"/>
        <v>360.06949782209392</v>
      </c>
      <c r="C21" s="1576">
        <f t="shared" si="116"/>
        <v>289.84672674747821</v>
      </c>
      <c r="D21" s="1576">
        <f t="shared" si="117"/>
        <v>289.84672674747821</v>
      </c>
      <c r="E21" s="1576">
        <f t="shared" si="118"/>
        <v>501.06543001181495</v>
      </c>
      <c r="F21" s="1576">
        <f t="shared" si="118"/>
        <v>256.82882500744967</v>
      </c>
      <c r="G21" s="3107"/>
      <c r="H21" s="1563">
        <v>2</v>
      </c>
      <c r="I21" s="1563">
        <v>3.85</v>
      </c>
      <c r="J21" s="1563">
        <v>1.95</v>
      </c>
      <c r="K21" s="1563">
        <v>4.4800000000000004</v>
      </c>
      <c r="L21" s="1578">
        <v>1.41</v>
      </c>
      <c r="N21" s="1571">
        <f t="shared" si="119"/>
        <v>3.85E-2</v>
      </c>
      <c r="O21" s="1572">
        <f t="shared" si="114"/>
        <v>1.95E-2</v>
      </c>
      <c r="P21" s="1572">
        <f t="shared" si="114"/>
        <v>4.4800000000000006E-2</v>
      </c>
      <c r="Q21" s="1572">
        <f t="shared" si="114"/>
        <v>1.41E-2</v>
      </c>
      <c r="R21" s="1573"/>
      <c r="S21" s="1571"/>
      <c r="T21" s="1572"/>
      <c r="U21" s="1572"/>
      <c r="V21" s="1572"/>
      <c r="X21" s="1557">
        <f>ROUND(SUMPRODUCT(PRODUCT(1+N21:N$29)),4)</f>
        <v>1.1702999999999999</v>
      </c>
      <c r="Y21" s="1557">
        <f>ROUND(SUMPRODUCT(PRODUCT(1+O21:O$29)),4)</f>
        <v>1.1269</v>
      </c>
      <c r="Z21" s="1557">
        <f t="shared" si="0"/>
        <v>1.1269</v>
      </c>
      <c r="AA21" s="1557">
        <f>ROUND(SUMPRODUCT(PRODUCT(1+P21:P$29)),4)</f>
        <v>1.1858</v>
      </c>
      <c r="AB21" s="1557">
        <f>ROUND(SUMPRODUCT(PRODUCT(1+Q21:Q$29)),4)</f>
        <v>1.1152</v>
      </c>
      <c r="AD21" s="1558">
        <f>ROUND(AVERAGE(I21:I$30)/100,4)</f>
        <v>1.89E-2</v>
      </c>
      <c r="AE21" s="1558">
        <f>ROUND(AVERAGE(J21:J$30)/100,4)</f>
        <v>1.44E-2</v>
      </c>
      <c r="AF21" s="1558">
        <f t="shared" si="115"/>
        <v>1.44E-2</v>
      </c>
      <c r="AG21" s="1558">
        <f>ROUND(AVERAGE(K21:K$30)/100,4)</f>
        <v>2.06E-2</v>
      </c>
      <c r="AH21" s="1558">
        <f>ROUND(AVERAGE(L21:L$30)/100,4)</f>
        <v>1.23E-2</v>
      </c>
    </row>
    <row r="22" spans="1:34" ht="13.5" thickBot="1">
      <c r="A22" s="1559" t="s">
        <v>102</v>
      </c>
      <c r="B22" s="1576">
        <f t="shared" si="116"/>
        <v>346.720748986128</v>
      </c>
      <c r="C22" s="1576">
        <f t="shared" si="116"/>
        <v>284.30282172386285</v>
      </c>
      <c r="D22" s="1576">
        <f t="shared" si="117"/>
        <v>284.30282172386285</v>
      </c>
      <c r="E22" s="1576">
        <f t="shared" si="118"/>
        <v>479.58023546306947</v>
      </c>
      <c r="F22" s="1576">
        <f t="shared" si="118"/>
        <v>253.25788877571213</v>
      </c>
      <c r="G22" s="3108"/>
      <c r="H22" s="1562">
        <v>1</v>
      </c>
      <c r="I22" s="1562">
        <v>4.09</v>
      </c>
      <c r="J22" s="1562">
        <v>2.93</v>
      </c>
      <c r="K22" s="1562">
        <v>4.54</v>
      </c>
      <c r="L22" s="1577">
        <v>1.48</v>
      </c>
      <c r="N22" s="1571">
        <f t="shared" si="119"/>
        <v>4.0899999999999999E-2</v>
      </c>
      <c r="O22" s="1572">
        <f t="shared" si="114"/>
        <v>2.9300000000000003E-2</v>
      </c>
      <c r="P22" s="1572">
        <f t="shared" si="114"/>
        <v>4.5400000000000003E-2</v>
      </c>
      <c r="Q22" s="1572">
        <f t="shared" si="114"/>
        <v>1.4800000000000001E-2</v>
      </c>
      <c r="R22" s="1573"/>
      <c r="S22" s="1579">
        <f>B22/B23-1</f>
        <v>4.1203450408792808E-2</v>
      </c>
      <c r="T22" s="1580">
        <f>C22/C23-1</f>
        <v>2.6363977342465095E-2</v>
      </c>
      <c r="U22" s="1580">
        <f>E22/E23-1</f>
        <v>4.4837114298626357E-2</v>
      </c>
      <c r="V22" s="1580">
        <f>F22/F23-1</f>
        <v>1.7099954922538574E-2</v>
      </c>
      <c r="X22" s="1557">
        <f>ROUND(SUMPRODUCT(PRODUCT(1+N22:N$29)),4)</f>
        <v>1.1269</v>
      </c>
      <c r="Y22" s="1557">
        <f>ROUND(SUMPRODUCT(PRODUCT(1+O22:O$29)),4)</f>
        <v>1.1052999999999999</v>
      </c>
      <c r="Z22" s="1557">
        <f t="shared" si="0"/>
        <v>1.1052999999999999</v>
      </c>
      <c r="AA22" s="1557">
        <f>ROUND(SUMPRODUCT(PRODUCT(1+P22:P$29)),4)</f>
        <v>1.1349</v>
      </c>
      <c r="AB22" s="1557">
        <f>ROUND(SUMPRODUCT(PRODUCT(1+Q22:Q$29)),4)</f>
        <v>1.0996999999999999</v>
      </c>
      <c r="AD22" s="1558">
        <f>ROUND(AVERAGE(I22:I$30)/100,4)</f>
        <v>1.67E-2</v>
      </c>
      <c r="AE22" s="1558">
        <f>ROUND(AVERAGE(J22:J$30)/100,4)</f>
        <v>1.38E-2</v>
      </c>
      <c r="AF22" s="1558">
        <f t="shared" si="115"/>
        <v>1.38E-2</v>
      </c>
      <c r="AG22" s="1558">
        <f>ROUND(AVERAGE(K22:K$30)/100,4)</f>
        <v>1.7899999999999999E-2</v>
      </c>
      <c r="AH22" s="1558">
        <f>ROUND(AVERAGE(L22:L$30)/100,4)</f>
        <v>1.21E-2</v>
      </c>
    </row>
    <row r="23" spans="1:34" ht="13.5" thickBot="1">
      <c r="A23" s="1559" t="s">
        <v>101</v>
      </c>
      <c r="B23" s="1568">
        <v>333</v>
      </c>
      <c r="C23" s="1568">
        <v>277</v>
      </c>
      <c r="D23" s="1568">
        <f t="shared" si="117"/>
        <v>277</v>
      </c>
      <c r="E23" s="1568">
        <v>459</v>
      </c>
      <c r="F23" s="1569">
        <v>249</v>
      </c>
      <c r="G23" s="3106">
        <v>2015</v>
      </c>
      <c r="H23" s="1581">
        <v>4</v>
      </c>
      <c r="I23" s="1581">
        <v>1.63</v>
      </c>
      <c r="J23" s="1581">
        <v>1.1100000000000001</v>
      </c>
      <c r="K23" s="1581">
        <v>1.77</v>
      </c>
      <c r="L23" s="1582">
        <v>1.89</v>
      </c>
      <c r="N23" s="1583">
        <f t="shared" si="119"/>
        <v>1.6299999999999999E-2</v>
      </c>
      <c r="O23" s="1584">
        <f t="shared" si="114"/>
        <v>1.11E-2</v>
      </c>
      <c r="P23" s="1584">
        <f t="shared" si="114"/>
        <v>1.77E-2</v>
      </c>
      <c r="Q23" s="1584">
        <f t="shared" si="114"/>
        <v>1.89E-2</v>
      </c>
      <c r="R23" s="1573"/>
      <c r="X23" s="1557">
        <f>ROUND(SUMPRODUCT(PRODUCT(1+N23:N$29)),4)</f>
        <v>1.0826</v>
      </c>
      <c r="Y23" s="1557">
        <f>ROUND(SUMPRODUCT(PRODUCT(1+O23:O$29)),4)</f>
        <v>1.0738000000000001</v>
      </c>
      <c r="Z23" s="1557">
        <f t="shared" si="0"/>
        <v>1.0738000000000001</v>
      </c>
      <c r="AA23" s="1557">
        <f>ROUND(SUMPRODUCT(PRODUCT(1+P23:P$29)),4)</f>
        <v>1.0855999999999999</v>
      </c>
      <c r="AB23" s="1557">
        <f>ROUND(SUMPRODUCT(PRODUCT(1+Q23:Q$29)),4)</f>
        <v>1.0837000000000001</v>
      </c>
      <c r="AD23" s="1558">
        <f>ROUND(AVERAGE(I23:I$30)/100,4)</f>
        <v>1.37E-2</v>
      </c>
      <c r="AE23" s="1558">
        <f>ROUND(AVERAGE(J23:J$30)/100,4)</f>
        <v>1.1900000000000001E-2</v>
      </c>
      <c r="AF23" s="1558">
        <f t="shared" si="115"/>
        <v>1.1900000000000001E-2</v>
      </c>
      <c r="AG23" s="1558">
        <f>ROUND(AVERAGE(K23:K$30)/100,4)</f>
        <v>1.4500000000000001E-2</v>
      </c>
      <c r="AH23" s="1558">
        <f>ROUND(AVERAGE(L23:L$30)/100,4)</f>
        <v>1.18E-2</v>
      </c>
    </row>
    <row r="24" spans="1:34">
      <c r="A24" s="1559" t="s">
        <v>100</v>
      </c>
      <c r="B24" s="1576">
        <f t="shared" ref="B24:C26" si="120">B23/(1+N23)</f>
        <v>327.65915576109415</v>
      </c>
      <c r="C24" s="1576">
        <f t="shared" si="120"/>
        <v>273.95905449510434</v>
      </c>
      <c r="D24" s="1576">
        <f t="shared" si="117"/>
        <v>273.95905449510434</v>
      </c>
      <c r="E24" s="1576">
        <f t="shared" ref="E24:F26" si="121">E23/(1+P23)</f>
        <v>451.01699911565294</v>
      </c>
      <c r="F24" s="1576">
        <f t="shared" si="121"/>
        <v>244.38119540681129</v>
      </c>
      <c r="G24" s="3107"/>
      <c r="H24" s="1586">
        <v>3</v>
      </c>
      <c r="I24" s="1586">
        <v>1.65</v>
      </c>
      <c r="J24" s="1586">
        <v>0.92</v>
      </c>
      <c r="K24" s="1586">
        <v>1.88</v>
      </c>
      <c r="L24" s="1587">
        <v>1.26</v>
      </c>
      <c r="N24" s="1571">
        <f t="shared" si="119"/>
        <v>1.6500000000000001E-2</v>
      </c>
      <c r="O24" s="1588">
        <f t="shared" si="114"/>
        <v>9.1999999999999998E-3</v>
      </c>
      <c r="P24" s="1588">
        <f t="shared" si="114"/>
        <v>1.8799999999999997E-2</v>
      </c>
      <c r="Q24" s="1588">
        <f t="shared" si="114"/>
        <v>1.26E-2</v>
      </c>
      <c r="R24" s="1573"/>
      <c r="S24" s="1571"/>
      <c r="T24" s="1572"/>
      <c r="U24" s="1572"/>
      <c r="V24" s="1572"/>
      <c r="X24" s="1557">
        <f>ROUND(SUMPRODUCT(PRODUCT(1+N24:N$29)),4)</f>
        <v>1.0651999999999999</v>
      </c>
      <c r="Y24" s="1557">
        <f>ROUND(SUMPRODUCT(PRODUCT(1+O24:O$29)),4)</f>
        <v>1.0621</v>
      </c>
      <c r="Z24" s="1557">
        <f t="shared" si="0"/>
        <v>1.0621</v>
      </c>
      <c r="AA24" s="1557">
        <f>ROUND(SUMPRODUCT(PRODUCT(1+P24:P$29)),4)</f>
        <v>1.0668</v>
      </c>
      <c r="AB24" s="1557">
        <f>ROUND(SUMPRODUCT(PRODUCT(1+Q24:Q$29)),4)</f>
        <v>1.0636000000000001</v>
      </c>
      <c r="AD24" s="1558">
        <f>ROUND(AVERAGE(I24:I$30)/100,4)</f>
        <v>1.3299999999999999E-2</v>
      </c>
      <c r="AE24" s="1558">
        <f>ROUND(AVERAGE(J24:J$30)/100,4)</f>
        <v>1.2E-2</v>
      </c>
      <c r="AF24" s="1558">
        <f t="shared" si="115"/>
        <v>1.2E-2</v>
      </c>
      <c r="AG24" s="1558">
        <f>ROUND(AVERAGE(K24:K$30)/100,4)</f>
        <v>1.4E-2</v>
      </c>
      <c r="AH24" s="1558">
        <f>ROUND(AVERAGE(L24:L$30)/100,4)</f>
        <v>1.0800000000000001E-2</v>
      </c>
    </row>
    <row r="25" spans="1:34">
      <c r="A25" s="1559" t="s">
        <v>99</v>
      </c>
      <c r="B25" s="1576">
        <f t="shared" si="120"/>
        <v>322.34053690220776</v>
      </c>
      <c r="C25" s="1576">
        <f t="shared" si="120"/>
        <v>271.46160770422546</v>
      </c>
      <c r="D25" s="1576">
        <f t="shared" si="117"/>
        <v>271.46160770422546</v>
      </c>
      <c r="E25" s="1576">
        <f t="shared" si="121"/>
        <v>442.69434542172456</v>
      </c>
      <c r="F25" s="1576">
        <f t="shared" si="121"/>
        <v>241.34030753190925</v>
      </c>
      <c r="G25" s="3107"/>
      <c r="H25" s="1563">
        <v>2</v>
      </c>
      <c r="I25" s="1563">
        <v>0.77</v>
      </c>
      <c r="J25" s="1563">
        <v>0.69</v>
      </c>
      <c r="K25" s="1563">
        <v>0.8</v>
      </c>
      <c r="L25" s="1578">
        <v>0.88</v>
      </c>
      <c r="N25" s="1571">
        <f t="shared" si="119"/>
        <v>7.7000000000000002E-3</v>
      </c>
      <c r="O25" s="1588">
        <f t="shared" si="114"/>
        <v>6.8999999999999999E-3</v>
      </c>
      <c r="P25" s="1588">
        <f t="shared" si="114"/>
        <v>8.0000000000000002E-3</v>
      </c>
      <c r="Q25" s="1588">
        <f t="shared" si="114"/>
        <v>8.8000000000000005E-3</v>
      </c>
      <c r="R25" s="1573"/>
      <c r="S25" s="1571"/>
      <c r="T25" s="1572"/>
      <c r="U25" s="1572"/>
      <c r="V25" s="1572"/>
      <c r="X25" s="1557">
        <f>ROUND(SUMPRODUCT(PRODUCT(1+N25:N$29)),4)</f>
        <v>1.048</v>
      </c>
      <c r="Y25" s="1557">
        <f>ROUND(SUMPRODUCT(PRODUCT(1+O25:O$29)),4)</f>
        <v>1.0524</v>
      </c>
      <c r="Z25" s="1557">
        <f t="shared" si="0"/>
        <v>1.0524</v>
      </c>
      <c r="AA25" s="1557">
        <f>ROUND(SUMPRODUCT(PRODUCT(1+P25:P$29)),4)</f>
        <v>1.0470999999999999</v>
      </c>
      <c r="AB25" s="1557">
        <f>ROUND(SUMPRODUCT(PRODUCT(1+Q25:Q$29)),4)</f>
        <v>1.0504</v>
      </c>
      <c r="AD25" s="1558">
        <f>ROUND(AVERAGE(I25:I$30)/100,4)</f>
        <v>1.2800000000000001E-2</v>
      </c>
      <c r="AE25" s="1558">
        <f>ROUND(AVERAGE(J25:J$30)/100,4)</f>
        <v>1.2500000000000001E-2</v>
      </c>
      <c r="AF25" s="1558">
        <f t="shared" si="115"/>
        <v>1.2500000000000001E-2</v>
      </c>
      <c r="AG25" s="1558">
        <f>ROUND(AVERAGE(K25:K$30)/100,4)</f>
        <v>1.32E-2</v>
      </c>
      <c r="AH25" s="1558">
        <f>ROUND(AVERAGE(L25:L$30)/100,4)</f>
        <v>1.0500000000000001E-2</v>
      </c>
    </row>
    <row r="26" spans="1:34">
      <c r="A26" s="1559" t="s">
        <v>98</v>
      </c>
      <c r="B26" s="1576">
        <f t="shared" si="120"/>
        <v>319.87748030386797</v>
      </c>
      <c r="C26" s="1576">
        <f t="shared" si="120"/>
        <v>269.60135833173649</v>
      </c>
      <c r="D26" s="1576">
        <f t="shared" si="117"/>
        <v>269.60135833173649</v>
      </c>
      <c r="E26" s="1576">
        <f t="shared" si="121"/>
        <v>439.18089823583784</v>
      </c>
      <c r="F26" s="1576">
        <f t="shared" si="121"/>
        <v>239.23503918706311</v>
      </c>
      <c r="G26" s="3108"/>
      <c r="H26" s="1562">
        <v>1</v>
      </c>
      <c r="I26" s="1562">
        <v>0.51</v>
      </c>
      <c r="J26" s="1562">
        <v>0.54</v>
      </c>
      <c r="K26" s="1562">
        <v>0.48</v>
      </c>
      <c r="L26" s="1577">
        <v>0.93</v>
      </c>
      <c r="N26" s="1579">
        <f t="shared" si="119"/>
        <v>5.1000000000000004E-3</v>
      </c>
      <c r="O26" s="1580">
        <f t="shared" si="114"/>
        <v>5.4000000000000003E-3</v>
      </c>
      <c r="P26" s="1580">
        <f t="shared" si="114"/>
        <v>4.7999999999999996E-3</v>
      </c>
      <c r="Q26" s="1580">
        <f t="shared" si="114"/>
        <v>9.300000000000001E-3</v>
      </c>
      <c r="R26" s="1573"/>
      <c r="S26" s="1579">
        <f>B26/B27-1</f>
        <v>5.9040261127922822E-3</v>
      </c>
      <c r="T26" s="1580">
        <f>C26/C27-1</f>
        <v>5.9752176557332781E-3</v>
      </c>
      <c r="U26" s="1580">
        <f>E26/E27-1</f>
        <v>4.9906138119859556E-3</v>
      </c>
      <c r="V26" s="1580">
        <f>F26/F27-1</f>
        <v>9.4305450930933787E-3</v>
      </c>
      <c r="X26" s="1557">
        <f>ROUND(SUMPRODUCT(PRODUCT(1+N26:N$29)),4)</f>
        <v>1.0399</v>
      </c>
      <c r="Y26" s="1557">
        <f>ROUND(SUMPRODUCT(PRODUCT(1+O26:O$29)),4)</f>
        <v>1.0451999999999999</v>
      </c>
      <c r="Z26" s="1557">
        <f t="shared" si="0"/>
        <v>1.0451999999999999</v>
      </c>
      <c r="AA26" s="1557">
        <f>ROUND(SUMPRODUCT(PRODUCT(1+P26:P$29)),4)</f>
        <v>1.0387999999999999</v>
      </c>
      <c r="AB26" s="1557">
        <f>ROUND(SUMPRODUCT(PRODUCT(1+Q26:Q$29)),4)</f>
        <v>1.0411999999999999</v>
      </c>
      <c r="AD26" s="1558">
        <f>ROUND(AVERAGE(I26:I$30)/100,4)</f>
        <v>1.38E-2</v>
      </c>
      <c r="AE26" s="1558">
        <f>ROUND(AVERAGE(J26:J$30)/100,4)</f>
        <v>1.3599999999999999E-2</v>
      </c>
      <c r="AF26" s="1558">
        <f t="shared" si="115"/>
        <v>1.3599999999999999E-2</v>
      </c>
      <c r="AG26" s="1558">
        <f>ROUND(AVERAGE(K26:K$30)/100,4)</f>
        <v>1.4200000000000001E-2</v>
      </c>
      <c r="AH26" s="1558">
        <f>ROUND(AVERAGE(L26:L$30)/100,4)</f>
        <v>1.0800000000000001E-2</v>
      </c>
    </row>
    <row r="27" spans="1:34" ht="13.5" thickBot="1">
      <c r="A27" s="1559" t="s">
        <v>97</v>
      </c>
      <c r="B27" s="1589">
        <v>318</v>
      </c>
      <c r="C27" s="1589">
        <v>268</v>
      </c>
      <c r="D27" s="1589">
        <f t="shared" si="117"/>
        <v>268</v>
      </c>
      <c r="E27" s="1589">
        <v>437</v>
      </c>
      <c r="F27" s="1590">
        <v>237</v>
      </c>
      <c r="G27" s="3106">
        <v>2014</v>
      </c>
      <c r="H27" s="1581">
        <v>4</v>
      </c>
      <c r="I27" s="1581">
        <v>0.21</v>
      </c>
      <c r="J27" s="1581">
        <v>0.41</v>
      </c>
      <c r="K27" s="1581">
        <v>0.12</v>
      </c>
      <c r="L27" s="1582">
        <v>0.89</v>
      </c>
      <c r="N27" s="1571">
        <f t="shared" si="119"/>
        <v>2.0999999999999999E-3</v>
      </c>
      <c r="O27" s="1572">
        <f t="shared" si="114"/>
        <v>4.0999999999999995E-3</v>
      </c>
      <c r="P27" s="1572">
        <f t="shared" si="114"/>
        <v>1.1999999999999999E-3</v>
      </c>
      <c r="Q27" s="1572">
        <f t="shared" si="114"/>
        <v>8.8999999999999999E-3</v>
      </c>
      <c r="R27" s="1573"/>
      <c r="S27" s="1574"/>
      <c r="T27" s="1575"/>
      <c r="U27" s="1575"/>
      <c r="V27" s="1575"/>
      <c r="X27" s="1557">
        <f>ROUND(SUMPRODUCT(PRODUCT(1+N27:N$29)),4)</f>
        <v>1.0347</v>
      </c>
      <c r="Y27" s="1557">
        <f>ROUND(SUMPRODUCT(PRODUCT(1+O27:O$29)),4)</f>
        <v>1.0395000000000001</v>
      </c>
      <c r="Z27" s="1557">
        <f t="shared" si="0"/>
        <v>1.0395000000000001</v>
      </c>
      <c r="AA27" s="1557">
        <f>ROUND(SUMPRODUCT(PRODUCT(1+P27:P$29)),4)</f>
        <v>1.0338000000000001</v>
      </c>
      <c r="AB27" s="1557">
        <f>ROUND(SUMPRODUCT(PRODUCT(1+Q27:Q$29)),4)</f>
        <v>1.0316000000000001</v>
      </c>
      <c r="AD27" s="1558">
        <f>ROUND(AVERAGE(I27:I$30)/100,4)</f>
        <v>1.6E-2</v>
      </c>
      <c r="AE27" s="1558">
        <f>ROUND(AVERAGE(J27:J$30)/100,4)</f>
        <v>1.5599999999999999E-2</v>
      </c>
      <c r="AF27" s="1558">
        <f t="shared" si="115"/>
        <v>1.5599999999999999E-2</v>
      </c>
      <c r="AG27" s="1558">
        <f>ROUND(AVERAGE(K27:K$30)/100,4)</f>
        <v>1.66E-2</v>
      </c>
      <c r="AH27" s="1558">
        <f>ROUND(AVERAGE(L27:L$30)/100,4)</f>
        <v>1.12E-2</v>
      </c>
    </row>
    <row r="28" spans="1:34">
      <c r="A28" s="1559" t="s">
        <v>96</v>
      </c>
      <c r="B28" s="1576">
        <f t="shared" ref="B28:C30" si="122">B27/(1+N27)</f>
        <v>317.33359944117353</v>
      </c>
      <c r="C28" s="1576">
        <f t="shared" si="122"/>
        <v>266.90568668459315</v>
      </c>
      <c r="D28" s="1576">
        <f t="shared" si="117"/>
        <v>266.90568668459315</v>
      </c>
      <c r="E28" s="1576">
        <f t="shared" ref="E28:F30" si="123">E27/(1+P27)</f>
        <v>436.47622852576905</v>
      </c>
      <c r="F28" s="1576">
        <f t="shared" si="123"/>
        <v>234.90930716622066</v>
      </c>
      <c r="G28" s="3107"/>
      <c r="H28" s="1591">
        <v>3</v>
      </c>
      <c r="I28" s="1591">
        <v>0.83</v>
      </c>
      <c r="J28" s="1591">
        <v>1.47</v>
      </c>
      <c r="K28" s="1591">
        <v>0.65</v>
      </c>
      <c r="L28" s="1592">
        <v>0.72</v>
      </c>
      <c r="N28" s="1571">
        <f t="shared" si="119"/>
        <v>8.3000000000000001E-3</v>
      </c>
      <c r="O28" s="1572">
        <f t="shared" si="114"/>
        <v>1.47E-2</v>
      </c>
      <c r="P28" s="1572">
        <f t="shared" si="114"/>
        <v>6.5000000000000006E-3</v>
      </c>
      <c r="Q28" s="1572">
        <f t="shared" si="114"/>
        <v>7.1999999999999998E-3</v>
      </c>
      <c r="R28" s="1573"/>
      <c r="S28" s="1571"/>
      <c r="T28" s="1572"/>
      <c r="U28" s="1572"/>
      <c r="V28" s="1572"/>
      <c r="X28" s="1557">
        <f>ROUND(SUMPRODUCT(PRODUCT(1+N28:N$29)),4)</f>
        <v>1.0325</v>
      </c>
      <c r="Y28" s="1557">
        <f>ROUND(SUMPRODUCT(PRODUCT(1+O28:O$29)),4)</f>
        <v>1.0353000000000001</v>
      </c>
      <c r="Z28" s="1557">
        <f t="shared" ref="Z28:Z29" si="124">Y28</f>
        <v>1.0353000000000001</v>
      </c>
      <c r="AA28" s="1557">
        <f>ROUND(SUMPRODUCT(PRODUCT(1+P28:P$29)),4)</f>
        <v>1.0326</v>
      </c>
      <c r="AB28" s="1557">
        <f>ROUND(SUMPRODUCT(PRODUCT(1+Q28:Q$29)),4)</f>
        <v>1.0225</v>
      </c>
      <c r="AD28" s="1558">
        <f>ROUND(AVERAGE(I28:I$30)/100,4)</f>
        <v>2.07E-2</v>
      </c>
      <c r="AE28" s="1558">
        <f>ROUND(AVERAGE(J28:J$30)/100,4)</f>
        <v>1.95E-2</v>
      </c>
      <c r="AF28" s="1558">
        <f t="shared" si="115"/>
        <v>1.95E-2</v>
      </c>
      <c r="AG28" s="1558">
        <f>ROUND(AVERAGE(K28:K$30)/100,4)</f>
        <v>2.1700000000000001E-2</v>
      </c>
      <c r="AH28" s="1558">
        <f>ROUND(AVERAGE(L28:L$30)/100,4)</f>
        <v>1.2E-2</v>
      </c>
    </row>
    <row r="29" spans="1:34" ht="13.5" thickBot="1">
      <c r="A29" s="1559" t="s">
        <v>95</v>
      </c>
      <c r="B29" s="1576">
        <f t="shared" si="122"/>
        <v>314.72141172386546</v>
      </c>
      <c r="C29" s="1576">
        <f t="shared" si="122"/>
        <v>263.03901319069001</v>
      </c>
      <c r="D29" s="1576">
        <f t="shared" si="117"/>
        <v>263.03901319069001</v>
      </c>
      <c r="E29" s="1576">
        <f t="shared" si="123"/>
        <v>433.65745506782821</v>
      </c>
      <c r="F29" s="1576">
        <f t="shared" si="123"/>
        <v>233.23005080045735</v>
      </c>
      <c r="G29" s="3107"/>
      <c r="H29" s="1581">
        <v>2</v>
      </c>
      <c r="I29" s="1581">
        <v>2.4</v>
      </c>
      <c r="J29" s="1581">
        <v>2.0299999999999998</v>
      </c>
      <c r="K29" s="1581">
        <v>2.59</v>
      </c>
      <c r="L29" s="1582">
        <v>1.52</v>
      </c>
      <c r="N29" s="1571">
        <f t="shared" si="119"/>
        <v>2.4E-2</v>
      </c>
      <c r="O29" s="1572">
        <f t="shared" si="114"/>
        <v>2.0299999999999999E-2</v>
      </c>
      <c r="P29" s="1572">
        <f t="shared" si="114"/>
        <v>2.5899999999999999E-2</v>
      </c>
      <c r="Q29" s="1572">
        <f t="shared" si="114"/>
        <v>1.52E-2</v>
      </c>
      <c r="R29" s="1573"/>
      <c r="S29" s="1571"/>
      <c r="T29" s="1572"/>
      <c r="U29" s="1572"/>
      <c r="V29" s="1572"/>
      <c r="X29" s="1557">
        <f>1+N29</f>
        <v>1.024</v>
      </c>
      <c r="Y29" s="1557">
        <f>1+O29</f>
        <v>1.0203</v>
      </c>
      <c r="Z29" s="1557">
        <f t="shared" si="124"/>
        <v>1.0203</v>
      </c>
      <c r="AA29" s="1557">
        <f>1+P29</f>
        <v>1.0259</v>
      </c>
      <c r="AB29" s="1557">
        <f>1+Q29</f>
        <v>1.0152000000000001</v>
      </c>
      <c r="AD29" s="1558">
        <f>ROUND(AVERAGE(I29:I$30)/100,4)</f>
        <v>2.69E-2</v>
      </c>
      <c r="AE29" s="1558">
        <f>ROUND(AVERAGE(J29:J$30)/100,4)</f>
        <v>2.1899999999999999E-2</v>
      </c>
      <c r="AF29" s="1558">
        <f t="shared" ref="AF29" si="125">AE29</f>
        <v>2.1899999999999999E-2</v>
      </c>
      <c r="AG29" s="1558">
        <f>ROUND(AVERAGE(K29:K$30)/100,4)</f>
        <v>2.9399999999999999E-2</v>
      </c>
      <c r="AH29" s="1558">
        <f>ROUND(AVERAGE(L29:L$30)/100,4)</f>
        <v>1.44E-2</v>
      </c>
    </row>
    <row r="30" spans="1:34" s="1597" customFormat="1" ht="13.5" thickBot="1">
      <c r="A30" s="1593" t="s">
        <v>94</v>
      </c>
      <c r="B30" s="1594">
        <f t="shared" si="122"/>
        <v>307.34512863658733</v>
      </c>
      <c r="C30" s="1594">
        <f t="shared" si="122"/>
        <v>257.80556031626975</v>
      </c>
      <c r="D30" s="1594">
        <f t="shared" si="117"/>
        <v>257.80556031626975</v>
      </c>
      <c r="E30" s="1594">
        <f t="shared" si="123"/>
        <v>422.70928459677179</v>
      </c>
      <c r="F30" s="1594">
        <f t="shared" si="123"/>
        <v>229.73803270336617</v>
      </c>
      <c r="G30" s="3108"/>
      <c r="H30" s="1595">
        <v>1</v>
      </c>
      <c r="I30" s="1595">
        <v>2.97</v>
      </c>
      <c r="J30" s="1595">
        <v>2.34</v>
      </c>
      <c r="K30" s="1595">
        <v>3.28</v>
      </c>
      <c r="L30" s="1596">
        <v>1.36</v>
      </c>
      <c r="N30" s="1598">
        <f t="shared" si="119"/>
        <v>2.9700000000000001E-2</v>
      </c>
      <c r="O30" s="1599">
        <f t="shared" si="114"/>
        <v>2.3399999999999997E-2</v>
      </c>
      <c r="P30" s="1599">
        <f t="shared" si="114"/>
        <v>3.2799999999999996E-2</v>
      </c>
      <c r="Q30" s="1599">
        <f t="shared" si="114"/>
        <v>1.3600000000000001E-2</v>
      </c>
      <c r="R30" s="1600"/>
      <c r="S30" s="1601">
        <f>B30/B31-1</f>
        <v>2.7910129219355539E-2</v>
      </c>
      <c r="T30" s="1602">
        <f>C30/C31-1</f>
        <v>2.3037937762975247E-2</v>
      </c>
      <c r="U30" s="1602">
        <f>E30/E31-1</f>
        <v>3.3519033243940788E-2</v>
      </c>
      <c r="V30" s="1602">
        <f>F30/F31-1</f>
        <v>1.2061818076502862E-2</v>
      </c>
      <c r="W30" s="1603" t="s">
        <v>1212</v>
      </c>
      <c r="X30" s="1604">
        <v>1</v>
      </c>
      <c r="Y30" s="1604">
        <v>1</v>
      </c>
      <c r="Z30" s="1604">
        <v>1</v>
      </c>
      <c r="AA30" s="1604">
        <v>1</v>
      </c>
      <c r="AB30" s="1604">
        <v>1</v>
      </c>
      <c r="AD30" s="1811">
        <f>I30/100</f>
        <v>2.9700000000000001E-2</v>
      </c>
      <c r="AE30" s="1811">
        <f>J30/100</f>
        <v>2.3399999999999997E-2</v>
      </c>
      <c r="AF30" s="1811">
        <f>AE30</f>
        <v>2.3399999999999997E-2</v>
      </c>
      <c r="AG30" s="1811">
        <f>K30/100</f>
        <v>3.2799999999999996E-2</v>
      </c>
      <c r="AH30" s="1811">
        <f>L30/100</f>
        <v>1.3600000000000001E-2</v>
      </c>
    </row>
    <row r="31" spans="1:34" ht="13.5" thickBot="1">
      <c r="A31" s="1559" t="s">
        <v>1045</v>
      </c>
      <c r="B31" s="1568">
        <v>299</v>
      </c>
      <c r="C31" s="1568">
        <v>252</v>
      </c>
      <c r="D31" s="1568">
        <f t="shared" si="117"/>
        <v>252</v>
      </c>
      <c r="E31" s="1568">
        <v>409</v>
      </c>
      <c r="F31" s="1569">
        <v>227</v>
      </c>
      <c r="G31" s="3111">
        <v>2013</v>
      </c>
      <c r="H31" s="1605">
        <v>4</v>
      </c>
      <c r="I31" s="1605">
        <v>1.83</v>
      </c>
      <c r="J31" s="1605">
        <v>1.68</v>
      </c>
      <c r="K31" s="1605">
        <v>1.97</v>
      </c>
      <c r="L31" s="1606">
        <v>0.87</v>
      </c>
      <c r="N31" s="1583">
        <f t="shared" si="119"/>
        <v>1.83E-2</v>
      </c>
      <c r="O31" s="1584">
        <f t="shared" si="114"/>
        <v>1.6799999999999999E-2</v>
      </c>
      <c r="P31" s="1584">
        <f t="shared" si="114"/>
        <v>1.9699999999999999E-2</v>
      </c>
      <c r="Q31" s="1584">
        <f t="shared" si="114"/>
        <v>8.6999999999999994E-3</v>
      </c>
      <c r="R31" s="1573"/>
      <c r="S31" s="1574"/>
      <c r="T31" s="1575"/>
      <c r="U31" s="1575"/>
      <c r="V31" s="1575"/>
      <c r="X31" s="1575"/>
      <c r="Y31" s="1575"/>
      <c r="Z31" s="1575"/>
    </row>
    <row r="32" spans="1:34">
      <c r="A32" s="1559" t="s">
        <v>1046</v>
      </c>
      <c r="B32" s="1576">
        <f t="shared" ref="B32:C34" si="126">B31/(1+N31)</f>
        <v>293.62663262299913</v>
      </c>
      <c r="C32" s="1576">
        <f t="shared" si="126"/>
        <v>247.83634933123525</v>
      </c>
      <c r="D32" s="1576">
        <f t="shared" si="117"/>
        <v>247.83634933123525</v>
      </c>
      <c r="E32" s="1576">
        <f t="shared" ref="E32:F34" si="127">E31/(1+P31)</f>
        <v>401.09836226341076</v>
      </c>
      <c r="F32" s="1576">
        <f t="shared" si="127"/>
        <v>225.04213343908003</v>
      </c>
      <c r="G32" s="3112"/>
      <c r="H32" s="1586">
        <v>3</v>
      </c>
      <c r="I32" s="1586">
        <v>1.86</v>
      </c>
      <c r="J32" s="1586">
        <v>1.72</v>
      </c>
      <c r="K32" s="1586">
        <v>1.98</v>
      </c>
      <c r="L32" s="1587">
        <v>0.88</v>
      </c>
      <c r="N32" s="1571">
        <f t="shared" si="119"/>
        <v>1.8600000000000002E-2</v>
      </c>
      <c r="O32" s="1588">
        <f t="shared" si="114"/>
        <v>1.72E-2</v>
      </c>
      <c r="P32" s="1588">
        <f t="shared" si="114"/>
        <v>1.9799999999999998E-2</v>
      </c>
      <c r="Q32" s="1588">
        <f t="shared" si="114"/>
        <v>8.8000000000000005E-3</v>
      </c>
      <c r="R32" s="1573"/>
      <c r="S32" s="1571"/>
      <c r="T32" s="1572"/>
      <c r="U32" s="1572"/>
      <c r="V32" s="1572"/>
    </row>
    <row r="33" spans="1:26">
      <c r="A33" s="1559" t="s">
        <v>1047</v>
      </c>
      <c r="B33" s="1576">
        <f t="shared" si="126"/>
        <v>288.2649053828776</v>
      </c>
      <c r="C33" s="1576">
        <f t="shared" si="126"/>
        <v>243.64564425013293</v>
      </c>
      <c r="D33" s="1576">
        <f t="shared" si="117"/>
        <v>243.64564425013293</v>
      </c>
      <c r="E33" s="1576">
        <f t="shared" si="127"/>
        <v>393.31080825986544</v>
      </c>
      <c r="F33" s="1576">
        <f t="shared" si="127"/>
        <v>223.07903790551154</v>
      </c>
      <c r="G33" s="3112"/>
      <c r="H33" s="1563">
        <v>2</v>
      </c>
      <c r="I33" s="1563">
        <v>2.04</v>
      </c>
      <c r="J33" s="1563">
        <v>2.33</v>
      </c>
      <c r="K33" s="1563">
        <v>2.0699999999999998</v>
      </c>
      <c r="L33" s="1578">
        <v>0.69</v>
      </c>
      <c r="N33" s="1571">
        <f t="shared" si="119"/>
        <v>2.0400000000000001E-2</v>
      </c>
      <c r="O33" s="1588">
        <f t="shared" si="114"/>
        <v>2.3300000000000001E-2</v>
      </c>
      <c r="P33" s="1588">
        <f t="shared" si="114"/>
        <v>2.07E-2</v>
      </c>
      <c r="Q33" s="1588">
        <f t="shared" si="114"/>
        <v>6.8999999999999999E-3</v>
      </c>
      <c r="R33" s="1573"/>
      <c r="S33" s="1571"/>
      <c r="T33" s="1572"/>
      <c r="U33" s="1572"/>
      <c r="V33" s="1572"/>
      <c r="X33" s="1607"/>
      <c r="Y33" s="1608"/>
    </row>
    <row r="34" spans="1:26">
      <c r="A34" s="1559" t="s">
        <v>1048</v>
      </c>
      <c r="B34" s="1576">
        <f t="shared" si="126"/>
        <v>282.50186729015837</v>
      </c>
      <c r="C34" s="1576">
        <f t="shared" si="126"/>
        <v>238.09796174155468</v>
      </c>
      <c r="D34" s="1576">
        <f t="shared" si="117"/>
        <v>238.09796174155468</v>
      </c>
      <c r="E34" s="1576">
        <f t="shared" si="127"/>
        <v>385.33438646014054</v>
      </c>
      <c r="F34" s="1576">
        <f t="shared" si="127"/>
        <v>221.55034055567739</v>
      </c>
      <c r="G34" s="3113"/>
      <c r="H34" s="1562">
        <v>1</v>
      </c>
      <c r="I34" s="1562">
        <v>1.67</v>
      </c>
      <c r="J34" s="1562">
        <v>1.31</v>
      </c>
      <c r="K34" s="1562">
        <v>1.85</v>
      </c>
      <c r="L34" s="1577">
        <v>0.96</v>
      </c>
      <c r="N34" s="1579">
        <f t="shared" si="119"/>
        <v>1.67E-2</v>
      </c>
      <c r="O34" s="1580">
        <f t="shared" si="119"/>
        <v>1.3100000000000001E-2</v>
      </c>
      <c r="P34" s="1580">
        <f t="shared" si="119"/>
        <v>1.8500000000000003E-2</v>
      </c>
      <c r="Q34" s="1580">
        <f t="shared" si="119"/>
        <v>9.5999999999999992E-3</v>
      </c>
      <c r="R34" s="1573"/>
      <c r="S34" s="1579">
        <f>B34/B35-1</f>
        <v>1.6193767230785472E-2</v>
      </c>
      <c r="T34" s="1580">
        <f>C34/C35-1</f>
        <v>1.7512657015190891E-2</v>
      </c>
      <c r="U34" s="1580">
        <f>E34/E35-1</f>
        <v>1.6713420739157048E-2</v>
      </c>
      <c r="V34" s="1580">
        <f>F34/F35-1</f>
        <v>7.0470025258062563E-3</v>
      </c>
      <c r="X34" s="1609"/>
      <c r="Y34" s="1558"/>
      <c r="Z34" s="1558"/>
    </row>
    <row r="35" spans="1:26" ht="13.5" thickBot="1">
      <c r="A35" s="1559" t="s">
        <v>1049</v>
      </c>
      <c r="B35" s="1610">
        <v>278</v>
      </c>
      <c r="C35" s="1610">
        <v>234</v>
      </c>
      <c r="D35" s="1610">
        <f t="shared" si="117"/>
        <v>234</v>
      </c>
      <c r="E35" s="1610">
        <v>379</v>
      </c>
      <c r="F35" s="1611">
        <v>220</v>
      </c>
      <c r="G35" s="3106">
        <v>2012</v>
      </c>
      <c r="H35" s="1581">
        <v>4</v>
      </c>
      <c r="I35" s="1581">
        <v>0.91</v>
      </c>
      <c r="J35" s="1581">
        <v>0.68</v>
      </c>
      <c r="K35" s="1581">
        <v>0.98</v>
      </c>
      <c r="L35" s="1582">
        <v>0.9</v>
      </c>
      <c r="N35" s="1571">
        <f t="shared" si="119"/>
        <v>9.1000000000000004E-3</v>
      </c>
      <c r="O35" s="1572">
        <f t="shared" si="119"/>
        <v>6.8000000000000005E-3</v>
      </c>
      <c r="P35" s="1572">
        <f t="shared" si="119"/>
        <v>9.7999999999999997E-3</v>
      </c>
      <c r="Q35" s="1572">
        <f t="shared" si="119"/>
        <v>9.0000000000000011E-3</v>
      </c>
      <c r="R35" s="1573"/>
      <c r="S35" s="1574"/>
      <c r="T35" s="1575"/>
      <c r="U35" s="1575"/>
      <c r="V35" s="1575"/>
      <c r="X35" s="1575"/>
      <c r="Y35" s="1575"/>
      <c r="Z35" s="1575"/>
    </row>
    <row r="36" spans="1:26">
      <c r="A36" s="1559" t="s">
        <v>1050</v>
      </c>
      <c r="B36" s="1576">
        <f>B35/(1+N35)</f>
        <v>275.49301357645425</v>
      </c>
      <c r="C36" s="1576">
        <f>C35/(1+O35)</f>
        <v>232.41954707985698</v>
      </c>
      <c r="D36" s="1576">
        <f t="shared" si="117"/>
        <v>232.41954707985698</v>
      </c>
      <c r="E36" s="1576">
        <f t="shared" ref="E36:F38" si="128">E35/(1+P35)</f>
        <v>375.32184591008121</v>
      </c>
      <c r="F36" s="1576">
        <f t="shared" si="128"/>
        <v>218.03766105054513</v>
      </c>
      <c r="G36" s="3107"/>
      <c r="H36" s="1586">
        <v>3</v>
      </c>
      <c r="I36" s="1586">
        <v>0.09</v>
      </c>
      <c r="J36" s="1586">
        <v>0.28999999999999998</v>
      </c>
      <c r="K36" s="1586">
        <v>-0.01</v>
      </c>
      <c r="L36" s="1587">
        <v>0.57999999999999996</v>
      </c>
      <c r="N36" s="1571">
        <f t="shared" si="119"/>
        <v>8.9999999999999998E-4</v>
      </c>
      <c r="O36" s="1572">
        <f t="shared" si="119"/>
        <v>2.8999999999999998E-3</v>
      </c>
      <c r="P36" s="1572">
        <f t="shared" si="119"/>
        <v>-1E-4</v>
      </c>
      <c r="Q36" s="1572">
        <f t="shared" si="119"/>
        <v>5.7999999999999996E-3</v>
      </c>
      <c r="R36" s="1573"/>
      <c r="S36" s="1571"/>
      <c r="T36" s="1572"/>
      <c r="U36" s="1572"/>
      <c r="V36" s="1572"/>
    </row>
    <row r="37" spans="1:26">
      <c r="A37" s="1559" t="s">
        <v>1051</v>
      </c>
      <c r="B37" s="1576">
        <f>B36/(1+N36)</f>
        <v>275.24529281292263</v>
      </c>
      <c r="C37" s="1576">
        <f>C36/(1+O36)</f>
        <v>231.74747938962707</v>
      </c>
      <c r="D37" s="1576">
        <f t="shared" si="117"/>
        <v>231.74747938962707</v>
      </c>
      <c r="E37" s="1576">
        <f t="shared" si="128"/>
        <v>375.35938184826603</v>
      </c>
      <c r="F37" s="1576">
        <f t="shared" si="128"/>
        <v>216.78033510692495</v>
      </c>
      <c r="G37" s="3107"/>
      <c r="H37" s="1563">
        <v>2</v>
      </c>
      <c r="I37" s="1563">
        <v>0.02</v>
      </c>
      <c r="J37" s="1563">
        <v>0.12</v>
      </c>
      <c r="K37" s="1563">
        <v>-0.08</v>
      </c>
      <c r="L37" s="1578">
        <v>1.24</v>
      </c>
      <c r="N37" s="1571">
        <f t="shared" si="119"/>
        <v>2.0000000000000001E-4</v>
      </c>
      <c r="O37" s="1572">
        <f t="shared" si="119"/>
        <v>1.1999999999999999E-3</v>
      </c>
      <c r="P37" s="1572">
        <f t="shared" si="119"/>
        <v>-8.0000000000000004E-4</v>
      </c>
      <c r="Q37" s="1572">
        <f t="shared" si="119"/>
        <v>1.24E-2</v>
      </c>
      <c r="R37" s="1573"/>
      <c r="S37" s="1571"/>
      <c r="T37" s="1572"/>
      <c r="U37" s="1572"/>
      <c r="V37" s="1572"/>
    </row>
    <row r="38" spans="1:26" ht="13.5" thickBot="1">
      <c r="A38" s="1559" t="s">
        <v>1052</v>
      </c>
      <c r="B38" s="1576">
        <f>B37/(1+N37)</f>
        <v>275.19025476197027</v>
      </c>
      <c r="C38" s="1612">
        <v>232</v>
      </c>
      <c r="D38" s="1612">
        <f t="shared" si="117"/>
        <v>232</v>
      </c>
      <c r="E38" s="1576">
        <f t="shared" si="128"/>
        <v>375.65990977608692</v>
      </c>
      <c r="F38" s="1576">
        <f t="shared" si="128"/>
        <v>214.12518283971252</v>
      </c>
      <c r="G38" s="3108"/>
      <c r="H38" s="1562">
        <v>1</v>
      </c>
      <c r="I38" s="1562">
        <v>0.02</v>
      </c>
      <c r="J38" s="1562">
        <v>0.13</v>
      </c>
      <c r="K38" s="1562">
        <v>-0.04</v>
      </c>
      <c r="L38" s="1577">
        <v>0.46</v>
      </c>
      <c r="N38" s="1571">
        <f t="shared" si="119"/>
        <v>2.0000000000000001E-4</v>
      </c>
      <c r="O38" s="1572">
        <f t="shared" si="119"/>
        <v>1.2999999999999999E-3</v>
      </c>
      <c r="P38" s="1572">
        <f t="shared" si="119"/>
        <v>-4.0000000000000002E-4</v>
      </c>
      <c r="Q38" s="1572">
        <f t="shared" si="119"/>
        <v>4.5999999999999999E-3</v>
      </c>
      <c r="R38" s="1573"/>
      <c r="S38" s="1579">
        <f>B38/B39-1</f>
        <v>6.9183549807361189E-4</v>
      </c>
      <c r="T38" s="1580">
        <f>C38/C39-1</f>
        <v>0</v>
      </c>
      <c r="U38" s="1580">
        <f>E38/E39-1</f>
        <v>-9.0449527636460303E-4</v>
      </c>
      <c r="V38" s="1580">
        <f>F38/F39-1</f>
        <v>5.2825485432512753E-3</v>
      </c>
      <c r="X38" s="1558"/>
      <c r="Y38" s="1558"/>
      <c r="Z38" s="1558"/>
    </row>
    <row r="39" spans="1:26" ht="13.5" thickBot="1">
      <c r="A39" s="1559" t="s">
        <v>1053</v>
      </c>
      <c r="B39" s="1568">
        <v>275</v>
      </c>
      <c r="C39" s="1568">
        <v>232</v>
      </c>
      <c r="D39" s="1568">
        <f t="shared" si="117"/>
        <v>232</v>
      </c>
      <c r="E39" s="1568">
        <v>376</v>
      </c>
      <c r="F39" s="1569">
        <v>213</v>
      </c>
      <c r="G39" s="3106">
        <v>2011</v>
      </c>
      <c r="H39" s="1581">
        <v>4</v>
      </c>
      <c r="I39" s="1581">
        <v>-0.2</v>
      </c>
      <c r="J39" s="1581">
        <v>0.04</v>
      </c>
      <c r="K39" s="1581">
        <v>-0.34</v>
      </c>
      <c r="L39" s="1582">
        <v>0.46</v>
      </c>
      <c r="N39" s="1583">
        <f t="shared" si="119"/>
        <v>-2E-3</v>
      </c>
      <c r="O39" s="1584">
        <f t="shared" si="119"/>
        <v>4.0000000000000002E-4</v>
      </c>
      <c r="P39" s="1584">
        <f t="shared" si="119"/>
        <v>-3.4000000000000002E-3</v>
      </c>
      <c r="Q39" s="1584">
        <f t="shared" si="119"/>
        <v>4.5999999999999999E-3</v>
      </c>
      <c r="R39" s="1573"/>
      <c r="S39" s="1574"/>
      <c r="T39" s="1575"/>
      <c r="U39" s="1575"/>
      <c r="V39" s="1575"/>
      <c r="X39" s="1575"/>
      <c r="Y39" s="1575"/>
      <c r="Z39" s="1575"/>
    </row>
    <row r="40" spans="1:26">
      <c r="A40" s="1559" t="s">
        <v>1054</v>
      </c>
      <c r="B40" s="1576">
        <f t="shared" ref="B40:C42" si="129">B39/(1+N39)</f>
        <v>275.55110220440883</v>
      </c>
      <c r="C40" s="1576">
        <f t="shared" si="129"/>
        <v>231.90723710515795</v>
      </c>
      <c r="D40" s="1576">
        <f t="shared" si="117"/>
        <v>231.90723710515795</v>
      </c>
      <c r="E40" s="1576">
        <f t="shared" ref="E40:F42" si="130">E39/(1+P39)</f>
        <v>377.28276138872161</v>
      </c>
      <c r="F40" s="1576">
        <f t="shared" si="130"/>
        <v>212.02468644236512</v>
      </c>
      <c r="G40" s="3107">
        <v>2011</v>
      </c>
      <c r="H40" s="1586">
        <v>3</v>
      </c>
      <c r="I40" s="1586">
        <v>0.13</v>
      </c>
      <c r="J40" s="1586">
        <v>0.75</v>
      </c>
      <c r="K40" s="1586">
        <v>-0.08</v>
      </c>
      <c r="L40" s="1587">
        <v>0.53</v>
      </c>
      <c r="N40" s="1571">
        <f t="shared" si="119"/>
        <v>1.2999999999999999E-3</v>
      </c>
      <c r="O40" s="1588">
        <f t="shared" si="119"/>
        <v>7.4999999999999997E-3</v>
      </c>
      <c r="P40" s="1588">
        <f t="shared" si="119"/>
        <v>-8.0000000000000004E-4</v>
      </c>
      <c r="Q40" s="1588">
        <f t="shared" si="119"/>
        <v>5.3E-3</v>
      </c>
      <c r="R40" s="1573"/>
      <c r="S40" s="1571"/>
      <c r="T40" s="1572"/>
      <c r="U40" s="1572"/>
      <c r="V40" s="1572"/>
    </row>
    <row r="41" spans="1:26">
      <c r="A41" s="1559" t="s">
        <v>1055</v>
      </c>
      <c r="B41" s="1576">
        <f t="shared" si="129"/>
        <v>275.19335084830601</v>
      </c>
      <c r="C41" s="1576">
        <f t="shared" si="129"/>
        <v>230.18088050139744</v>
      </c>
      <c r="D41" s="1576">
        <f t="shared" si="117"/>
        <v>230.18088050139744</v>
      </c>
      <c r="E41" s="1576">
        <f t="shared" si="130"/>
        <v>377.58482925212331</v>
      </c>
      <c r="F41" s="1576">
        <f t="shared" si="130"/>
        <v>210.90687997847917</v>
      </c>
      <c r="G41" s="3107">
        <v>2011</v>
      </c>
      <c r="H41" s="1563">
        <v>2</v>
      </c>
      <c r="I41" s="1563">
        <v>-0.4</v>
      </c>
      <c r="J41" s="1563">
        <v>0.17</v>
      </c>
      <c r="K41" s="1563">
        <v>-0.57999999999999996</v>
      </c>
      <c r="L41" s="1578">
        <v>-0.2</v>
      </c>
      <c r="N41" s="1571">
        <f t="shared" si="119"/>
        <v>-4.0000000000000001E-3</v>
      </c>
      <c r="O41" s="1588">
        <f t="shared" si="119"/>
        <v>1.7000000000000001E-3</v>
      </c>
      <c r="P41" s="1588">
        <f t="shared" si="119"/>
        <v>-5.7999999999999996E-3</v>
      </c>
      <c r="Q41" s="1588">
        <f t="shared" si="119"/>
        <v>-2E-3</v>
      </c>
      <c r="R41" s="1573"/>
      <c r="S41" s="1571"/>
      <c r="T41" s="1572"/>
      <c r="U41" s="1572"/>
      <c r="V41" s="1572"/>
    </row>
    <row r="42" spans="1:26" ht="13.5" thickBot="1">
      <c r="A42" s="1559" t="s">
        <v>1056</v>
      </c>
      <c r="B42" s="1576">
        <f t="shared" si="129"/>
        <v>276.29854502841971</v>
      </c>
      <c r="C42" s="1576">
        <f t="shared" si="129"/>
        <v>229.79023709833027</v>
      </c>
      <c r="D42" s="1576">
        <f t="shared" si="117"/>
        <v>229.79023709833027</v>
      </c>
      <c r="E42" s="1576">
        <f t="shared" si="130"/>
        <v>379.78759731655936</v>
      </c>
      <c r="F42" s="1576">
        <f t="shared" si="130"/>
        <v>211.32953905659235</v>
      </c>
      <c r="G42" s="3108">
        <v>2011</v>
      </c>
      <c r="H42" s="1562">
        <v>1</v>
      </c>
      <c r="I42" s="1562">
        <v>2.65</v>
      </c>
      <c r="J42" s="1562">
        <v>3.76</v>
      </c>
      <c r="K42" s="1562">
        <v>1.89</v>
      </c>
      <c r="L42" s="1577">
        <v>7.95</v>
      </c>
      <c r="N42" s="1579">
        <f t="shared" si="119"/>
        <v>2.6499999999999999E-2</v>
      </c>
      <c r="O42" s="1580">
        <f t="shared" si="119"/>
        <v>3.7599999999999995E-2</v>
      </c>
      <c r="P42" s="1580">
        <f t="shared" si="119"/>
        <v>1.89E-2</v>
      </c>
      <c r="Q42" s="1580">
        <f t="shared" si="119"/>
        <v>7.9500000000000001E-2</v>
      </c>
      <c r="R42" s="1573"/>
      <c r="S42" s="1579">
        <f>B42/B43-1</f>
        <v>2.713213765211786E-2</v>
      </c>
      <c r="T42" s="1580">
        <f>C42/C43-1</f>
        <v>3.9774828499231862E-2</v>
      </c>
      <c r="U42" s="1580">
        <f>E42/E43-1</f>
        <v>1.8197311840641772E-2</v>
      </c>
      <c r="V42" s="1580">
        <f>F42/F43-1</f>
        <v>7.8211933962205826E-2</v>
      </c>
      <c r="X42" s="1558"/>
      <c r="Y42" s="1558"/>
      <c r="Z42" s="1558"/>
    </row>
    <row r="43" spans="1:26" ht="13.5" thickBot="1">
      <c r="A43" s="1559" t="s">
        <v>1057</v>
      </c>
      <c r="B43" s="1568">
        <v>269</v>
      </c>
      <c r="C43" s="1568">
        <v>221</v>
      </c>
      <c r="D43" s="1568">
        <f t="shared" si="117"/>
        <v>221</v>
      </c>
      <c r="E43" s="1568">
        <v>373</v>
      </c>
      <c r="F43" s="1569">
        <v>196</v>
      </c>
      <c r="G43" s="3106">
        <v>2010</v>
      </c>
      <c r="H43" s="1581">
        <v>4</v>
      </c>
      <c r="I43" s="1581">
        <v>5.72</v>
      </c>
      <c r="J43" s="1581">
        <v>6.57</v>
      </c>
      <c r="K43" s="1581">
        <v>5.72</v>
      </c>
      <c r="L43" s="1582">
        <v>2.72</v>
      </c>
      <c r="N43" s="1571">
        <f t="shared" si="119"/>
        <v>5.7200000000000001E-2</v>
      </c>
      <c r="O43" s="1572">
        <f t="shared" si="119"/>
        <v>6.5700000000000008E-2</v>
      </c>
      <c r="P43" s="1572">
        <f t="shared" si="119"/>
        <v>5.7200000000000001E-2</v>
      </c>
      <c r="Q43" s="1572">
        <f t="shared" si="119"/>
        <v>2.7200000000000002E-2</v>
      </c>
      <c r="R43" s="1573"/>
      <c r="S43" s="1574"/>
      <c r="T43" s="1575"/>
      <c r="U43" s="1575"/>
      <c r="V43" s="1575"/>
      <c r="X43" s="1575"/>
      <c r="Y43" s="1575"/>
      <c r="Z43" s="1575"/>
    </row>
    <row r="44" spans="1:26">
      <c r="A44" s="1559" t="s">
        <v>1058</v>
      </c>
      <c r="B44" s="1576">
        <f t="shared" ref="B44:C46" si="131">B43/(1+N43)</f>
        <v>254.44570563753314</v>
      </c>
      <c r="C44" s="1576">
        <f t="shared" si="131"/>
        <v>207.37543398705074</v>
      </c>
      <c r="D44" s="1576">
        <f t="shared" si="117"/>
        <v>207.37543398705074</v>
      </c>
      <c r="E44" s="1576">
        <f t="shared" ref="E44:F46" si="132">E43/(1+P43)</f>
        <v>352.81876655315932</v>
      </c>
      <c r="F44" s="1576">
        <f t="shared" si="132"/>
        <v>190.809968847352</v>
      </c>
      <c r="G44" s="3107">
        <v>2010</v>
      </c>
      <c r="H44" s="1586">
        <v>3</v>
      </c>
      <c r="I44" s="1586">
        <v>4.7300000000000004</v>
      </c>
      <c r="J44" s="1586">
        <v>3.9</v>
      </c>
      <c r="K44" s="1586">
        <v>5.03</v>
      </c>
      <c r="L44" s="1587">
        <v>4.21</v>
      </c>
      <c r="N44" s="1571">
        <f t="shared" si="119"/>
        <v>4.7300000000000002E-2</v>
      </c>
      <c r="O44" s="1572">
        <f t="shared" si="119"/>
        <v>3.9E-2</v>
      </c>
      <c r="P44" s="1572">
        <f t="shared" si="119"/>
        <v>5.0300000000000004E-2</v>
      </c>
      <c r="Q44" s="1572">
        <f t="shared" si="119"/>
        <v>4.2099999999999999E-2</v>
      </c>
      <c r="R44" s="1573"/>
      <c r="S44" s="1571"/>
      <c r="T44" s="1572"/>
      <c r="U44" s="1572"/>
      <c r="V44" s="1572"/>
    </row>
    <row r="45" spans="1:26">
      <c r="A45" s="1559" t="s">
        <v>1059</v>
      </c>
      <c r="B45" s="1576">
        <f t="shared" si="131"/>
        <v>242.95398227588385</v>
      </c>
      <c r="C45" s="1576">
        <f t="shared" si="131"/>
        <v>199.59137053614126</v>
      </c>
      <c r="D45" s="1576">
        <f t="shared" si="117"/>
        <v>199.59137053614126</v>
      </c>
      <c r="E45" s="1576">
        <f t="shared" si="132"/>
        <v>335.92189522342125</v>
      </c>
      <c r="F45" s="1576">
        <f t="shared" si="132"/>
        <v>183.10139991109489</v>
      </c>
      <c r="G45" s="3107">
        <v>2010</v>
      </c>
      <c r="H45" s="1563">
        <v>2</v>
      </c>
      <c r="I45" s="1563">
        <v>4.6900000000000004</v>
      </c>
      <c r="J45" s="1563">
        <v>3.55</v>
      </c>
      <c r="K45" s="1563">
        <v>5.07</v>
      </c>
      <c r="L45" s="1578">
        <v>4.2300000000000004</v>
      </c>
      <c r="N45" s="1571">
        <f t="shared" si="119"/>
        <v>4.6900000000000004E-2</v>
      </c>
      <c r="O45" s="1572">
        <f t="shared" si="119"/>
        <v>3.5499999999999997E-2</v>
      </c>
      <c r="P45" s="1572">
        <f t="shared" si="119"/>
        <v>5.0700000000000002E-2</v>
      </c>
      <c r="Q45" s="1572">
        <f t="shared" si="119"/>
        <v>4.2300000000000004E-2</v>
      </c>
      <c r="R45" s="1573"/>
      <c r="S45" s="1571"/>
      <c r="T45" s="1572"/>
      <c r="U45" s="1572"/>
      <c r="V45" s="1572"/>
    </row>
    <row r="46" spans="1:26" ht="13.5" thickBot="1">
      <c r="A46" s="1559" t="s">
        <v>1060</v>
      </c>
      <c r="B46" s="1576">
        <f t="shared" si="131"/>
        <v>232.06990378821649</v>
      </c>
      <c r="C46" s="1576">
        <f t="shared" si="131"/>
        <v>192.74878854286936</v>
      </c>
      <c r="D46" s="1576">
        <f t="shared" si="117"/>
        <v>192.74878854286936</v>
      </c>
      <c r="E46" s="1576">
        <f t="shared" si="132"/>
        <v>319.71247284992984</v>
      </c>
      <c r="F46" s="1576">
        <f t="shared" si="132"/>
        <v>175.67053622862409</v>
      </c>
      <c r="G46" s="3108">
        <v>2010</v>
      </c>
      <c r="H46" s="1562">
        <v>1</v>
      </c>
      <c r="I46" s="1562">
        <v>5.4</v>
      </c>
      <c r="J46" s="1562">
        <v>3.2</v>
      </c>
      <c r="K46" s="1562">
        <v>6.16</v>
      </c>
      <c r="L46" s="1577">
        <v>4.51</v>
      </c>
      <c r="N46" s="1571">
        <f t="shared" si="119"/>
        <v>5.4000000000000006E-2</v>
      </c>
      <c r="O46" s="1572">
        <f t="shared" si="119"/>
        <v>3.2000000000000001E-2</v>
      </c>
      <c r="P46" s="1572">
        <f t="shared" si="119"/>
        <v>6.1600000000000002E-2</v>
      </c>
      <c r="Q46" s="1572">
        <f t="shared" si="119"/>
        <v>4.5100000000000001E-2</v>
      </c>
      <c r="R46" s="1573"/>
      <c r="S46" s="1579">
        <f>B46/B47-1</f>
        <v>5.4863199037347599E-2</v>
      </c>
      <c r="T46" s="1580">
        <f>C46/C47-1</f>
        <v>3.0742184721226584E-2</v>
      </c>
      <c r="U46" s="1580">
        <f>E46/E47-1</f>
        <v>6.2167683886810154E-2</v>
      </c>
      <c r="V46" s="1580">
        <f>F46/F47-1</f>
        <v>4.5657953741810031E-2</v>
      </c>
      <c r="X46" s="1558"/>
      <c r="Y46" s="1558"/>
      <c r="Z46" s="1558"/>
    </row>
    <row r="47" spans="1:26" ht="13.5" thickBot="1">
      <c r="A47" s="1559" t="s">
        <v>1061</v>
      </c>
      <c r="B47" s="1568">
        <v>220</v>
      </c>
      <c r="C47" s="1568">
        <v>187</v>
      </c>
      <c r="D47" s="1568">
        <f t="shared" si="117"/>
        <v>187</v>
      </c>
      <c r="E47" s="1568">
        <v>301</v>
      </c>
      <c r="F47" s="1569">
        <v>168</v>
      </c>
      <c r="G47" s="3106">
        <v>2009</v>
      </c>
      <c r="H47" s="1581">
        <v>4</v>
      </c>
      <c r="I47" s="1581">
        <v>2.2999999999999998</v>
      </c>
      <c r="J47" s="1581">
        <v>1.04</v>
      </c>
      <c r="K47" s="1581">
        <v>2.84</v>
      </c>
      <c r="L47" s="1582">
        <v>0.67</v>
      </c>
      <c r="N47" s="1583">
        <f t="shared" si="119"/>
        <v>2.3E-2</v>
      </c>
      <c r="O47" s="1584">
        <f t="shared" si="119"/>
        <v>1.04E-2</v>
      </c>
      <c r="P47" s="1584">
        <f t="shared" si="119"/>
        <v>2.8399999999999998E-2</v>
      </c>
      <c r="Q47" s="1584">
        <f t="shared" si="119"/>
        <v>6.7000000000000002E-3</v>
      </c>
      <c r="R47" s="1573"/>
      <c r="S47" s="1574"/>
      <c r="T47" s="1575"/>
      <c r="U47" s="1575"/>
      <c r="V47" s="1575"/>
      <c r="X47" s="1575"/>
      <c r="Y47" s="1575"/>
      <c r="Z47" s="1575"/>
    </row>
    <row r="48" spans="1:26">
      <c r="A48" s="1559" t="s">
        <v>1062</v>
      </c>
      <c r="B48" s="1576">
        <f t="shared" ref="B48:C50" si="133">B47/(1+N47)</f>
        <v>215.05376344086022</v>
      </c>
      <c r="C48" s="1576">
        <f t="shared" si="133"/>
        <v>185.0752177355503</v>
      </c>
      <c r="D48" s="1576">
        <f t="shared" si="117"/>
        <v>185.0752177355503</v>
      </c>
      <c r="E48" s="1576">
        <f t="shared" ref="E48:F50" si="134">E47/(1+P47)</f>
        <v>292.68767016725008</v>
      </c>
      <c r="F48" s="1576">
        <f t="shared" si="134"/>
        <v>166.88189132810174</v>
      </c>
      <c r="G48" s="3107">
        <v>2009</v>
      </c>
      <c r="H48" s="1586">
        <v>3</v>
      </c>
      <c r="I48" s="1586">
        <v>2.1</v>
      </c>
      <c r="J48" s="1586">
        <v>1.86</v>
      </c>
      <c r="K48" s="1586">
        <v>2.29</v>
      </c>
      <c r="L48" s="1587">
        <v>0.85</v>
      </c>
      <c r="N48" s="1571">
        <f t="shared" si="119"/>
        <v>2.1000000000000001E-2</v>
      </c>
      <c r="O48" s="1588">
        <f t="shared" si="119"/>
        <v>1.8600000000000002E-2</v>
      </c>
      <c r="P48" s="1588">
        <f t="shared" si="119"/>
        <v>2.29E-2</v>
      </c>
      <c r="Q48" s="1588">
        <f t="shared" si="119"/>
        <v>8.5000000000000006E-3</v>
      </c>
      <c r="R48" s="1573"/>
      <c r="S48" s="1571"/>
      <c r="T48" s="1572"/>
      <c r="U48" s="1572"/>
      <c r="V48" s="1572"/>
    </row>
    <row r="49" spans="1:26">
      <c r="A49" s="1559" t="s">
        <v>1063</v>
      </c>
      <c r="B49" s="1576">
        <f t="shared" si="133"/>
        <v>210.630522469011</v>
      </c>
      <c r="C49" s="1576">
        <f t="shared" si="133"/>
        <v>181.69567812247232</v>
      </c>
      <c r="D49" s="1576">
        <f t="shared" si="117"/>
        <v>181.69567812247232</v>
      </c>
      <c r="E49" s="1576">
        <f t="shared" si="134"/>
        <v>286.13517466736738</v>
      </c>
      <c r="F49" s="1576">
        <f t="shared" si="134"/>
        <v>165.47535084591149</v>
      </c>
      <c r="G49" s="3107">
        <v>2009</v>
      </c>
      <c r="H49" s="1563">
        <v>2</v>
      </c>
      <c r="I49" s="1563">
        <v>0.86</v>
      </c>
      <c r="J49" s="1563">
        <v>-1.1299999999999999</v>
      </c>
      <c r="K49" s="1563">
        <v>1.79</v>
      </c>
      <c r="L49" s="1578">
        <v>-2.0699999999999998</v>
      </c>
      <c r="N49" s="1571">
        <f t="shared" si="119"/>
        <v>8.6E-3</v>
      </c>
      <c r="O49" s="1588">
        <f t="shared" si="119"/>
        <v>-1.1299999999999999E-2</v>
      </c>
      <c r="P49" s="1588">
        <f t="shared" si="119"/>
        <v>1.7899999999999999E-2</v>
      </c>
      <c r="Q49" s="1588">
        <f t="shared" si="119"/>
        <v>-2.07E-2</v>
      </c>
      <c r="R49" s="1573"/>
      <c r="S49" s="1571"/>
      <c r="T49" s="1572"/>
      <c r="U49" s="1572"/>
      <c r="V49" s="1572"/>
    </row>
    <row r="50" spans="1:26">
      <c r="A50" s="1559" t="s">
        <v>1064</v>
      </c>
      <c r="B50" s="1576">
        <f t="shared" si="133"/>
        <v>208.83454537875372</v>
      </c>
      <c r="C50" s="1576">
        <f t="shared" si="133"/>
        <v>183.77230517090351</v>
      </c>
      <c r="D50" s="1576">
        <f t="shared" si="117"/>
        <v>183.77230517090351</v>
      </c>
      <c r="E50" s="1576">
        <f t="shared" si="134"/>
        <v>281.10342338870947</v>
      </c>
      <c r="F50" s="1576">
        <f t="shared" si="134"/>
        <v>168.97309388942256</v>
      </c>
      <c r="G50" s="3108">
        <v>2009</v>
      </c>
      <c r="H50" s="1562">
        <v>1</v>
      </c>
      <c r="I50" s="1562">
        <v>-2.64</v>
      </c>
      <c r="J50" s="1562">
        <v>-2.5299999999999998</v>
      </c>
      <c r="K50" s="1562">
        <v>-3.02</v>
      </c>
      <c r="L50" s="1577">
        <v>1.52</v>
      </c>
      <c r="N50" s="1579">
        <f t="shared" si="119"/>
        <v>-2.64E-2</v>
      </c>
      <c r="O50" s="1580">
        <f t="shared" si="119"/>
        <v>-2.53E-2</v>
      </c>
      <c r="P50" s="1580">
        <f t="shared" si="119"/>
        <v>-3.0200000000000001E-2</v>
      </c>
      <c r="Q50" s="1580">
        <f t="shared" si="119"/>
        <v>1.52E-2</v>
      </c>
      <c r="R50" s="1573"/>
      <c r="S50" s="1579">
        <f>B50/B51-1</f>
        <v>-2.4137638417038754E-2</v>
      </c>
      <c r="T50" s="1580">
        <f>C50/C51-1</f>
        <v>-2.248773845264096E-2</v>
      </c>
      <c r="U50" s="1580">
        <f>E50/E51-1</f>
        <v>-2.7323794502735366E-2</v>
      </c>
      <c r="V50" s="1580">
        <f>F50/F51-1</f>
        <v>1.7910204153148035E-2</v>
      </c>
      <c r="X50" s="1558"/>
      <c r="Y50" s="1558"/>
      <c r="Z50" s="1558"/>
    </row>
    <row r="51" spans="1:26" ht="13.5" thickBot="1">
      <c r="A51" s="1559" t="s">
        <v>1065</v>
      </c>
      <c r="B51" s="1610">
        <v>214</v>
      </c>
      <c r="C51" s="1610">
        <v>188</v>
      </c>
      <c r="D51" s="1610">
        <f t="shared" si="117"/>
        <v>188</v>
      </c>
      <c r="E51" s="1610">
        <v>289</v>
      </c>
      <c r="F51" s="1611">
        <v>166</v>
      </c>
      <c r="G51" s="3106">
        <v>2008</v>
      </c>
      <c r="H51" s="1581">
        <v>4</v>
      </c>
      <c r="I51" s="1581">
        <v>1.73</v>
      </c>
      <c r="J51" s="1581">
        <v>0.03</v>
      </c>
      <c r="K51" s="1581">
        <v>2.59</v>
      </c>
      <c r="L51" s="1582">
        <v>-1.66</v>
      </c>
      <c r="N51" s="1571">
        <f t="shared" si="119"/>
        <v>1.7299999999999999E-2</v>
      </c>
      <c r="O51" s="1572">
        <f t="shared" si="119"/>
        <v>2.9999999999999997E-4</v>
      </c>
      <c r="P51" s="1572">
        <f t="shared" si="119"/>
        <v>2.5899999999999999E-2</v>
      </c>
      <c r="Q51" s="1572">
        <f t="shared" si="119"/>
        <v>-1.66E-2</v>
      </c>
      <c r="R51" s="1573"/>
      <c r="S51" s="1574"/>
      <c r="T51" s="1575"/>
      <c r="U51" s="1575"/>
      <c r="V51" s="1575"/>
      <c r="X51" s="1575"/>
      <c r="Y51" s="1575"/>
      <c r="Z51" s="1575"/>
    </row>
    <row r="52" spans="1:26">
      <c r="A52" s="1559" t="s">
        <v>1066</v>
      </c>
      <c r="B52" s="1576">
        <f t="shared" ref="B52:C54" si="135">B51/(1+N51)</f>
        <v>210.36075887152265</v>
      </c>
      <c r="C52" s="1576">
        <f t="shared" si="135"/>
        <v>187.94361691492554</v>
      </c>
      <c r="D52" s="1576">
        <f t="shared" si="117"/>
        <v>187.94361691492554</v>
      </c>
      <c r="E52" s="1576">
        <f t="shared" ref="E52:F54" si="136">E51/(1+P51)</f>
        <v>281.70386977288234</v>
      </c>
      <c r="F52" s="1576">
        <f t="shared" si="136"/>
        <v>168.80211511083994</v>
      </c>
      <c r="G52" s="3107">
        <v>2008</v>
      </c>
      <c r="H52" s="1586">
        <v>3</v>
      </c>
      <c r="I52" s="1586">
        <v>1.96</v>
      </c>
      <c r="J52" s="1586">
        <v>2.36</v>
      </c>
      <c r="K52" s="1586">
        <v>1.82</v>
      </c>
      <c r="L52" s="1587">
        <v>2.2200000000000002</v>
      </c>
      <c r="N52" s="1571">
        <f t="shared" si="119"/>
        <v>1.9599999999999999E-2</v>
      </c>
      <c r="O52" s="1572">
        <f t="shared" si="119"/>
        <v>2.3599999999999999E-2</v>
      </c>
      <c r="P52" s="1572">
        <f t="shared" si="119"/>
        <v>1.8200000000000001E-2</v>
      </c>
      <c r="Q52" s="1572">
        <f t="shared" si="119"/>
        <v>2.2200000000000001E-2</v>
      </c>
      <c r="R52" s="1573"/>
      <c r="S52" s="1571"/>
      <c r="T52" s="1572"/>
      <c r="U52" s="1572"/>
      <c r="V52" s="1572"/>
    </row>
    <row r="53" spans="1:26">
      <c r="A53" s="1559" t="s">
        <v>1067</v>
      </c>
      <c r="B53" s="1576">
        <f t="shared" si="135"/>
        <v>206.31694671589116</v>
      </c>
      <c r="C53" s="1576">
        <f t="shared" si="135"/>
        <v>183.61041121036101</v>
      </c>
      <c r="D53" s="1576">
        <f t="shared" si="117"/>
        <v>183.61041121036101</v>
      </c>
      <c r="E53" s="1576">
        <f t="shared" si="136"/>
        <v>276.66850301795557</v>
      </c>
      <c r="F53" s="1576">
        <f t="shared" si="136"/>
        <v>165.1360938278614</v>
      </c>
      <c r="G53" s="3107">
        <v>2008</v>
      </c>
      <c r="H53" s="1563">
        <v>2</v>
      </c>
      <c r="I53" s="1563">
        <v>4.93</v>
      </c>
      <c r="J53" s="1563">
        <v>7.38</v>
      </c>
      <c r="K53" s="1563">
        <v>3.98</v>
      </c>
      <c r="L53" s="1578">
        <v>6.86</v>
      </c>
      <c r="N53" s="1571">
        <f t="shared" si="119"/>
        <v>4.9299999999999997E-2</v>
      </c>
      <c r="O53" s="1572">
        <f t="shared" si="119"/>
        <v>7.3800000000000004E-2</v>
      </c>
      <c r="P53" s="1572">
        <f t="shared" si="119"/>
        <v>3.9800000000000002E-2</v>
      </c>
      <c r="Q53" s="1572">
        <f t="shared" si="119"/>
        <v>6.8600000000000008E-2</v>
      </c>
      <c r="R53" s="1573"/>
      <c r="S53" s="1571"/>
      <c r="T53" s="1572"/>
      <c r="U53" s="1572"/>
      <c r="V53" s="1572"/>
    </row>
    <row r="54" spans="1:26" s="1616" customFormat="1" ht="13.5" thickBot="1">
      <c r="A54" s="1559" t="s">
        <v>1068</v>
      </c>
      <c r="B54" s="1613">
        <f t="shared" si="135"/>
        <v>196.62341248059772</v>
      </c>
      <c r="C54" s="1613">
        <f t="shared" si="135"/>
        <v>170.99125648199012</v>
      </c>
      <c r="D54" s="1613">
        <f t="shared" si="117"/>
        <v>170.99125648199012</v>
      </c>
      <c r="E54" s="1613">
        <f t="shared" si="136"/>
        <v>266.07857570490052</v>
      </c>
      <c r="F54" s="1613">
        <f t="shared" si="136"/>
        <v>154.53499328828505</v>
      </c>
      <c r="G54" s="3108">
        <v>2008</v>
      </c>
      <c r="H54" s="1614">
        <v>1</v>
      </c>
      <c r="I54" s="1614">
        <v>4.1399999999999997</v>
      </c>
      <c r="J54" s="1614">
        <v>3.45</v>
      </c>
      <c r="K54" s="1614">
        <v>4.95</v>
      </c>
      <c r="L54" s="1615">
        <v>4.82</v>
      </c>
      <c r="N54" s="1617">
        <f t="shared" si="119"/>
        <v>4.1399999999999999E-2</v>
      </c>
      <c r="O54" s="1618">
        <f t="shared" si="119"/>
        <v>3.4500000000000003E-2</v>
      </c>
      <c r="P54" s="1618">
        <f t="shared" si="119"/>
        <v>4.9500000000000002E-2</v>
      </c>
      <c r="Q54" s="1618">
        <f t="shared" si="119"/>
        <v>4.82E-2</v>
      </c>
      <c r="R54" s="1619"/>
      <c r="S54" s="1617">
        <f>B54/B55-1</f>
        <v>4.5869215322328349E-2</v>
      </c>
      <c r="T54" s="1618">
        <f>C54/C55-1</f>
        <v>3.6310645345394743E-2</v>
      </c>
      <c r="U54" s="1618">
        <f>E54/E55-1</f>
        <v>4.7553447657088688E-2</v>
      </c>
      <c r="V54" s="1618">
        <f>F54/F55-1</f>
        <v>4.4155360055980086E-2</v>
      </c>
      <c r="X54" s="1620"/>
      <c r="Y54" s="1620"/>
      <c r="Z54" s="1620"/>
    </row>
    <row r="55" spans="1:26" ht="13.5" thickBot="1">
      <c r="A55" s="1559" t="s">
        <v>1069</v>
      </c>
      <c r="B55" s="1568">
        <v>188</v>
      </c>
      <c r="C55" s="1568">
        <v>165</v>
      </c>
      <c r="D55" s="1568">
        <f t="shared" si="117"/>
        <v>165</v>
      </c>
      <c r="E55" s="1568">
        <v>254</v>
      </c>
      <c r="F55" s="1569">
        <v>148</v>
      </c>
      <c r="G55" s="3106">
        <v>2007</v>
      </c>
      <c r="H55" s="1621">
        <v>4</v>
      </c>
      <c r="I55" s="1621">
        <v>5.51</v>
      </c>
      <c r="J55" s="1621">
        <v>4.8899999999999997</v>
      </c>
      <c r="K55" s="1621">
        <v>6.43</v>
      </c>
      <c r="L55" s="1622">
        <v>5.36</v>
      </c>
      <c r="N55" s="1623">
        <f t="shared" ref="N55:O58" si="137">B55/B56-1</f>
        <v>4.1339718365245526E-2</v>
      </c>
      <c r="O55" s="1624">
        <f t="shared" si="137"/>
        <v>4.0324492593776018E-2</v>
      </c>
      <c r="P55" s="1624">
        <f t="shared" ref="P55:Q58" si="138">E55/E56-1</f>
        <v>6.1625555347990968E-2</v>
      </c>
      <c r="Q55" s="1624">
        <f t="shared" si="138"/>
        <v>4.6757569250590603E-2</v>
      </c>
      <c r="R55" s="1573"/>
      <c r="S55" s="1574"/>
      <c r="T55" s="1575"/>
      <c r="U55" s="1575"/>
      <c r="V55" s="1575"/>
      <c r="X55" s="1575"/>
      <c r="Y55" s="1575"/>
      <c r="Z55" s="1575"/>
    </row>
    <row r="56" spans="1:26">
      <c r="A56" s="1559" t="s">
        <v>1070</v>
      </c>
      <c r="B56" s="1576">
        <f t="shared" ref="B56:C58" si="139">B57+(B$55-B$59)*I56/SUM(I$55:I$58)</f>
        <v>180.5366651097618</v>
      </c>
      <c r="C56" s="1576">
        <f t="shared" si="139"/>
        <v>158.60435967302453</v>
      </c>
      <c r="D56" s="1576">
        <f t="shared" si="117"/>
        <v>158.60435967302453</v>
      </c>
      <c r="E56" s="1576">
        <f t="shared" ref="E56:F58" si="140">E57+(E$55-E$59)*K56/SUM(K$55:K$58)</f>
        <v>239.25573260785075</v>
      </c>
      <c r="F56" s="1576">
        <f t="shared" si="140"/>
        <v>141.38899430740037</v>
      </c>
      <c r="G56" s="3107">
        <v>2007</v>
      </c>
      <c r="H56" s="1586">
        <v>3</v>
      </c>
      <c r="I56" s="1586">
        <v>8.65</v>
      </c>
      <c r="J56" s="1586">
        <v>8.06</v>
      </c>
      <c r="K56" s="1586">
        <v>9.94</v>
      </c>
      <c r="L56" s="1587">
        <v>5.8</v>
      </c>
      <c r="N56" s="1623">
        <f t="shared" si="137"/>
        <v>6.940217571740015E-2</v>
      </c>
      <c r="O56" s="1624">
        <f t="shared" si="137"/>
        <v>7.1197482471153428E-2</v>
      </c>
      <c r="P56" s="1624">
        <f t="shared" si="138"/>
        <v>0.10529679922579582</v>
      </c>
      <c r="Q56" s="1624">
        <f t="shared" si="138"/>
        <v>5.3292245059512133E-2</v>
      </c>
      <c r="R56" s="1573"/>
      <c r="S56" s="1571"/>
      <c r="T56" s="1572"/>
      <c r="U56" s="1572"/>
      <c r="V56" s="1572"/>
      <c r="X56" s="1625"/>
      <c r="Y56" s="1625"/>
      <c r="Z56" s="1625"/>
    </row>
    <row r="57" spans="1:26">
      <c r="A57" s="1559" t="s">
        <v>1071</v>
      </c>
      <c r="B57" s="1576">
        <f t="shared" si="139"/>
        <v>168.82017748715555</v>
      </c>
      <c r="C57" s="1576">
        <f t="shared" si="139"/>
        <v>148.06267029972753</v>
      </c>
      <c r="D57" s="1576">
        <f t="shared" si="117"/>
        <v>148.06267029972753</v>
      </c>
      <c r="E57" s="1576">
        <f t="shared" si="140"/>
        <v>216.46288379323747</v>
      </c>
      <c r="F57" s="1576">
        <f t="shared" si="140"/>
        <v>134.23529411764704</v>
      </c>
      <c r="G57" s="3107">
        <v>2007</v>
      </c>
      <c r="H57" s="1563">
        <v>2</v>
      </c>
      <c r="I57" s="1563">
        <v>3.67</v>
      </c>
      <c r="J57" s="1563">
        <v>2.3199999999999998</v>
      </c>
      <c r="K57" s="1563">
        <v>5.0199999999999996</v>
      </c>
      <c r="L57" s="1578">
        <v>6.71</v>
      </c>
      <c r="N57" s="1623">
        <f t="shared" si="137"/>
        <v>3.0339138143848032E-2</v>
      </c>
      <c r="O57" s="1624">
        <f t="shared" si="137"/>
        <v>2.0922341588790472E-2</v>
      </c>
      <c r="P57" s="1624">
        <f t="shared" si="138"/>
        <v>5.6164796592717003E-2</v>
      </c>
      <c r="Q57" s="1624">
        <f t="shared" si="138"/>
        <v>6.5704536723887319E-2</v>
      </c>
      <c r="R57" s="1573"/>
      <c r="S57" s="1571"/>
      <c r="T57" s="1572"/>
      <c r="U57" s="1572"/>
      <c r="V57" s="1572"/>
      <c r="X57" s="1625"/>
      <c r="Y57" s="1625"/>
      <c r="Z57" s="1625"/>
    </row>
    <row r="58" spans="1:26">
      <c r="A58" s="1559" t="s">
        <v>1072</v>
      </c>
      <c r="B58" s="1576">
        <f t="shared" si="139"/>
        <v>163.84913591779542</v>
      </c>
      <c r="C58" s="1576">
        <f t="shared" si="139"/>
        <v>145.0283378746594</v>
      </c>
      <c r="D58" s="1576">
        <f t="shared" si="117"/>
        <v>145.0283378746594</v>
      </c>
      <c r="E58" s="1576">
        <f t="shared" si="140"/>
        <v>204.95180722891567</v>
      </c>
      <c r="F58" s="1576">
        <f t="shared" si="140"/>
        <v>125.95920303605313</v>
      </c>
      <c r="G58" s="3108">
        <v>2007</v>
      </c>
      <c r="H58" s="1562">
        <v>1</v>
      </c>
      <c r="I58" s="1562">
        <v>3.58</v>
      </c>
      <c r="J58" s="1562">
        <v>3.08</v>
      </c>
      <c r="K58" s="1562">
        <v>4.34</v>
      </c>
      <c r="L58" s="1577">
        <v>3.21</v>
      </c>
      <c r="N58" s="1626">
        <f t="shared" si="137"/>
        <v>3.0497710174814063E-2</v>
      </c>
      <c r="O58" s="1627">
        <f t="shared" si="137"/>
        <v>2.8569772160704998E-2</v>
      </c>
      <c r="P58" s="1627">
        <f t="shared" si="138"/>
        <v>5.1034908866234296E-2</v>
      </c>
      <c r="Q58" s="1627">
        <f t="shared" si="138"/>
        <v>3.245248390207478E-2</v>
      </c>
      <c r="R58" s="1573"/>
      <c r="S58" s="1579">
        <f>B58/B59-1</f>
        <v>3.0497710174814063E-2</v>
      </c>
      <c r="T58" s="1580">
        <f>C58/C59-1</f>
        <v>2.8569772160704998E-2</v>
      </c>
      <c r="U58" s="1580">
        <f>E58/E59-1</f>
        <v>5.1034908866234296E-2</v>
      </c>
      <c r="V58" s="1580">
        <f>F58/F59-1</f>
        <v>3.245248390207478E-2</v>
      </c>
      <c r="X58" s="1625"/>
      <c r="Y58" s="1625"/>
      <c r="Z58" s="1625"/>
    </row>
    <row r="59" spans="1:26" ht="13.5" thickBot="1">
      <c r="A59" s="1559" t="s">
        <v>1073</v>
      </c>
      <c r="B59" s="1589">
        <v>159</v>
      </c>
      <c r="C59" s="1589">
        <v>141</v>
      </c>
      <c r="D59" s="1589">
        <f t="shared" si="117"/>
        <v>141</v>
      </c>
      <c r="E59" s="1589">
        <v>195</v>
      </c>
      <c r="F59" s="1590">
        <v>122</v>
      </c>
      <c r="G59" s="3106">
        <v>2006</v>
      </c>
      <c r="H59" s="1581">
        <v>4</v>
      </c>
      <c r="I59" s="1581">
        <v>3.79</v>
      </c>
      <c r="J59" s="1581">
        <v>2.21</v>
      </c>
      <c r="K59" s="1581">
        <v>5.65</v>
      </c>
      <c r="L59" s="1582">
        <v>5.41</v>
      </c>
      <c r="N59" s="1623">
        <f t="shared" ref="N59:O62" si="141">I59/SUM(I$59:I$62)*(B$59/B$63-1)</f>
        <v>7.245466462748526E-2</v>
      </c>
      <c r="O59" s="1624">
        <f t="shared" si="141"/>
        <v>2.3237230038062766E-2</v>
      </c>
      <c r="P59" s="1624">
        <f t="shared" ref="P59:Q62" si="142">K59/SUM(K$59:K$62)*(E$59/E$63-1)</f>
        <v>0.16146893866323722</v>
      </c>
      <c r="Q59" s="1624">
        <f t="shared" si="142"/>
        <v>5.0755230321793784E-2</v>
      </c>
      <c r="R59" s="1573"/>
      <c r="S59" s="1574"/>
      <c r="T59" s="1575"/>
      <c r="U59" s="1575"/>
      <c r="V59" s="1575"/>
      <c r="X59" s="1625"/>
      <c r="Y59" s="1625"/>
      <c r="Z59" s="1625"/>
    </row>
    <row r="60" spans="1:26">
      <c r="A60" s="1559" t="s">
        <v>1074</v>
      </c>
      <c r="B60" s="1576">
        <f t="shared" ref="B60:C62" si="143">B61+(B$59-B$63)*I60/SUM(I$59:I$62)</f>
        <v>149.00125628140702</v>
      </c>
      <c r="C60" s="1576">
        <f t="shared" si="143"/>
        <v>137.95592286501378</v>
      </c>
      <c r="D60" s="1576">
        <f t="shared" si="117"/>
        <v>137.95592286501378</v>
      </c>
      <c r="E60" s="1576">
        <f t="shared" ref="E60:F62" si="144">E61+(E$59-E$63)*K60/SUM(K$59:K$62)</f>
        <v>169.97231450719823</v>
      </c>
      <c r="F60" s="1576">
        <f t="shared" si="144"/>
        <v>116.21390374331551</v>
      </c>
      <c r="G60" s="3107">
        <v>2006</v>
      </c>
      <c r="H60" s="1586">
        <v>3</v>
      </c>
      <c r="I60" s="1586">
        <v>0.92</v>
      </c>
      <c r="J60" s="1586">
        <v>1.08</v>
      </c>
      <c r="K60" s="1586">
        <v>0.73</v>
      </c>
      <c r="L60" s="1587">
        <v>1.08</v>
      </c>
      <c r="N60" s="1623">
        <f t="shared" si="141"/>
        <v>1.7587939698492462E-2</v>
      </c>
      <c r="O60" s="1624">
        <f t="shared" si="141"/>
        <v>1.1355750425840628E-2</v>
      </c>
      <c r="P60" s="1624">
        <f t="shared" si="142"/>
        <v>2.0862358446754544E-2</v>
      </c>
      <c r="Q60" s="1624">
        <f t="shared" si="142"/>
        <v>1.0132282578103011E-2</v>
      </c>
      <c r="R60" s="1573"/>
      <c r="S60" s="1571"/>
      <c r="T60" s="1572"/>
      <c r="U60" s="1572"/>
      <c r="V60" s="1572"/>
      <c r="X60" s="1625"/>
      <c r="Y60" s="1625"/>
      <c r="Z60" s="1625"/>
    </row>
    <row r="61" spans="1:26">
      <c r="A61" s="1559" t="s">
        <v>1075</v>
      </c>
      <c r="B61" s="1576">
        <f t="shared" si="143"/>
        <v>146.57412060301507</v>
      </c>
      <c r="C61" s="1576">
        <f t="shared" si="143"/>
        <v>136.46831955922866</v>
      </c>
      <c r="D61" s="1576">
        <f t="shared" si="117"/>
        <v>136.46831955922866</v>
      </c>
      <c r="E61" s="1576">
        <f t="shared" si="144"/>
        <v>166.73864894795128</v>
      </c>
      <c r="F61" s="1576">
        <f t="shared" si="144"/>
        <v>115.05882352941177</v>
      </c>
      <c r="G61" s="3107">
        <v>2006</v>
      </c>
      <c r="H61" s="1563">
        <v>2</v>
      </c>
      <c r="I61" s="1563">
        <v>0.96</v>
      </c>
      <c r="J61" s="1563">
        <v>0.25</v>
      </c>
      <c r="K61" s="1563">
        <v>1.9</v>
      </c>
      <c r="L61" s="1578">
        <v>0.95</v>
      </c>
      <c r="N61" s="1623">
        <f t="shared" si="141"/>
        <v>1.8352632728861701E-2</v>
      </c>
      <c r="O61" s="1624">
        <f t="shared" si="141"/>
        <v>2.6286459319075526E-3</v>
      </c>
      <c r="P61" s="1624">
        <f t="shared" si="142"/>
        <v>5.4299289107991269E-2</v>
      </c>
      <c r="Q61" s="1624">
        <f t="shared" si="142"/>
        <v>8.9126559714794995E-3</v>
      </c>
      <c r="R61" s="1573"/>
      <c r="S61" s="1571"/>
      <c r="T61" s="1572"/>
      <c r="U61" s="1572"/>
      <c r="V61" s="1572"/>
      <c r="X61" s="1625"/>
      <c r="Y61" s="1625"/>
      <c r="Z61" s="1625"/>
    </row>
    <row r="62" spans="1:26">
      <c r="A62" s="1559" t="s">
        <v>1076</v>
      </c>
      <c r="B62" s="1576">
        <f t="shared" si="143"/>
        <v>144.04145728643215</v>
      </c>
      <c r="C62" s="1576">
        <f t="shared" si="143"/>
        <v>136.12396694214877</v>
      </c>
      <c r="D62" s="1576">
        <f t="shared" si="117"/>
        <v>136.12396694214877</v>
      </c>
      <c r="E62" s="1576">
        <f t="shared" si="144"/>
        <v>158.32225913621264</v>
      </c>
      <c r="F62" s="1576">
        <f t="shared" si="144"/>
        <v>114.04278074866311</v>
      </c>
      <c r="G62" s="3108">
        <v>2006</v>
      </c>
      <c r="H62" s="1562">
        <v>1</v>
      </c>
      <c r="I62" s="1562">
        <v>2.29</v>
      </c>
      <c r="J62" s="1562">
        <v>3.72</v>
      </c>
      <c r="K62" s="1562">
        <v>0.75</v>
      </c>
      <c r="L62" s="1577">
        <v>0.04</v>
      </c>
      <c r="N62" s="1626">
        <f t="shared" si="141"/>
        <v>4.3778675988638847E-2</v>
      </c>
      <c r="O62" s="1627">
        <f t="shared" si="141"/>
        <v>3.9114251466784385E-2</v>
      </c>
      <c r="P62" s="1627">
        <f t="shared" si="142"/>
        <v>2.1433929911049188E-2</v>
      </c>
      <c r="Q62" s="1627">
        <f t="shared" si="142"/>
        <v>3.7526972511492629E-4</v>
      </c>
      <c r="R62" s="1573"/>
      <c r="S62" s="1579">
        <f>B62/B63-1</f>
        <v>4.3778675988638716E-2</v>
      </c>
      <c r="T62" s="1580">
        <f>C62/C63-1</f>
        <v>3.91142514667846E-2</v>
      </c>
      <c r="U62" s="1580">
        <f>E62/E63-1</f>
        <v>2.143392991104931E-2</v>
      </c>
      <c r="V62" s="1580">
        <f>F62/F63-1</f>
        <v>3.7526972511492396E-4</v>
      </c>
      <c r="X62" s="1625"/>
      <c r="Y62" s="1625"/>
      <c r="Z62" s="1625"/>
    </row>
    <row r="63" spans="1:26" ht="13.5" thickBot="1">
      <c r="A63" s="1559" t="s">
        <v>1077</v>
      </c>
      <c r="B63" s="1589">
        <v>138</v>
      </c>
      <c r="C63" s="1589">
        <v>131</v>
      </c>
      <c r="D63" s="1589">
        <f t="shared" si="117"/>
        <v>131</v>
      </c>
      <c r="E63" s="1589">
        <v>155</v>
      </c>
      <c r="F63" s="1590">
        <v>114</v>
      </c>
      <c r="G63" s="3106">
        <v>2005</v>
      </c>
      <c r="H63" s="1581">
        <v>4</v>
      </c>
      <c r="I63" s="1581">
        <v>3.29</v>
      </c>
      <c r="J63" s="1581">
        <v>1.44</v>
      </c>
      <c r="K63" s="1581">
        <v>0.66</v>
      </c>
      <c r="L63" s="1582">
        <v>7.78</v>
      </c>
      <c r="N63" s="1623">
        <f t="shared" ref="N63:O66" si="145">I63/SUM(I$63:I$66)*(B$63/B$67-1)</f>
        <v>9.9404603216919935E-2</v>
      </c>
      <c r="O63" s="1624">
        <f t="shared" si="145"/>
        <v>4.7636550760861554E-2</v>
      </c>
      <c r="P63" s="1624">
        <f t="shared" ref="P63:Q66" si="146">K63/SUM(K$63:K$66)*(E$63/E$67-1)</f>
        <v>8.3756345177664976E-2</v>
      </c>
      <c r="Q63" s="1624">
        <f t="shared" si="146"/>
        <v>5.2148766661559584E-2</v>
      </c>
      <c r="R63" s="1573"/>
      <c r="S63" s="1574"/>
      <c r="T63" s="1575"/>
      <c r="U63" s="1575"/>
      <c r="V63" s="1575"/>
      <c r="X63" s="1625"/>
      <c r="Y63" s="1625"/>
      <c r="Z63" s="1625"/>
    </row>
    <row r="64" spans="1:26">
      <c r="A64" s="1559" t="s">
        <v>1078</v>
      </c>
      <c r="B64" s="1576">
        <f t="shared" ref="B64:C66" si="147">B65+(B$63-B$67)*I64/SUM(I$63:I$66)</f>
        <v>125.9720430107527</v>
      </c>
      <c r="C64" s="1576">
        <f t="shared" si="147"/>
        <v>125.1883408071749</v>
      </c>
      <c r="D64" s="1576">
        <f t="shared" si="117"/>
        <v>125.1883408071749</v>
      </c>
      <c r="E64" s="1576">
        <f t="shared" ref="E64:F66" si="148">E65+(E$63-E$67)*K64/SUM(K$63:K$66)</f>
        <v>144.61421319796952</v>
      </c>
      <c r="F64" s="1576">
        <f t="shared" si="148"/>
        <v>108.42008196721311</v>
      </c>
      <c r="G64" s="3107">
        <v>2005</v>
      </c>
      <c r="H64" s="1586">
        <v>3</v>
      </c>
      <c r="I64" s="1586">
        <v>0.46</v>
      </c>
      <c r="J64" s="1586">
        <v>0.32</v>
      </c>
      <c r="K64" s="1586">
        <v>0.42</v>
      </c>
      <c r="L64" s="1587">
        <v>0.64</v>
      </c>
      <c r="N64" s="1623">
        <f t="shared" si="145"/>
        <v>1.3898515951301874E-2</v>
      </c>
      <c r="O64" s="1624">
        <f t="shared" si="145"/>
        <v>1.0585900169080346E-2</v>
      </c>
      <c r="P64" s="1624">
        <f t="shared" si="146"/>
        <v>5.3299492385786795E-2</v>
      </c>
      <c r="Q64" s="1624">
        <f t="shared" si="146"/>
        <v>4.2898728359123568E-3</v>
      </c>
      <c r="R64" s="1573"/>
      <c r="S64" s="1571"/>
      <c r="T64" s="1572"/>
      <c r="U64" s="1572"/>
      <c r="V64" s="1572"/>
      <c r="X64" s="1625"/>
      <c r="Y64" s="1625"/>
      <c r="Z64" s="1625"/>
    </row>
    <row r="65" spans="1:26">
      <c r="A65" s="1559" t="s">
        <v>1079</v>
      </c>
      <c r="B65" s="1576">
        <f t="shared" si="147"/>
        <v>124.29032258064517</v>
      </c>
      <c r="C65" s="1576">
        <f t="shared" si="147"/>
        <v>123.8968609865471</v>
      </c>
      <c r="D65" s="1576">
        <f t="shared" si="117"/>
        <v>123.8968609865471</v>
      </c>
      <c r="E65" s="1576">
        <f t="shared" si="148"/>
        <v>138.00507614213197</v>
      </c>
      <c r="F65" s="1576">
        <f t="shared" si="148"/>
        <v>107.96106557377048</v>
      </c>
      <c r="G65" s="3107">
        <v>2005</v>
      </c>
      <c r="H65" s="1563">
        <v>2</v>
      </c>
      <c r="I65" s="1563">
        <v>0.47</v>
      </c>
      <c r="J65" s="1563">
        <v>0.1</v>
      </c>
      <c r="K65" s="1563">
        <v>0.52</v>
      </c>
      <c r="L65" s="1578">
        <v>0.79</v>
      </c>
      <c r="N65" s="1623">
        <f t="shared" si="145"/>
        <v>1.420065760241713E-2</v>
      </c>
      <c r="O65" s="1624">
        <f t="shared" si="145"/>
        <v>3.3080938028376083E-3</v>
      </c>
      <c r="P65" s="1624">
        <f t="shared" si="146"/>
        <v>6.598984771573603E-2</v>
      </c>
      <c r="Q65" s="1624">
        <f t="shared" si="146"/>
        <v>5.2953117818293153E-3</v>
      </c>
      <c r="R65" s="1573"/>
      <c r="S65" s="1571"/>
      <c r="T65" s="1572"/>
      <c r="U65" s="1572"/>
      <c r="V65" s="1572"/>
      <c r="X65" s="1625"/>
      <c r="Y65" s="1625"/>
      <c r="Z65" s="1625"/>
    </row>
    <row r="66" spans="1:26">
      <c r="A66" s="1559" t="s">
        <v>1080</v>
      </c>
      <c r="B66" s="1576">
        <f t="shared" si="147"/>
        <v>122.57204301075269</v>
      </c>
      <c r="C66" s="1576">
        <f t="shared" si="147"/>
        <v>123.4932735426009</v>
      </c>
      <c r="D66" s="1576">
        <f t="shared" si="117"/>
        <v>123.4932735426009</v>
      </c>
      <c r="E66" s="1576">
        <f t="shared" si="148"/>
        <v>129.82233502538071</v>
      </c>
      <c r="F66" s="1576">
        <f t="shared" si="148"/>
        <v>107.39446721311475</v>
      </c>
      <c r="G66" s="3108">
        <v>2005</v>
      </c>
      <c r="H66" s="1562">
        <v>1</v>
      </c>
      <c r="I66" s="1562">
        <v>0.43</v>
      </c>
      <c r="J66" s="1562">
        <v>0.37</v>
      </c>
      <c r="K66" s="1562">
        <v>0.37</v>
      </c>
      <c r="L66" s="1577">
        <v>0.55000000000000004</v>
      </c>
      <c r="N66" s="1626">
        <f t="shared" si="145"/>
        <v>1.2992090997956099E-2</v>
      </c>
      <c r="O66" s="1627">
        <f t="shared" si="145"/>
        <v>1.2239947070499151E-2</v>
      </c>
      <c r="P66" s="1627">
        <f t="shared" si="146"/>
        <v>4.6954314720812178E-2</v>
      </c>
      <c r="Q66" s="1627">
        <f t="shared" si="146"/>
        <v>3.6866094683621815E-3</v>
      </c>
      <c r="R66" s="1573"/>
      <c r="S66" s="1579">
        <f>B66/B67-1</f>
        <v>1.2992090997956174E-2</v>
      </c>
      <c r="T66" s="1580">
        <f>C66/C67-1</f>
        <v>1.2239947070499246E-2</v>
      </c>
      <c r="U66" s="1580">
        <f>E66/E67-1</f>
        <v>4.695431472081224E-2</v>
      </c>
      <c r="V66" s="1580">
        <f>F66/F67-1</f>
        <v>3.6866094683620787E-3</v>
      </c>
      <c r="X66" s="1625"/>
      <c r="Y66" s="1625"/>
      <c r="Z66" s="1625"/>
    </row>
    <row r="67" spans="1:26" ht="13.5" thickBot="1">
      <c r="A67" s="1559" t="s">
        <v>1081</v>
      </c>
      <c r="B67" s="1610">
        <v>121</v>
      </c>
      <c r="C67" s="1610">
        <v>122</v>
      </c>
      <c r="D67" s="1610">
        <f t="shared" si="117"/>
        <v>122</v>
      </c>
      <c r="E67" s="1610">
        <v>124</v>
      </c>
      <c r="F67" s="1611">
        <v>107</v>
      </c>
      <c r="G67" s="3106">
        <v>2004</v>
      </c>
      <c r="H67" s="1581">
        <v>4</v>
      </c>
      <c r="I67" s="1581">
        <v>0.33</v>
      </c>
      <c r="J67" s="1581">
        <v>0.5</v>
      </c>
      <c r="K67" s="1581">
        <v>0.5</v>
      </c>
      <c r="L67" s="1582">
        <v>0</v>
      </c>
      <c r="N67" s="1623">
        <f t="shared" ref="N67:O70" si="149">I67/SUM(I$67:I$70)*(B$67/B$71-1)</f>
        <v>1.3391770148526898E-2</v>
      </c>
      <c r="O67" s="1624">
        <f t="shared" si="149"/>
        <v>1.063264221158958E-2</v>
      </c>
      <c r="P67" s="1624">
        <f t="shared" ref="P67:Q70" si="150">K67/SUM(K$67:K$70)*(E$67/E$71-1)</f>
        <v>2.2244466688911134E-2</v>
      </c>
      <c r="Q67" s="1624">
        <f t="shared" si="150"/>
        <v>0</v>
      </c>
      <c r="R67" s="1573"/>
      <c r="S67" s="1574"/>
      <c r="T67" s="1575"/>
      <c r="U67" s="1575"/>
      <c r="V67" s="1575"/>
      <c r="X67" s="1625"/>
      <c r="Y67" s="1625"/>
      <c r="Z67" s="1625"/>
    </row>
    <row r="68" spans="1:26">
      <c r="A68" s="1559" t="s">
        <v>1082</v>
      </c>
      <c r="B68" s="1576">
        <f t="shared" ref="B68:C70" si="151">B69+(B$67-B$71)*I68/SUM(I$67:I$70)</f>
        <v>119.51351351351352</v>
      </c>
      <c r="C68" s="1576">
        <f t="shared" si="151"/>
        <v>120.7878787878788</v>
      </c>
      <c r="D68" s="1576">
        <f t="shared" si="117"/>
        <v>120.7878787878788</v>
      </c>
      <c r="E68" s="1576">
        <f t="shared" ref="E68:F70" si="152">E69+(E$67-E$71)*K68/SUM(K$67:K$70)</f>
        <v>121.5975975975976</v>
      </c>
      <c r="F68" s="1576">
        <f t="shared" si="152"/>
        <v>107</v>
      </c>
      <c r="G68" s="3107">
        <v>2004</v>
      </c>
      <c r="H68" s="1586">
        <v>3</v>
      </c>
      <c r="I68" s="1586">
        <v>0.56000000000000005</v>
      </c>
      <c r="J68" s="1586">
        <v>0.8</v>
      </c>
      <c r="K68" s="1586">
        <v>0.83</v>
      </c>
      <c r="L68" s="1587">
        <v>0.06</v>
      </c>
      <c r="N68" s="1623">
        <f t="shared" si="149"/>
        <v>2.2725428130833527E-2</v>
      </c>
      <c r="O68" s="1624">
        <f t="shared" si="149"/>
        <v>1.7012227538543329E-2</v>
      </c>
      <c r="P68" s="1624">
        <f t="shared" si="150"/>
        <v>3.6925814703592477E-2</v>
      </c>
      <c r="Q68" s="1624">
        <f t="shared" si="150"/>
        <v>2.8846153846153744E-2</v>
      </c>
      <c r="R68" s="1573"/>
      <c r="S68" s="1571"/>
      <c r="T68" s="1572"/>
      <c r="U68" s="1572"/>
      <c r="V68" s="1572"/>
      <c r="X68" s="1625"/>
      <c r="Y68" s="1625"/>
      <c r="Z68" s="1625"/>
    </row>
    <row r="69" spans="1:26">
      <c r="A69" s="1559" t="s">
        <v>1083</v>
      </c>
      <c r="B69" s="1576">
        <f t="shared" si="151"/>
        <v>116.99099099099099</v>
      </c>
      <c r="C69" s="1576">
        <f t="shared" si="151"/>
        <v>118.84848484848486</v>
      </c>
      <c r="D69" s="1576">
        <f t="shared" si="117"/>
        <v>118.84848484848486</v>
      </c>
      <c r="E69" s="1576">
        <f t="shared" si="152"/>
        <v>117.60960960960961</v>
      </c>
      <c r="F69" s="1576">
        <f t="shared" si="152"/>
        <v>104</v>
      </c>
      <c r="G69" s="3107">
        <v>2004</v>
      </c>
      <c r="H69" s="1563">
        <v>2</v>
      </c>
      <c r="I69" s="1563">
        <v>1</v>
      </c>
      <c r="J69" s="1563">
        <v>1.5</v>
      </c>
      <c r="K69" s="1563">
        <v>1.5</v>
      </c>
      <c r="L69" s="1578">
        <v>0</v>
      </c>
      <c r="N69" s="1623">
        <f t="shared" si="149"/>
        <v>4.0581121662202721E-2</v>
      </c>
      <c r="O69" s="1624">
        <f t="shared" si="149"/>
        <v>3.1897926634768738E-2</v>
      </c>
      <c r="P69" s="1624">
        <f t="shared" si="150"/>
        <v>6.6733400066733395E-2</v>
      </c>
      <c r="Q69" s="1624">
        <f t="shared" si="150"/>
        <v>0</v>
      </c>
      <c r="R69" s="1573"/>
      <c r="S69" s="1571"/>
      <c r="T69" s="1572"/>
      <c r="U69" s="1572"/>
      <c r="V69" s="1572"/>
      <c r="X69" s="1625"/>
      <c r="Y69" s="1625"/>
      <c r="Z69" s="1625"/>
    </row>
    <row r="70" spans="1:26" s="1616" customFormat="1" ht="13.5" thickBot="1">
      <c r="A70" s="1559" t="s">
        <v>1084</v>
      </c>
      <c r="B70" s="1613">
        <f t="shared" si="151"/>
        <v>112.48648648648648</v>
      </c>
      <c r="C70" s="1613">
        <f t="shared" si="151"/>
        <v>115.21212121212122</v>
      </c>
      <c r="D70" s="1613">
        <f t="shared" si="117"/>
        <v>115.21212121212122</v>
      </c>
      <c r="E70" s="1613">
        <f t="shared" si="152"/>
        <v>110.4024024024024</v>
      </c>
      <c r="F70" s="1613">
        <f t="shared" si="152"/>
        <v>104</v>
      </c>
      <c r="G70" s="3108">
        <v>2004</v>
      </c>
      <c r="H70" s="1614">
        <v>1</v>
      </c>
      <c r="I70" s="1614">
        <v>0.33</v>
      </c>
      <c r="J70" s="1614">
        <v>0.5</v>
      </c>
      <c r="K70" s="1614">
        <v>0.5</v>
      </c>
      <c r="L70" s="1615">
        <v>0</v>
      </c>
      <c r="N70" s="1628">
        <f t="shared" si="149"/>
        <v>1.3391770148526898E-2</v>
      </c>
      <c r="O70" s="1629">
        <f t="shared" si="149"/>
        <v>1.063264221158958E-2</v>
      </c>
      <c r="P70" s="1629">
        <f t="shared" si="150"/>
        <v>2.2244466688911134E-2</v>
      </c>
      <c r="Q70" s="1629">
        <f t="shared" si="150"/>
        <v>0</v>
      </c>
      <c r="R70" s="1619"/>
      <c r="S70" s="1617">
        <f>B70/B71-1</f>
        <v>1.3391770148526883E-2</v>
      </c>
      <c r="T70" s="1618">
        <f>C70/C71-1</f>
        <v>1.063264221158966E-2</v>
      </c>
      <c r="U70" s="1618">
        <f>E70/E71-1</f>
        <v>2.2244466688911224E-2</v>
      </c>
      <c r="V70" s="1618">
        <f>F70/F71-1</f>
        <v>0</v>
      </c>
      <c r="X70" s="1630"/>
      <c r="Y70" s="1630"/>
      <c r="Z70" s="1630"/>
    </row>
    <row r="71" spans="1:26" ht="13.5" thickBot="1">
      <c r="A71" s="1559" t="s">
        <v>1085</v>
      </c>
      <c r="B71" s="1631">
        <v>111</v>
      </c>
      <c r="C71" s="1631">
        <v>114</v>
      </c>
      <c r="D71" s="1631">
        <f t="shared" si="117"/>
        <v>114</v>
      </c>
      <c r="E71" s="1631">
        <v>108</v>
      </c>
      <c r="F71" s="1632">
        <v>104</v>
      </c>
      <c r="G71" s="3106">
        <v>2003</v>
      </c>
      <c r="H71" s="1621">
        <v>4</v>
      </c>
      <c r="I71" s="1633"/>
      <c r="J71" s="1633"/>
      <c r="K71" s="1633"/>
      <c r="L71" s="1633"/>
      <c r="N71" s="1634"/>
      <c r="O71" s="1633"/>
      <c r="P71" s="1633"/>
      <c r="Q71" s="1633"/>
      <c r="S71" s="1634"/>
      <c r="T71" s="1633"/>
      <c r="U71" s="1633"/>
      <c r="V71" s="1633"/>
      <c r="X71" s="1625"/>
      <c r="Y71" s="1625"/>
      <c r="Z71" s="1625"/>
    </row>
    <row r="72" spans="1:26">
      <c r="A72" s="1559" t="s">
        <v>1086</v>
      </c>
      <c r="B72" s="1635">
        <f t="shared" ref="B72:C74" si="153">B73+(B$71-B$75)/4</f>
        <v>109.75</v>
      </c>
      <c r="C72" s="1635">
        <f t="shared" si="153"/>
        <v>112.25</v>
      </c>
      <c r="D72" s="1635">
        <f t="shared" si="117"/>
        <v>112.25</v>
      </c>
      <c r="E72" s="1635">
        <f t="shared" ref="E72:F74" si="154">E73+(E$71-E$75)/4</f>
        <v>107.25</v>
      </c>
      <c r="F72" s="1635">
        <f t="shared" si="154"/>
        <v>103.5</v>
      </c>
      <c r="G72" s="3107">
        <v>2003</v>
      </c>
      <c r="H72" s="1586">
        <v>3</v>
      </c>
      <c r="I72" s="1633"/>
      <c r="J72" s="1633"/>
      <c r="K72" s="1633"/>
      <c r="L72" s="1633"/>
      <c r="X72" s="1625"/>
      <c r="Y72" s="1625"/>
      <c r="Z72" s="1625"/>
    </row>
    <row r="73" spans="1:26">
      <c r="A73" s="1559" t="s">
        <v>1087</v>
      </c>
      <c r="B73" s="1635">
        <f t="shared" si="153"/>
        <v>108.5</v>
      </c>
      <c r="C73" s="1635">
        <f t="shared" si="153"/>
        <v>110.5</v>
      </c>
      <c r="D73" s="1635">
        <f t="shared" si="117"/>
        <v>110.5</v>
      </c>
      <c r="E73" s="1635">
        <f t="shared" si="154"/>
        <v>106.5</v>
      </c>
      <c r="F73" s="1635">
        <f t="shared" si="154"/>
        <v>103</v>
      </c>
      <c r="G73" s="3107">
        <v>2003</v>
      </c>
      <c r="H73" s="1563">
        <v>2</v>
      </c>
      <c r="I73" s="1633"/>
      <c r="J73" s="1633"/>
      <c r="K73" s="1633"/>
      <c r="L73" s="1633"/>
      <c r="X73" s="1625"/>
      <c r="Y73" s="1625"/>
      <c r="Z73" s="1625"/>
    </row>
    <row r="74" spans="1:26" ht="13.5" thickBot="1">
      <c r="A74" s="1559" t="s">
        <v>1088</v>
      </c>
      <c r="B74" s="1635">
        <f t="shared" si="153"/>
        <v>107.25</v>
      </c>
      <c r="C74" s="1635">
        <f t="shared" si="153"/>
        <v>108.75</v>
      </c>
      <c r="D74" s="1635">
        <f t="shared" si="117"/>
        <v>108.75</v>
      </c>
      <c r="E74" s="1635">
        <f t="shared" si="154"/>
        <v>105.75</v>
      </c>
      <c r="F74" s="1635">
        <f t="shared" si="154"/>
        <v>102.5</v>
      </c>
      <c r="G74" s="3108">
        <v>2003</v>
      </c>
      <c r="H74" s="1636">
        <v>1</v>
      </c>
      <c r="I74" s="1633"/>
      <c r="J74" s="1633"/>
      <c r="K74" s="1633"/>
      <c r="L74" s="1633"/>
      <c r="S74" s="1571"/>
      <c r="T74" s="1572"/>
      <c r="U74" s="1572"/>
      <c r="X74" s="1625"/>
      <c r="Y74" s="1625"/>
      <c r="Z74" s="1625"/>
    </row>
    <row r="75" spans="1:26" ht="13.5" thickBot="1">
      <c r="A75" s="1559" t="s">
        <v>1089</v>
      </c>
      <c r="B75" s="1637">
        <v>106</v>
      </c>
      <c r="C75" s="1637">
        <v>107</v>
      </c>
      <c r="D75" s="1637">
        <f t="shared" si="117"/>
        <v>107</v>
      </c>
      <c r="E75" s="1637">
        <v>105</v>
      </c>
      <c r="F75" s="1638">
        <v>102</v>
      </c>
      <c r="G75" s="3106">
        <v>2002</v>
      </c>
      <c r="H75" s="1581">
        <v>4</v>
      </c>
      <c r="I75" s="1633"/>
      <c r="J75" s="1633"/>
      <c r="K75" s="1633"/>
      <c r="L75" s="1633"/>
      <c r="N75" s="1634"/>
      <c r="O75" s="1633"/>
      <c r="P75" s="1633"/>
      <c r="Q75" s="1633"/>
      <c r="S75" s="1634"/>
      <c r="T75" s="1633"/>
      <c r="U75" s="1633"/>
      <c r="V75" s="1633"/>
      <c r="X75" s="1625"/>
      <c r="Y75" s="1625"/>
      <c r="Z75" s="1625"/>
    </row>
    <row r="76" spans="1:26">
      <c r="A76" s="1559" t="s">
        <v>1090</v>
      </c>
      <c r="B76" s="1635">
        <f t="shared" ref="B76:C78" si="155">B77+(B$75-B$79)/4</f>
        <v>105</v>
      </c>
      <c r="C76" s="1635">
        <f t="shared" si="155"/>
        <v>106</v>
      </c>
      <c r="D76" s="1635">
        <f t="shared" si="117"/>
        <v>106</v>
      </c>
      <c r="E76" s="1635">
        <f t="shared" ref="E76:F78" si="156">E77+(E$75-E$79)/4</f>
        <v>104.5</v>
      </c>
      <c r="F76" s="1635">
        <f t="shared" si="156"/>
        <v>101.5</v>
      </c>
      <c r="G76" s="3107">
        <v>2002</v>
      </c>
      <c r="H76" s="1586">
        <v>3</v>
      </c>
      <c r="I76" s="1633"/>
      <c r="J76" s="1633"/>
      <c r="K76" s="1633"/>
      <c r="L76" s="1633"/>
      <c r="X76" s="1625"/>
      <c r="Y76" s="1625"/>
      <c r="Z76" s="1625"/>
    </row>
    <row r="77" spans="1:26">
      <c r="A77" s="1559" t="s">
        <v>1091</v>
      </c>
      <c r="B77" s="1635">
        <f t="shared" si="155"/>
        <v>104</v>
      </c>
      <c r="C77" s="1635">
        <f t="shared" si="155"/>
        <v>105</v>
      </c>
      <c r="D77" s="1635">
        <f t="shared" si="117"/>
        <v>105</v>
      </c>
      <c r="E77" s="1635">
        <f t="shared" si="156"/>
        <v>104</v>
      </c>
      <c r="F77" s="1635">
        <f t="shared" si="156"/>
        <v>101</v>
      </c>
      <c r="G77" s="3107">
        <v>2002</v>
      </c>
      <c r="H77" s="1563">
        <v>2</v>
      </c>
      <c r="I77" s="1633"/>
      <c r="J77" s="1633"/>
      <c r="K77" s="1633"/>
      <c r="L77" s="1633"/>
      <c r="X77" s="1625"/>
      <c r="Y77" s="1625"/>
      <c r="Z77" s="1625"/>
    </row>
    <row r="78" spans="1:26" s="1597" customFormat="1" ht="13.5" thickBot="1">
      <c r="A78" s="1593" t="s">
        <v>1092</v>
      </c>
      <c r="B78" s="1639">
        <f t="shared" si="155"/>
        <v>103</v>
      </c>
      <c r="C78" s="1639">
        <f t="shared" si="155"/>
        <v>104</v>
      </c>
      <c r="D78" s="1639">
        <f t="shared" si="117"/>
        <v>104</v>
      </c>
      <c r="E78" s="1639">
        <f t="shared" si="156"/>
        <v>103.5</v>
      </c>
      <c r="F78" s="1639">
        <f t="shared" si="156"/>
        <v>100.5</v>
      </c>
      <c r="G78" s="3108">
        <v>2002</v>
      </c>
      <c r="H78" s="1640">
        <v>1</v>
      </c>
      <c r="I78" s="1641"/>
      <c r="J78" s="1641"/>
      <c r="K78" s="1641"/>
      <c r="L78" s="1641"/>
      <c r="N78" s="1642"/>
      <c r="S78" s="1642"/>
      <c r="X78" s="1643"/>
      <c r="Y78" s="1643"/>
      <c r="Z78" s="1643"/>
    </row>
    <row r="79" spans="1:26" ht="13.5" thickBot="1">
      <c r="B79" s="1644">
        <v>102</v>
      </c>
      <c r="C79" s="1645">
        <v>103</v>
      </c>
      <c r="D79" s="1645">
        <f t="shared" si="117"/>
        <v>103</v>
      </c>
      <c r="E79" s="1645">
        <v>103</v>
      </c>
      <c r="F79" s="1646">
        <v>100</v>
      </c>
      <c r="I79" s="1633"/>
      <c r="J79" s="1633"/>
      <c r="K79" s="1633"/>
      <c r="L79" s="1633"/>
      <c r="N79" s="1634"/>
      <c r="O79" s="1633"/>
      <c r="P79" s="1633"/>
      <c r="Q79" s="1633"/>
      <c r="S79" s="1634"/>
      <c r="T79" s="1633"/>
      <c r="U79" s="1633"/>
      <c r="V79" s="1633"/>
      <c r="X79" s="1575"/>
      <c r="Y79" s="1575"/>
      <c r="Z79" s="1575"/>
    </row>
    <row r="81" spans="1:22" s="1648" customFormat="1">
      <c r="A81" s="1647" t="s">
        <v>1093</v>
      </c>
      <c r="G81" s="1649"/>
      <c r="N81" s="1649"/>
      <c r="S81" s="1649"/>
    </row>
    <row r="82" spans="1:22" s="1648" customFormat="1">
      <c r="A82" s="1648" t="s">
        <v>1094</v>
      </c>
      <c r="G82" s="1649"/>
      <c r="N82" s="1649"/>
      <c r="S82" s="1649"/>
    </row>
    <row r="83" spans="1:22" s="1648" customFormat="1">
      <c r="A83" s="1648" t="s">
        <v>1095</v>
      </c>
      <c r="G83" s="1649"/>
      <c r="I83" s="1650"/>
      <c r="J83" s="1650"/>
      <c r="K83" s="1650"/>
      <c r="L83" s="1650"/>
      <c r="N83" s="1651"/>
      <c r="O83" s="1650"/>
      <c r="P83" s="1650"/>
      <c r="Q83" s="1650"/>
      <c r="S83" s="1651"/>
      <c r="T83" s="1650"/>
      <c r="U83" s="1650"/>
      <c r="V83" s="1650"/>
    </row>
    <row r="84" spans="1:22" s="1648" customFormat="1">
      <c r="A84" s="1648" t="s">
        <v>1096</v>
      </c>
      <c r="G84" s="1649"/>
      <c r="N84" s="1649"/>
      <c r="S84" s="1649"/>
    </row>
    <row r="91" spans="1:22" ht="13.5" thickBot="1"/>
    <row r="92" spans="1:22">
      <c r="G92" s="1570"/>
      <c r="S92" s="1652" t="s">
        <v>1097</v>
      </c>
      <c r="T92" s="1653" t="s">
        <v>1098</v>
      </c>
      <c r="U92" s="1653" t="s">
        <v>1099</v>
      </c>
      <c r="V92" s="1653" t="s">
        <v>1100</v>
      </c>
    </row>
    <row r="93" spans="1:22">
      <c r="G93" s="1570"/>
      <c r="N93" s="1574"/>
      <c r="O93" s="1575"/>
      <c r="P93" s="1575"/>
      <c r="Q93" s="1575"/>
      <c r="S93" s="1654">
        <v>2006</v>
      </c>
      <c r="T93" s="1655">
        <v>15.1</v>
      </c>
      <c r="U93" s="1655">
        <v>7.43</v>
      </c>
      <c r="V93" s="1655">
        <v>26.26</v>
      </c>
    </row>
    <row r="94" spans="1:22">
      <c r="G94" s="1570"/>
      <c r="N94" s="1574"/>
      <c r="O94" s="1575"/>
      <c r="P94" s="1575"/>
      <c r="Q94" s="1575"/>
      <c r="S94" s="1656">
        <v>2005</v>
      </c>
      <c r="T94" s="1657">
        <v>13.9</v>
      </c>
      <c r="U94" s="1657">
        <v>7.49</v>
      </c>
      <c r="V94" s="1657">
        <v>24.92</v>
      </c>
    </row>
    <row r="95" spans="1:22">
      <c r="G95" s="1570"/>
      <c r="N95" s="1574"/>
      <c r="O95" s="1575"/>
      <c r="P95" s="1575"/>
      <c r="Q95" s="1575"/>
      <c r="S95" s="1654">
        <v>2004</v>
      </c>
      <c r="T95" s="1655">
        <v>9.48</v>
      </c>
      <c r="U95" s="1655">
        <v>7.2</v>
      </c>
      <c r="V95" s="1655">
        <v>14.68</v>
      </c>
    </row>
    <row r="96" spans="1:22">
      <c r="G96" s="1570"/>
      <c r="N96" s="1574"/>
      <c r="O96" s="1575"/>
      <c r="P96" s="1575"/>
      <c r="Q96" s="1575"/>
      <c r="S96" s="1656">
        <v>2003</v>
      </c>
      <c r="T96" s="1657">
        <v>4.5</v>
      </c>
      <c r="U96" s="1657">
        <v>6.12</v>
      </c>
      <c r="V96" s="1657">
        <v>2.34</v>
      </c>
    </row>
    <row r="97" spans="7:22" ht="13.5" thickBot="1">
      <c r="G97" s="1570"/>
      <c r="N97" s="1574"/>
      <c r="O97" s="1575"/>
      <c r="P97" s="1575"/>
      <c r="Q97" s="1575"/>
      <c r="S97" s="1658">
        <v>2002</v>
      </c>
      <c r="T97" s="1659">
        <v>3.59</v>
      </c>
      <c r="U97" s="1659">
        <v>4.54</v>
      </c>
      <c r="V97" s="1659">
        <v>2.5499999999999998</v>
      </c>
    </row>
    <row r="98" spans="7:22">
      <c r="G98" s="1570"/>
      <c r="N98" s="1574"/>
      <c r="O98" s="1575"/>
      <c r="P98" s="1575"/>
      <c r="Q98" s="1575"/>
    </row>
    <row r="99" spans="7:22">
      <c r="G99" s="1570"/>
      <c r="N99" s="1574"/>
      <c r="O99" s="1575"/>
      <c r="P99" s="1575"/>
      <c r="Q99" s="1575"/>
    </row>
    <row r="100" spans="7:22">
      <c r="G100" s="1570"/>
      <c r="N100" s="1574"/>
      <c r="O100" s="1575"/>
      <c r="P100" s="1575"/>
      <c r="Q100" s="1575"/>
    </row>
    <row r="101" spans="7:22">
      <c r="G101" s="1570"/>
      <c r="N101" s="1574"/>
      <c r="O101" s="1575"/>
      <c r="P101" s="1575"/>
      <c r="Q101" s="1575"/>
    </row>
    <row r="102" spans="7:22">
      <c r="G102" s="1570"/>
      <c r="N102" s="1574"/>
      <c r="O102" s="1575"/>
      <c r="P102" s="1575"/>
      <c r="Q102" s="1575"/>
    </row>
    <row r="103" spans="7:22">
      <c r="G103" s="1570"/>
      <c r="N103" s="1574"/>
      <c r="O103" s="1575"/>
      <c r="P103" s="1575"/>
      <c r="Q103" s="1575"/>
    </row>
    <row r="104" spans="7:22">
      <c r="G104" s="1570"/>
      <c r="N104" s="1574"/>
      <c r="O104" s="1575"/>
      <c r="P104" s="1575"/>
      <c r="Q104" s="1575"/>
    </row>
    <row r="105" spans="7:22">
      <c r="G105" s="1570"/>
      <c r="N105" s="1574"/>
      <c r="O105" s="1575"/>
      <c r="P105" s="1575"/>
      <c r="Q105" s="1575"/>
    </row>
    <row r="106" spans="7:22">
      <c r="G106" s="1570"/>
      <c r="N106" s="1574"/>
      <c r="O106" s="1575"/>
      <c r="P106" s="1575"/>
      <c r="Q106" s="1575"/>
    </row>
    <row r="107" spans="7:22">
      <c r="G107" s="1570"/>
      <c r="N107" s="1574"/>
      <c r="O107" s="1575"/>
      <c r="P107" s="1575"/>
      <c r="Q107" s="1575"/>
    </row>
    <row r="108" spans="7:22">
      <c r="G108" s="1570"/>
      <c r="N108" s="1574"/>
      <c r="O108" s="1575"/>
      <c r="P108" s="1575"/>
      <c r="Q108" s="1575"/>
      <c r="S108" s="1570"/>
    </row>
    <row r="109" spans="7:22">
      <c r="G109" s="1570"/>
      <c r="N109" s="1574"/>
      <c r="O109" s="1575"/>
      <c r="P109" s="1575"/>
      <c r="Q109" s="1575"/>
      <c r="S109" s="1570"/>
    </row>
    <row r="110" spans="7:22">
      <c r="G110" s="1570"/>
      <c r="N110" s="1574"/>
      <c r="O110" s="1575"/>
      <c r="P110" s="1575"/>
      <c r="Q110" s="1575"/>
      <c r="S110" s="1570"/>
    </row>
    <row r="111" spans="7:22">
      <c r="G111" s="1570"/>
      <c r="N111" s="1574"/>
      <c r="O111" s="1575"/>
      <c r="P111" s="1575"/>
      <c r="Q111" s="1575"/>
      <c r="S111" s="1570"/>
    </row>
    <row r="112" spans="7:22">
      <c r="G112" s="1570"/>
      <c r="N112" s="1574"/>
      <c r="O112" s="1575"/>
      <c r="P112" s="1575"/>
      <c r="Q112" s="1575"/>
      <c r="S112" s="1570"/>
    </row>
    <row r="113" spans="7:19">
      <c r="G113" s="1570"/>
      <c r="N113" s="1574"/>
      <c r="O113" s="1575"/>
      <c r="P113" s="1575"/>
      <c r="Q113" s="1575"/>
      <c r="S113" s="1570"/>
    </row>
  </sheetData>
  <sheetProtection password="C66D"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43965</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4" sqref="M1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C10" sqref="C10:D10"/>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25"/>
      <c r="B3" s="1925"/>
      <c r="C3" s="1925"/>
      <c r="D3" s="1925"/>
      <c r="E3" s="1925"/>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2"/>
      <c r="B5" s="1926" t="s">
        <v>742</v>
      </c>
      <c r="C5" s="2775" t="s">
        <v>779</v>
      </c>
      <c r="D5" s="2776"/>
      <c r="E5" s="1922"/>
    </row>
    <row r="6" spans="1:5" ht="28.5">
      <c r="A6" s="1922"/>
      <c r="B6" s="1927" t="str">
        <f>项目基本情况!I1</f>
        <v>北京市北京市通州区枫露苑一区甲1号楼1至4层甲1号楼房地产</v>
      </c>
      <c r="C6" s="2777">
        <f>项目基本情况!C12</f>
        <v>3600.5</v>
      </c>
      <c r="D6" s="2777"/>
      <c r="E6" s="1922"/>
    </row>
    <row r="7" spans="1:5" ht="14.25">
      <c r="A7" s="1922"/>
      <c r="B7" s="2771" t="s">
        <v>780</v>
      </c>
      <c r="C7" s="1928" t="str">
        <f>IF('数据-取费表'!B3="万元","总价（万元）","总价（元）")</f>
        <v>总价（元）</v>
      </c>
      <c r="D7" s="1929">
        <f ca="1">IF('数据-取费表'!E3="否",结果表!I102,'结果表 (1修多)'!I103)</f>
        <v>106405577</v>
      </c>
      <c r="E7" s="1922"/>
    </row>
    <row r="8" spans="1:5" ht="28.5">
      <c r="A8" s="1922"/>
      <c r="B8" s="2771"/>
      <c r="C8" s="1930" t="s">
        <v>1169</v>
      </c>
      <c r="D8" s="1931" t="str">
        <f ca="1">IF('数据-取费表'!B3="万元",NUMBERSTRING(INT(D7*10000),2)&amp;"元整",NUMBERSTRING(INT(D7),2)&amp;"元整")</f>
        <v>壹亿零陆佰肆拾万伍仟伍佰柒拾柒元整</v>
      </c>
      <c r="E8" s="1922"/>
    </row>
    <row r="9" spans="1:5" ht="14.25">
      <c r="A9" s="1922"/>
      <c r="B9" s="2771"/>
      <c r="C9" s="1932" t="s">
        <v>1266</v>
      </c>
      <c r="D9" s="1929">
        <f ca="1">IF('数据-取费表'!E3="否",结果表!I103,'结果表 (1修多)'!I104)</f>
        <v>29553</v>
      </c>
      <c r="E9" s="1922"/>
    </row>
    <row r="10" spans="1:5" ht="14.25">
      <c r="A10" s="1922"/>
      <c r="B10" s="2778"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8"/>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8" t="str">
        <f>IF('数据-取费表'!E3="否",结果表!F110,'结果表 (1修多)'!F111)</f>
        <v>3.房地产抵押价值</v>
      </c>
      <c r="C15" s="1923" t="str">
        <f>C7</f>
        <v>总价（元）</v>
      </c>
      <c r="D15" s="1929">
        <f ca="1">IF('数据-取费表'!E3="否",结果表!I110,'结果表 (1修多)'!I111)</f>
        <v>106405577</v>
      </c>
      <c r="E15" s="1922"/>
    </row>
    <row r="16" spans="1:5" ht="28.5">
      <c r="A16" s="1922"/>
      <c r="B16" s="2778"/>
      <c r="C16" s="1930" t="s">
        <v>1169</v>
      </c>
      <c r="D16" s="1929" t="str">
        <f ca="1">IF('数据-取费表'!B3="万元",NUMBERSTRING(INT(D15*10000),2)&amp;"元整",NUMBERSTRING(INT(D15),2)&amp;"元整")</f>
        <v>壹亿零陆佰肆拾万伍仟伍佰柒拾柒元整</v>
      </c>
      <c r="E16" s="1922"/>
    </row>
    <row r="17" spans="1:5" ht="14.25">
      <c r="A17" s="1922"/>
      <c r="B17" s="2778"/>
      <c r="C17" s="1932" t="s">
        <v>1266</v>
      </c>
      <c r="D17" s="1929">
        <f ca="1">IF('数据-取费表'!E3="否",结果表!I111,'结果表 (1修多)'!I112)</f>
        <v>29553</v>
      </c>
      <c r="E17" s="1922"/>
    </row>
    <row r="18" spans="1:5" ht="14.25">
      <c r="A18" s="1922"/>
      <c r="B18" s="2778" t="str">
        <f>IF('数据-取费表'!E3="否",结果表!F112,'结果表 (1修多)'!F113)</f>
        <v>——</v>
      </c>
      <c r="C18" s="1923" t="str">
        <f>C7</f>
        <v>总价（元）</v>
      </c>
      <c r="D18" s="1929" t="str">
        <f>IF('数据-取费表'!E3="否",结果表!I112,'结果表 (1修多)'!I113)</f>
        <v>——</v>
      </c>
      <c r="E18" s="1922"/>
    </row>
    <row r="19" spans="1:5" ht="14.25">
      <c r="A19" s="1922"/>
      <c r="B19" s="2778"/>
      <c r="C19" s="1930" t="s">
        <v>1169</v>
      </c>
      <c r="D19" s="1929" t="e">
        <f>IF('数据-取费表'!B3="万元",NUMBERSTRING(INT(D18*10000),2)&amp;"元整",NUMBERSTRING(INT(D18),2)&amp;"元整")</f>
        <v>#VALUE!</v>
      </c>
      <c r="E19" s="1922"/>
    </row>
    <row r="20" spans="1:5" ht="14.25">
      <c r="A20" s="1922"/>
      <c r="B20" s="2778"/>
      <c r="C20" s="1932" t="s">
        <v>1266</v>
      </c>
      <c r="D20" s="1929" t="str">
        <f>IF('数据-取费表'!E3="否",结果表!I113,'结果表 (1修多)'!I114)</f>
        <v>——</v>
      </c>
      <c r="E20" s="1922"/>
    </row>
    <row r="21" spans="1:5" ht="14.25">
      <c r="A21" s="1922"/>
      <c r="B21" s="2771" t="str">
        <f>IF('数据-取费表'!E3="否",结果表!F114,'结果表 (1修多)'!F115)</f>
        <v>——</v>
      </c>
      <c r="C21" s="1928" t="str">
        <f>C7</f>
        <v>总价（元）</v>
      </c>
      <c r="D21" s="1929" t="str">
        <f>IF('数据-取费表'!E3="否",结果表!I114,'结果表 (1修多)'!I115)</f>
        <v>——</v>
      </c>
      <c r="E21" s="1922"/>
    </row>
    <row r="22" spans="1:5" ht="14.25">
      <c r="A22" s="1922"/>
      <c r="B22" s="2771"/>
      <c r="C22" s="1930" t="s">
        <v>1169</v>
      </c>
      <c r="D22" s="1931" t="e">
        <f>IF('数据-取费表'!B3="万元",NUMBERSTRING(INT(D21*10000),2)&amp;"元整",NUMBERSTRING(INT(D21),2)&amp;"元整")</f>
        <v>#VALUE!</v>
      </c>
      <c r="E22" s="1922"/>
    </row>
    <row r="23" spans="1:5" ht="15" thickBot="1">
      <c r="A23" s="1922"/>
      <c r="B23" s="2772"/>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3" t="s">
        <v>1267</v>
      </c>
      <c r="C25" s="2763"/>
      <c r="D25" s="2763"/>
      <c r="E25" s="1922"/>
    </row>
    <row r="26" spans="1:5" ht="18.75" customHeight="1" thickTop="1">
      <c r="A26" s="1922"/>
      <c r="B26" s="2766" t="s">
        <v>1168</v>
      </c>
      <c r="C26" s="2767"/>
      <c r="D26" s="2764" t="s">
        <v>1167</v>
      </c>
      <c r="E26" s="1922"/>
    </row>
    <row r="27" spans="1:5" ht="18.75" customHeight="1">
      <c r="A27" s="1922"/>
      <c r="B27" s="2768"/>
      <c r="C27" s="2769"/>
      <c r="D27" s="2765"/>
      <c r="E27" s="1922"/>
    </row>
    <row r="28" spans="1:5" ht="14.25">
      <c r="A28" s="1922"/>
      <c r="B28" s="2756" t="s">
        <v>780</v>
      </c>
      <c r="C28" s="1939" t="s">
        <v>1170</v>
      </c>
      <c r="D28" s="1940">
        <f ca="1">IF('数据-取费表'!E3="否",结果表!I102,'结果表 (1修多)'!I103)</f>
        <v>106405577</v>
      </c>
      <c r="E28" s="1922"/>
    </row>
    <row r="29" spans="1:5" ht="28.5">
      <c r="A29" s="1922"/>
      <c r="B29" s="2757"/>
      <c r="C29" s="1941" t="s">
        <v>1169</v>
      </c>
      <c r="D29" s="1942" t="str">
        <f ca="1">IF('数据-取费表'!B3="万元",NUMBERSTRING(INT(D28*10000),2)&amp;"元整",NUMBERSTRING(INT(D28),2)&amp;"元整")</f>
        <v>壹亿零陆佰肆拾万伍仟伍佰柒拾柒元整</v>
      </c>
      <c r="E29" s="1922"/>
    </row>
    <row r="30" spans="1:5" ht="14.25">
      <c r="A30" s="1922"/>
      <c r="B30" s="2758"/>
      <c r="C30" s="1932" t="s">
        <v>1172</v>
      </c>
      <c r="D30" s="1943">
        <f ca="1">IF('数据-取费表'!E3="否",结果表!I103,'结果表 (1修多)'!I104)</f>
        <v>29553</v>
      </c>
      <c r="E30" s="1922"/>
    </row>
    <row r="31" spans="1:5" ht="14.25">
      <c r="A31" s="1922"/>
      <c r="B31" s="2761" t="str">
        <f>B10</f>
        <v>2.估价师所知悉的法定优先受偿款</v>
      </c>
      <c r="C31" s="1944" t="s">
        <v>1171</v>
      </c>
      <c r="D31" s="1945">
        <f>IF('数据-取费表'!E3="否",结果表!I105,'结果表 (1修多)'!I106)</f>
        <v>0</v>
      </c>
      <c r="E31" s="1922"/>
    </row>
    <row r="32" spans="1:5" ht="14.25">
      <c r="A32" s="1922"/>
      <c r="B32" s="2770"/>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59" t="str">
        <f>B15</f>
        <v>3.房地产抵押价值</v>
      </c>
      <c r="C36" s="1944" t="str">
        <f>C28</f>
        <v>总价</v>
      </c>
      <c r="D36" s="1945">
        <f ca="1">IF('数据-取费表'!E3="否",结果表!I110,'结果表 (1修多)'!I111)</f>
        <v>106405577</v>
      </c>
      <c r="E36" s="1922"/>
    </row>
    <row r="37" spans="1:5" ht="28.5">
      <c r="A37" s="1922"/>
      <c r="B37" s="2759"/>
      <c r="C37" s="1941" t="s">
        <v>1169</v>
      </c>
      <c r="D37" s="1946" t="str">
        <f ca="1">IF('数据-取费表'!B3="万元",NUMBERSTRING(INT(D36*10000),2)&amp;"元整",NUMBERSTRING(INT(D36),2)&amp;"元整")</f>
        <v>壹亿零陆佰肆拾万伍仟伍佰柒拾柒元整</v>
      </c>
      <c r="E37" s="1922"/>
    </row>
    <row r="38" spans="1:5" ht="14.25">
      <c r="A38" s="1922"/>
      <c r="B38" s="2759"/>
      <c r="C38" s="1932" t="s">
        <v>1173</v>
      </c>
      <c r="D38" s="1943">
        <f ca="1">IF('数据-取费表'!E3="否",结果表!D113,'结果表 (1修多)'!D116)</f>
        <v>29553</v>
      </c>
      <c r="E38" s="1922"/>
    </row>
    <row r="39" spans="1:5" ht="14.25">
      <c r="A39" s="1922"/>
      <c r="B39" s="2760" t="str">
        <f>B18</f>
        <v>——</v>
      </c>
      <c r="C39" s="1944" t="str">
        <f>C28</f>
        <v>总价</v>
      </c>
      <c r="D39" s="1945" t="str">
        <f>IF('数据-取费表'!E3="否",结果表!I112,'结果表 (1修多)'!I113)</f>
        <v>——</v>
      </c>
      <c r="E39" s="1922"/>
    </row>
    <row r="40" spans="1:5" ht="14.25">
      <c r="A40" s="1922"/>
      <c r="B40" s="2760"/>
      <c r="C40" s="1941" t="s">
        <v>1169</v>
      </c>
      <c r="D40" s="1946" t="e">
        <f>IF('数据-取费表'!B3="万元",NUMBERSTRING(INT(D39*10000),2)&amp;"元整",NUMBERSTRING(INT(D39),2)&amp;"元整")</f>
        <v>#VALUE!</v>
      </c>
      <c r="E40" s="1922"/>
    </row>
    <row r="41" spans="1:5" ht="14.25">
      <c r="A41" s="1922"/>
      <c r="B41" s="2760"/>
      <c r="C41" s="1932" t="s">
        <v>1173</v>
      </c>
      <c r="D41" s="1943" t="str">
        <f>IF('数据-取费表'!E3="否",结果表!D115,'结果表 (1修多)'!D118)</f>
        <v>——</v>
      </c>
      <c r="E41" s="1922"/>
    </row>
    <row r="42" spans="1:5" ht="14.25">
      <c r="A42" s="1922"/>
      <c r="B42" s="2759" t="str">
        <f>B21</f>
        <v>——</v>
      </c>
      <c r="C42" s="1944" t="str">
        <f>C28</f>
        <v>总价</v>
      </c>
      <c r="D42" s="1945" t="str">
        <f>IF('数据-取费表'!E3="否",结果表!I114,'结果表 (1修多)'!I115)</f>
        <v>——</v>
      </c>
      <c r="E42" s="1922"/>
    </row>
    <row r="43" spans="1:5" ht="14.25">
      <c r="A43" s="1922"/>
      <c r="B43" s="2761"/>
      <c r="C43" s="1941" t="s">
        <v>1169</v>
      </c>
      <c r="D43" s="1947" t="e">
        <f>IF('数据-取费表'!B3="万元",NUMBERSTRING(INT(D42*10000),2)&amp;"元整",NUMBERSTRING(INT(D42),2)&amp;"元整")</f>
        <v>#VALUE!</v>
      </c>
      <c r="E43" s="1922"/>
    </row>
    <row r="44" spans="1:5" ht="15" thickBot="1">
      <c r="A44" s="1922"/>
      <c r="B44" s="2762"/>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C10" sqref="C10:D10"/>
    </sheetView>
  </sheetViews>
  <sheetFormatPr defaultColWidth="9" defaultRowHeight="14.25"/>
  <cols>
    <col min="1" max="1" width="29.875" style="1907" customWidth="1"/>
    <col min="2" max="9" width="12.25" style="1907" customWidth="1"/>
    <col min="10" max="16384" width="9" style="1907"/>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1268</v>
      </c>
      <c r="B2" s="2786" t="s">
        <v>1269</v>
      </c>
      <c r="C2" s="2786" t="s">
        <v>1270</v>
      </c>
      <c r="D2" s="2786" t="str">
        <f>IF('数据-取费表'!E3="否",结果表!D119,'结果表 (1修多)'!D122)</f>
        <v>出让国有建设用地使用权价值</v>
      </c>
      <c r="E2" s="2786"/>
      <c r="F2" s="2786" t="s">
        <v>1271</v>
      </c>
      <c r="G2" s="2786"/>
      <c r="H2" s="2786" t="s">
        <v>1272</v>
      </c>
      <c r="I2" s="2786"/>
    </row>
    <row r="3" spans="1:9" ht="15">
      <c r="A3" s="2779"/>
      <c r="B3" s="2779"/>
      <c r="C3" s="2779"/>
      <c r="D3" s="1045" t="s">
        <v>1273</v>
      </c>
      <c r="E3" s="1045" t="s">
        <v>1274</v>
      </c>
      <c r="F3" s="1045" t="s">
        <v>1273</v>
      </c>
      <c r="G3" s="1045" t="s">
        <v>1275</v>
      </c>
      <c r="H3" s="1045" t="s">
        <v>1273</v>
      </c>
      <c r="I3" s="1045" t="s">
        <v>1275</v>
      </c>
    </row>
    <row r="4" spans="1:9" ht="46.5" customHeight="1">
      <c r="A4" s="1045" t="str">
        <f>项目基本情况!I1</f>
        <v>北京市北京市通州区枫露苑一区甲1号楼1至4层甲1号楼房地产</v>
      </c>
      <c r="B4" s="1045">
        <f>结果表!B121</f>
        <v>3600.5</v>
      </c>
      <c r="C4" s="1045">
        <f>结果表!C121</f>
        <v>1441.8</v>
      </c>
      <c r="D4" s="1045">
        <f ca="1">IF('数据-取费表'!E3="否",结果表!D121,'结果表 (1修多)'!D124)</f>
        <v>98426869</v>
      </c>
      <c r="E4" s="1045">
        <f ca="1">IF('数据-取费表'!E3="否",结果表!E121,'结果表 (1修多)'!E124)</f>
        <v>27337</v>
      </c>
      <c r="F4" s="1045">
        <f ca="1">IF('数据-取费表'!E3="否",结果表!F121,'结果表 (1修多)'!F124)</f>
        <v>7978708</v>
      </c>
      <c r="G4" s="1045">
        <f ca="1">IF('数据-取费表'!E3="否",结果表!G121,'结果表 (1修多)'!G124)</f>
        <v>2216</v>
      </c>
      <c r="H4" s="1045">
        <f ca="1">IF('数据-取费表'!E3="否",结果表!H121,'结果表 (1修多)'!H124)</f>
        <v>106405577</v>
      </c>
      <c r="I4" s="1045">
        <f ca="1">IF('数据-取费表'!E3="否",结果表!I121,'结果表 (1修多)'!I124)</f>
        <v>29553</v>
      </c>
    </row>
    <row r="5" spans="1:9" ht="15">
      <c r="A5" s="2779" t="s">
        <v>1276</v>
      </c>
      <c r="B5" s="2779"/>
      <c r="C5" s="2779"/>
      <c r="D5" s="2780" t="str">
        <f ca="1">IF('数据-取费表'!E3="否",结果表!D122,'结果表 (1修多)'!D125)</f>
        <v>玖仟捌佰肆拾贰万陆仟捌佰陆拾玖元整</v>
      </c>
      <c r="E5" s="2780"/>
      <c r="F5" s="2780" t="str">
        <f ca="1">IF('数据-取费表'!E3="否",结果表!F122,'结果表 (1修多)'!F125)</f>
        <v>柒佰玖拾柒万捌仟柒佰零捌元整</v>
      </c>
      <c r="G5" s="2780"/>
      <c r="H5" s="2780" t="str">
        <f ca="1">IF('数据-取费表'!E3="否",结果表!H122,'结果表 (1修多)'!H125)</f>
        <v>壹亿零陆佰肆拾万伍仟伍佰柒拾柒元整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1276</v>
      </c>
      <c r="B7" s="2779"/>
      <c r="C7" s="2779"/>
      <c r="D7" s="2787">
        <f>IF('数据-取费表'!E3="否",结果表!D124,'结果表 (1修多)'!D127)</f>
        <v>0</v>
      </c>
      <c r="E7" s="2788"/>
      <c r="F7" s="2788"/>
      <c r="G7" s="2788"/>
      <c r="H7" s="2788"/>
      <c r="I7" s="2789"/>
    </row>
    <row r="8" spans="1:9" ht="15.75">
      <c r="A8" s="2781" t="str">
        <f>IF('数据-取费表'!E3="否",结果表!A125,'结果表 (1修多)'!A128)</f>
        <v>房地产抵押价值</v>
      </c>
      <c r="B8" s="2781"/>
      <c r="C8" s="2781"/>
      <c r="D8" s="2781">
        <f ca="1">IF('数据-取费表'!E3="否",结果表!D125,'结果表 (1修多)'!D128)</f>
        <v>106405577</v>
      </c>
      <c r="E8" s="2781"/>
      <c r="F8" s="2781"/>
      <c r="G8" s="2781"/>
      <c r="H8" s="2781"/>
      <c r="I8" s="2781"/>
    </row>
    <row r="9" spans="1:9" ht="15">
      <c r="A9" s="2779" t="s">
        <v>1276</v>
      </c>
      <c r="B9" s="2779"/>
      <c r="C9" s="2779"/>
      <c r="D9" s="2780">
        <f ca="1">IF('数据-取费表'!E3="否",结果表!D126,'结果表 (1修多)'!D129)</f>
        <v>29553</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79" t="s">
        <v>1276</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1276</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C10" sqref="C10:D10"/>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1" t="s">
        <v>1290</v>
      </c>
      <c r="B1" s="2791"/>
      <c r="C1" s="2791"/>
      <c r="D1" s="2791"/>
    </row>
    <row r="2" spans="1:4" ht="18">
      <c r="A2" s="2790" t="s">
        <v>1278</v>
      </c>
      <c r="B2" s="2790"/>
      <c r="C2" s="2790"/>
      <c r="D2" s="2790"/>
    </row>
    <row r="3" spans="1:4" ht="18.75">
      <c r="A3" s="1951" t="s">
        <v>1279</v>
      </c>
      <c r="B3" s="1951" t="s">
        <v>1280</v>
      </c>
      <c r="C3" s="1951" t="s">
        <v>1281</v>
      </c>
      <c r="D3" s="1951" t="s">
        <v>1282</v>
      </c>
    </row>
    <row r="4" spans="1:4" ht="56.25" customHeight="1">
      <c r="A4" s="1952" t="str">
        <f>项目基本情况!B3</f>
        <v>陈颖</v>
      </c>
      <c r="B4" s="1953">
        <f ca="1">项目基本情况!C3</f>
        <v>1120060040</v>
      </c>
      <c r="C4" s="1954"/>
      <c r="D4" s="1955" t="s">
        <v>1291</v>
      </c>
    </row>
    <row r="5" spans="1:4" ht="56.25" customHeight="1">
      <c r="A5" s="1952" t="str">
        <f>项目基本情况!D3</f>
        <v>叶凌</v>
      </c>
      <c r="B5" s="1953">
        <f ca="1">项目基本情况!E3</f>
        <v>1119970111</v>
      </c>
      <c r="C5" s="1956"/>
      <c r="D5" s="1955" t="s">
        <v>1291</v>
      </c>
    </row>
    <row r="6" spans="1:4" ht="12" customHeight="1">
      <c r="A6" s="1952"/>
      <c r="B6" s="1953"/>
      <c r="C6" s="1957"/>
      <c r="D6" s="1955"/>
    </row>
    <row r="7" spans="1:4" ht="18">
      <c r="A7" s="2790" t="s">
        <v>1283</v>
      </c>
      <c r="B7" s="2790"/>
      <c r="C7" s="2790"/>
      <c r="D7" s="2790"/>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792" t="s">
        <v>1292</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2" t="str">
        <f>IF(项目基本情况!D4="抵押","4.本次评估估价师所知悉的法定优先受偿款情况说明如下：","——")</f>
        <v>4.本次评估估价师所知悉的法定优先受偿款情况说明如下：</v>
      </c>
      <c r="B15" s="2793"/>
      <c r="C15" s="2793"/>
      <c r="D15" s="2793"/>
    </row>
    <row r="16" spans="1:4" ht="75" customHeight="1">
      <c r="A16" s="2792" t="str">
        <f>IF(项目基本情况!D4="抵押",CONCATENATE(项目基本情况!J13,项目基本情况!J14,项目基本情况!J15),"——")</f>
        <v>根据估价对象《不动产权证书》复印件、，截至价值时点，估价对象抵押权未见登记。</v>
      </c>
      <c r="B16" s="2792"/>
      <c r="C16" s="2792"/>
      <c r="D16" s="2792"/>
    </row>
    <row r="17" spans="1:4" ht="63.75" customHeight="1">
      <c r="A17" s="2794" t="s">
        <v>1293</v>
      </c>
      <c r="B17" s="2794"/>
      <c r="C17" s="2794"/>
      <c r="D17" s="2794"/>
    </row>
    <row r="18" spans="1:4" ht="15.75" customHeight="1">
      <c r="A18" s="2792" t="str">
        <f>IF(项目基本情况!D4="抵押",结果表!K106,"——")</f>
        <v>本次评估不存在估价师所知悉的法定优先受偿款。</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1286</v>
      </c>
      <c r="B20" s="2794"/>
      <c r="C20" s="2794"/>
      <c r="D20" s="2794"/>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800" t="s">
        <v>1372</v>
      </c>
      <c r="B15" s="2795" t="s">
        <v>1373</v>
      </c>
      <c r="C15" s="2796"/>
    </row>
    <row r="16" spans="1:7" ht="14.25">
      <c r="A16" s="2801"/>
      <c r="B16" s="2795" t="s">
        <v>1374</v>
      </c>
      <c r="C16" s="2796"/>
    </row>
    <row r="17" spans="1:3" ht="14.25">
      <c r="A17" s="2801"/>
      <c r="B17" s="2795" t="s">
        <v>1375</v>
      </c>
      <c r="C17" s="2796"/>
    </row>
    <row r="18" spans="1:3" ht="14.25">
      <c r="A18" s="2802"/>
      <c r="B18" s="2797" t="s">
        <v>1376</v>
      </c>
      <c r="C18" s="2796"/>
    </row>
    <row r="19" spans="1:3" ht="14.25">
      <c r="A19" s="1975" t="s">
        <v>1377</v>
      </c>
      <c r="B19" s="1976"/>
      <c r="C19" s="1977"/>
    </row>
    <row r="20" spans="1:3" ht="14.25">
      <c r="A20" s="2798" t="s">
        <v>1378</v>
      </c>
      <c r="B20" s="2797" t="s">
        <v>1379</v>
      </c>
      <c r="C20" s="2796"/>
    </row>
    <row r="21" spans="1:3" ht="14.25">
      <c r="A21" s="2798"/>
      <c r="B21" s="2797" t="s">
        <v>1380</v>
      </c>
      <c r="C21" s="2796"/>
    </row>
    <row r="22" spans="1:3" ht="14.25">
      <c r="A22" s="2798"/>
      <c r="B22" s="2797" t="s">
        <v>1381</v>
      </c>
      <c r="C22" s="2796"/>
    </row>
    <row r="23" spans="1:3" ht="14.25">
      <c r="A23" s="2798"/>
      <c r="B23" s="2799" t="s">
        <v>1382</v>
      </c>
      <c r="C23" s="1978" t="s">
        <v>1383</v>
      </c>
    </row>
    <row r="24" spans="1:3" ht="14.25">
      <c r="A24" s="2798"/>
      <c r="B24" s="2799"/>
      <c r="C24" s="1978" t="s">
        <v>1384</v>
      </c>
    </row>
    <row r="25" spans="1:3" ht="14.25">
      <c r="A25" s="2798"/>
      <c r="B25" s="2799"/>
      <c r="C25" s="1978" t="s">
        <v>1385</v>
      </c>
    </row>
    <row r="26" spans="1:3" ht="14.25">
      <c r="A26" s="2798"/>
      <c r="B26" s="2799"/>
      <c r="C26" s="1978" t="s">
        <v>1386</v>
      </c>
    </row>
    <row r="27" spans="1:3" ht="14.25">
      <c r="A27" s="2798"/>
      <c r="B27" s="2799"/>
      <c r="C27" s="1978" t="s">
        <v>1387</v>
      </c>
    </row>
    <row r="28" spans="1:3" ht="14.25">
      <c r="A28" s="2798"/>
      <c r="B28" s="2799"/>
      <c r="C28" s="1978" t="s">
        <v>1388</v>
      </c>
    </row>
    <row r="29" spans="1:3" ht="14.25">
      <c r="A29" s="2798"/>
      <c r="B29" s="2799"/>
      <c r="C29" s="1978" t="s">
        <v>1389</v>
      </c>
    </row>
    <row r="30" spans="1:3" ht="14.25">
      <c r="A30" s="2798"/>
      <c r="B30" s="2799"/>
      <c r="C30" s="1978" t="s">
        <v>1390</v>
      </c>
    </row>
    <row r="31" spans="1:3" ht="14.25">
      <c r="A31" s="2798"/>
      <c r="B31" s="2799"/>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43966</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4">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4">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2808</v>
      </c>
      <c r="B14" s="1027">
        <f ca="1">IF(C14&lt;B2,"已过期",1120040230)</f>
        <v>1120040230</v>
      </c>
      <c r="C14" s="2714">
        <v>44864</v>
      </c>
      <c r="D14" s="1808" t="str">
        <f t="shared" ca="1" si="0"/>
        <v>苏海（注册号：1120040230）</v>
      </c>
      <c r="E14" s="2715" t="s">
        <v>2808</v>
      </c>
      <c r="F14" s="1027">
        <f ca="1">IF(G14&lt;B2,"已过期",98030020)</f>
        <v>98030020</v>
      </c>
      <c r="G14" s="1035">
        <v>47118</v>
      </c>
      <c r="H14" s="1809" t="str">
        <f t="shared" ca="1" si="1"/>
        <v>苏海（注册号：98030020）</v>
      </c>
    </row>
    <row r="15" spans="1:8" ht="24" customHeight="1">
      <c r="A15" s="1810"/>
      <c r="B15" s="1027"/>
      <c r="C15" s="2714"/>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5"/>
      <c r="F17" s="1027"/>
      <c r="G17" s="1035"/>
      <c r="H17" s="1809" t="str">
        <f t="shared" si="1"/>
        <v>（注册号：）</v>
      </c>
    </row>
    <row r="18" spans="1:8" ht="24" customHeight="1">
      <c r="A18" s="1806" t="s">
        <v>2823</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2825</v>
      </c>
      <c r="B23" s="1027">
        <v>1119980106</v>
      </c>
      <c r="C23" s="2714">
        <v>43916</v>
      </c>
      <c r="D23" s="1808" t="str">
        <f t="shared" si="0"/>
        <v>刘俊财（注册号：1119980106）</v>
      </c>
      <c r="E23" s="1806" t="s">
        <v>2825</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3" t="s">
        <v>764</v>
      </c>
      <c r="B25" s="2803"/>
      <c r="C25" s="2803"/>
      <c r="D25" s="2803"/>
      <c r="E25" s="2803"/>
      <c r="F25" s="2803"/>
      <c r="G25" s="2803"/>
      <c r="H25" s="2803"/>
    </row>
    <row r="26" spans="1:8" s="1030" customFormat="1" ht="24" customHeight="1">
      <c r="A26" s="2804" t="s">
        <v>765</v>
      </c>
      <c r="B26" s="2804"/>
      <c r="C26" s="2804"/>
      <c r="D26" s="1058"/>
      <c r="E26" s="1058"/>
      <c r="F26" s="2804" t="s">
        <v>766</v>
      </c>
      <c r="G26" s="2804"/>
      <c r="H26" s="2804"/>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2824</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为估价委托人在向北京银行华安支行办理贷款手续过程中，确定房地产抵押贷款额度提供参考依据而评估房地产抵押价值。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先科中电电力技术设备有限公司拟使用北京市北京市通州区枫露苑一区甲1号楼1至4层甲1号楼房地产作为抵押担保物，向北京银行华安支行办理贷款手续。北京银行华安支行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05"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本次估价的“房地产价值”是指在正常市场情况下，在价值时点2020年5月14日，估价对象规划用途为，假定未设立法定优先受偿款下的房地产市场价值。</v>
      </c>
    </row>
    <row r="54" spans="1:4">
      <c r="A54" s="2805"/>
      <c r="B54" s="9" t="s">
        <v>1528</v>
      </c>
      <c r="C54" s="9" t="s">
        <v>1529</v>
      </c>
    </row>
    <row r="55" spans="1:4">
      <c r="A55" s="2805"/>
      <c r="B55" s="9" t="s">
        <v>1530</v>
      </c>
      <c r="C55" s="9" t="s">
        <v>1531</v>
      </c>
    </row>
    <row r="56" spans="1:4">
      <c r="A56" s="2805"/>
      <c r="B56" s="9" t="s">
        <v>1532</v>
      </c>
      <c r="C56" s="9" t="s">
        <v>1533</v>
      </c>
    </row>
    <row r="57" spans="1:4">
      <c r="A57" s="2805"/>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2020-05-15T05:07:11Z</dcterms:modified>
</cp:coreProperties>
</file>