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3" i="33" l="1"/>
  <c r="D93" i="33"/>
  <c r="G27" i="9" l="1"/>
  <c r="D77" i="33"/>
  <c r="E77" i="33" s="1"/>
  <c r="D79" i="33"/>
  <c r="E79" i="33"/>
  <c r="F17" i="33" s="1"/>
  <c r="R47" i="33"/>
  <c r="T47" i="33"/>
  <c r="V20" i="1"/>
  <c r="T19" i="1"/>
  <c r="F19" i="6"/>
  <c r="E19" i="6" s="1"/>
  <c r="U6" i="43" s="1"/>
  <c r="D3" i="4"/>
  <c r="B2" i="1" s="1"/>
  <c r="D15" i="4"/>
  <c r="D33" i="43"/>
  <c r="D1" i="43" s="1"/>
  <c r="G23" i="4"/>
  <c r="G24" i="4" s="1"/>
  <c r="N18" i="1"/>
  <c r="G24" i="43"/>
  <c r="J24" i="43"/>
  <c r="G3" i="43"/>
  <c r="E26" i="43" s="1"/>
  <c r="G26" i="43"/>
  <c r="G2" i="43"/>
  <c r="C27" i="43" s="1"/>
  <c r="C25" i="43" s="1"/>
  <c r="I2" i="43"/>
  <c r="M2" i="43" s="1"/>
  <c r="M6" i="43"/>
  <c r="K21" i="43"/>
  <c r="L21" i="43"/>
  <c r="C17" i="43"/>
  <c r="N2" i="43"/>
  <c r="F61" i="43"/>
  <c r="H61" i="43" s="1"/>
  <c r="G61" i="43" s="1"/>
  <c r="H65" i="43"/>
  <c r="G65" i="43" s="1"/>
  <c r="C22" i="43"/>
  <c r="M7" i="43"/>
  <c r="N7" i="43"/>
  <c r="A6" i="1"/>
  <c r="O98" i="33"/>
  <c r="P98" i="33"/>
  <c r="O97" i="33"/>
  <c r="P92" i="33" s="1"/>
  <c r="S3" i="43"/>
  <c r="S4" i="43"/>
  <c r="B55" i="1"/>
  <c r="B56" i="1"/>
  <c r="B57" i="1"/>
  <c r="B58" i="1"/>
  <c r="B59" i="1"/>
  <c r="B54" i="1"/>
  <c r="B24" i="31"/>
  <c r="F59" i="33"/>
  <c r="G59" i="33" s="1"/>
  <c r="H59" i="33" s="1"/>
  <c r="I59" i="33" s="1"/>
  <c r="J59" i="33" s="1"/>
  <c r="K59" i="33" s="1"/>
  <c r="E59" i="33"/>
  <c r="C33" i="33"/>
  <c r="J33" i="33" s="1"/>
  <c r="O96" i="33"/>
  <c r="P93" i="33"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B87" i="71" s="1"/>
  <c r="B86" i="71" s="1"/>
  <c r="F87" i="71"/>
  <c r="F86" i="71" s="1"/>
  <c r="D85" i="71"/>
  <c r="F84" i="71"/>
  <c r="E84" i="71"/>
  <c r="E83" i="71"/>
  <c r="E82" i="71" s="1"/>
  <c r="C84" i="71"/>
  <c r="D84" i="71" s="1"/>
  <c r="B84" i="71"/>
  <c r="F83" i="71"/>
  <c r="F82" i="71"/>
  <c r="C83" i="71"/>
  <c r="B83" i="71"/>
  <c r="B82" i="71" s="1"/>
  <c r="D81" i="71"/>
  <c r="Q80" i="71"/>
  <c r="P80" i="71"/>
  <c r="O80" i="71"/>
  <c r="N80" i="71"/>
  <c r="F80" i="71"/>
  <c r="E80" i="71"/>
  <c r="C80" i="71"/>
  <c r="B80" i="71"/>
  <c r="S80" i="71"/>
  <c r="Q79" i="71"/>
  <c r="P79" i="71"/>
  <c r="O79" i="71"/>
  <c r="N79" i="71"/>
  <c r="B79" i="71"/>
  <c r="B78" i="71"/>
  <c r="Q78" i="71"/>
  <c r="P78" i="71"/>
  <c r="O78" i="71"/>
  <c r="N78" i="71"/>
  <c r="Q77" i="71"/>
  <c r="P77" i="71"/>
  <c r="O77" i="71"/>
  <c r="N77" i="71"/>
  <c r="D77" i="71"/>
  <c r="V76" i="71"/>
  <c r="Q76" i="71"/>
  <c r="P76" i="71"/>
  <c r="O76" i="71"/>
  <c r="N76" i="71"/>
  <c r="F76" i="71"/>
  <c r="E76" i="71"/>
  <c r="E75" i="71" s="1"/>
  <c r="E74" i="71" s="1"/>
  <c r="C76" i="71"/>
  <c r="B76" i="71"/>
  <c r="B75" i="71"/>
  <c r="B74" i="71" s="1"/>
  <c r="Q75" i="71"/>
  <c r="P75" i="71"/>
  <c r="O75" i="71"/>
  <c r="N75" i="71"/>
  <c r="F75" i="71"/>
  <c r="F74" i="71"/>
  <c r="C75" i="71"/>
  <c r="Q74" i="71"/>
  <c r="P74" i="71"/>
  <c r="O74" i="71"/>
  <c r="N74" i="71"/>
  <c r="Q73" i="71"/>
  <c r="P73" i="71"/>
  <c r="O73" i="71"/>
  <c r="N73" i="71"/>
  <c r="D73" i="71"/>
  <c r="U72" i="71"/>
  <c r="Q72" i="71"/>
  <c r="P72" i="71"/>
  <c r="O72" i="71"/>
  <c r="N72" i="71"/>
  <c r="F72" i="71"/>
  <c r="F71" i="71" s="1"/>
  <c r="F70" i="71" s="1"/>
  <c r="V72" i="71"/>
  <c r="E72" i="71"/>
  <c r="E71" i="71"/>
  <c r="E70" i="71" s="1"/>
  <c r="C72" i="71"/>
  <c r="B72" i="71"/>
  <c r="S72" i="71" s="1"/>
  <c r="Q71" i="71"/>
  <c r="P71" i="71"/>
  <c r="O71" i="71"/>
  <c r="N71" i="71"/>
  <c r="B71" i="71"/>
  <c r="B70" i="71" s="1"/>
  <c r="Q70" i="71"/>
  <c r="P70" i="71"/>
  <c r="O70" i="71"/>
  <c r="N70" i="71"/>
  <c r="Q69" i="71"/>
  <c r="P69" i="71"/>
  <c r="O69" i="71"/>
  <c r="N69" i="71"/>
  <c r="D69" i="71"/>
  <c r="S68" i="71"/>
  <c r="P68" i="71"/>
  <c r="F68" i="71"/>
  <c r="E68" i="71"/>
  <c r="C68" i="71"/>
  <c r="B68" i="71"/>
  <c r="B67" i="71" s="1"/>
  <c r="N68" i="71"/>
  <c r="C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c r="F60" i="71" s="1"/>
  <c r="V60" i="71"/>
  <c r="P57" i="71"/>
  <c r="E58" i="71" s="1"/>
  <c r="O57" i="71"/>
  <c r="C58" i="71" s="1"/>
  <c r="N57" i="71"/>
  <c r="B58" i="71"/>
  <c r="B59" i="71" s="1"/>
  <c r="B60" i="71" s="1"/>
  <c r="S60" i="71" s="1"/>
  <c r="D57" i="71"/>
  <c r="Q56" i="71"/>
  <c r="P56" i="71"/>
  <c r="O56" i="71"/>
  <c r="N56" i="71"/>
  <c r="Q55" i="71"/>
  <c r="P55" i="71"/>
  <c r="O55" i="71"/>
  <c r="N55" i="71"/>
  <c r="Q54" i="71"/>
  <c r="P54" i="71"/>
  <c r="O54" i="71"/>
  <c r="N54" i="71"/>
  <c r="B55" i="71"/>
  <c r="B56" i="71" s="1"/>
  <c r="S56" i="71" s="1"/>
  <c r="Q53" i="71"/>
  <c r="F54" i="71" s="1"/>
  <c r="F55" i="71" s="1"/>
  <c r="F56" i="71" s="1"/>
  <c r="V56" i="71" s="1"/>
  <c r="P53" i="71"/>
  <c r="E54" i="71" s="1"/>
  <c r="E55" i="71"/>
  <c r="E56" i="71" s="1"/>
  <c r="U56" i="71" s="1"/>
  <c r="O53" i="71"/>
  <c r="C54" i="71" s="1"/>
  <c r="N53" i="71"/>
  <c r="B54" i="71"/>
  <c r="D53" i="71"/>
  <c r="Q52" i="71"/>
  <c r="P52" i="71"/>
  <c r="O52" i="71"/>
  <c r="N52" i="71"/>
  <c r="Q51" i="71"/>
  <c r="P51" i="71"/>
  <c r="O51" i="71"/>
  <c r="N51" i="71"/>
  <c r="Q50" i="71"/>
  <c r="P50" i="71"/>
  <c r="O50" i="71"/>
  <c r="N50" i="71"/>
  <c r="E50" i="71"/>
  <c r="E51" i="71"/>
  <c r="E52" i="71" s="1"/>
  <c r="U52" i="71" s="1"/>
  <c r="Q49" i="71"/>
  <c r="F50" i="71"/>
  <c r="F51" i="71"/>
  <c r="F52" i="71" s="1"/>
  <c r="V52" i="71" s="1"/>
  <c r="P49" i="7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E43" i="71"/>
  <c r="E44" i="71"/>
  <c r="U44" i="71" s="1"/>
  <c r="Q42" i="71"/>
  <c r="P42" i="71"/>
  <c r="O42" i="71"/>
  <c r="N42" i="71"/>
  <c r="F42" i="71"/>
  <c r="F43" i="71" s="1"/>
  <c r="F44" i="71" s="1"/>
  <c r="V44" i="71" s="1"/>
  <c r="Q41" i="71"/>
  <c r="P41" i="71"/>
  <c r="E42" i="71"/>
  <c r="O41" i="71"/>
  <c r="C42" i="71" s="1"/>
  <c r="C43" i="71"/>
  <c r="N41" i="71"/>
  <c r="B42" i="71" s="1"/>
  <c r="B43" i="71" s="1"/>
  <c r="B44" i="71" s="1"/>
  <c r="S44" i="71" s="1"/>
  <c r="D41" i="71"/>
  <c r="AH40" i="71"/>
  <c r="AG40" i="71"/>
  <c r="AE40" i="71"/>
  <c r="AF40" i="71" s="1"/>
  <c r="AD40" i="71"/>
  <c r="Q40" i="71"/>
  <c r="P40" i="71"/>
  <c r="O40" i="71"/>
  <c r="N40" i="71"/>
  <c r="AH39" i="71"/>
  <c r="AG39" i="71"/>
  <c r="AE39" i="71"/>
  <c r="AF39" i="71"/>
  <c r="AD39" i="71"/>
  <c r="Z39" i="71"/>
  <c r="Q39" i="71"/>
  <c r="P39" i="71"/>
  <c r="AA39" i="71" s="1"/>
  <c r="O39" i="71"/>
  <c r="Y39" i="71" s="1"/>
  <c r="N39" i="71"/>
  <c r="X39" i="71" s="1"/>
  <c r="AH38" i="71"/>
  <c r="AG38" i="71"/>
  <c r="AE38" i="71"/>
  <c r="AF38" i="71"/>
  <c r="AD38" i="71"/>
  <c r="Q38" i="71"/>
  <c r="P38" i="71"/>
  <c r="AA38" i="71" s="1"/>
  <c r="O38" i="71"/>
  <c r="Y35" i="71"/>
  <c r="Z35" i="71"/>
  <c r="N38" i="71"/>
  <c r="X38" i="71" s="1"/>
  <c r="AH37" i="71"/>
  <c r="AG37" i="71"/>
  <c r="AE37" i="71"/>
  <c r="AF37" i="71" s="1"/>
  <c r="AD37" i="71"/>
  <c r="AA37" i="71"/>
  <c r="Q37" i="71"/>
  <c r="P37" i="71"/>
  <c r="E38" i="71" s="1"/>
  <c r="E39" i="71" s="1"/>
  <c r="E40" i="71" s="1"/>
  <c r="U40" i="71" s="1"/>
  <c r="O37" i="71"/>
  <c r="C38" i="71" s="1"/>
  <c r="N37" i="71"/>
  <c r="B38" i="71"/>
  <c r="B39" i="71" s="1"/>
  <c r="B40" i="71"/>
  <c r="S40" i="71" s="1"/>
  <c r="D37" i="71"/>
  <c r="AH36" i="71"/>
  <c r="AG36" i="71"/>
  <c r="AE36" i="71"/>
  <c r="AF36" i="71" s="1"/>
  <c r="AD36" i="71"/>
  <c r="Q36" i="71"/>
  <c r="P36" i="71"/>
  <c r="AA36" i="71" s="1"/>
  <c r="O36" i="71"/>
  <c r="N36" i="71"/>
  <c r="AH35" i="71"/>
  <c r="AG35" i="71"/>
  <c r="AE35" i="71"/>
  <c r="AF35" i="71"/>
  <c r="AD35" i="71"/>
  <c r="Q35" i="71"/>
  <c r="P35" i="71"/>
  <c r="AA35" i="71" s="1"/>
  <c r="O35" i="71"/>
  <c r="Y34" i="71" s="1"/>
  <c r="Z34" i="71" s="1"/>
  <c r="N35" i="71"/>
  <c r="AH34" i="71"/>
  <c r="AG34" i="71"/>
  <c r="AE34" i="71"/>
  <c r="AF34" i="71" s="1"/>
  <c r="AD34" i="71"/>
  <c r="Q34" i="71"/>
  <c r="P34" i="71"/>
  <c r="O34" i="71"/>
  <c r="N34" i="71"/>
  <c r="B35" i="71" s="1"/>
  <c r="B36" i="71" s="1"/>
  <c r="S36" i="71" s="1"/>
  <c r="AH33" i="71"/>
  <c r="AG33" i="71"/>
  <c r="AE33" i="71"/>
  <c r="AF33" i="71" s="1"/>
  <c r="AD33" i="71"/>
  <c r="Q33" i="71"/>
  <c r="F34" i="71" s="1"/>
  <c r="F35" i="71" s="1"/>
  <c r="F36" i="71" s="1"/>
  <c r="V36" i="71" s="1"/>
  <c r="P33" i="71"/>
  <c r="E34" i="71" s="1"/>
  <c r="E35" i="71" s="1"/>
  <c r="O33" i="71"/>
  <c r="N33" i="71"/>
  <c r="B34" i="71"/>
  <c r="D33" i="71"/>
  <c r="AH32" i="71"/>
  <c r="AG32" i="71"/>
  <c r="AF32" i="71"/>
  <c r="AE32" i="71"/>
  <c r="AD32" i="71"/>
  <c r="Q32" i="71"/>
  <c r="P32" i="71"/>
  <c r="O32" i="71"/>
  <c r="N32" i="71"/>
  <c r="AH31" i="71"/>
  <c r="AG31" i="71"/>
  <c r="AE31" i="71"/>
  <c r="AF31" i="71" s="1"/>
  <c r="AD31" i="71"/>
  <c r="Q31" i="71"/>
  <c r="P31" i="71"/>
  <c r="O31" i="71"/>
  <c r="N31" i="71"/>
  <c r="AH30" i="71"/>
  <c r="AG30" i="71"/>
  <c r="AE30" i="71"/>
  <c r="AF30" i="71"/>
  <c r="AD30" i="71"/>
  <c r="Q30" i="71"/>
  <c r="P30" i="71"/>
  <c r="O30" i="71"/>
  <c r="N30" i="71"/>
  <c r="AH29" i="71"/>
  <c r="AG29" i="71"/>
  <c r="AE29" i="71"/>
  <c r="AF29" i="71" s="1"/>
  <c r="AD29" i="71"/>
  <c r="Q29" i="71"/>
  <c r="F30" i="71" s="1"/>
  <c r="F31" i="71" s="1"/>
  <c r="F32" i="71" s="1"/>
  <c r="V32" i="71" s="1"/>
  <c r="P29" i="71"/>
  <c r="E30" i="71" s="1"/>
  <c r="O29" i="71"/>
  <c r="C30" i="71" s="1"/>
  <c r="N29" i="71"/>
  <c r="D29" i="71"/>
  <c r="AH28" i="71"/>
  <c r="AG28" i="71"/>
  <c r="AF28" i="71"/>
  <c r="AE28" i="71"/>
  <c r="AD28" i="71"/>
  <c r="Q28" i="71"/>
  <c r="AB28" i="71" s="1"/>
  <c r="P28" i="71"/>
  <c r="AA27" i="71" s="1"/>
  <c r="O28" i="71"/>
  <c r="N28" i="71"/>
  <c r="C28" i="71"/>
  <c r="B28" i="71"/>
  <c r="B27" i="71" s="1"/>
  <c r="S28" i="71"/>
  <c r="AH27" i="71"/>
  <c r="AG27" i="71"/>
  <c r="AE27" i="71"/>
  <c r="AF27" i="71" s="1"/>
  <c r="AD27" i="71"/>
  <c r="Q27" i="71"/>
  <c r="P27" i="71"/>
  <c r="O27" i="71"/>
  <c r="N27" i="71"/>
  <c r="AH26" i="71"/>
  <c r="AG26" i="71"/>
  <c r="AE26" i="71"/>
  <c r="AF26" i="71"/>
  <c r="AD26" i="71"/>
  <c r="Q26" i="71"/>
  <c r="P26" i="71"/>
  <c r="O26" i="71"/>
  <c r="N26" i="71"/>
  <c r="AH25" i="71"/>
  <c r="AG25" i="71"/>
  <c r="AE25" i="71"/>
  <c r="AF25" i="71" s="1"/>
  <c r="AD25" i="71"/>
  <c r="Q25" i="71"/>
  <c r="AB24" i="71" s="1"/>
  <c r="P25" i="71"/>
  <c r="O25" i="71"/>
  <c r="N25" i="71"/>
  <c r="D25" i="71"/>
  <c r="AH24" i="71"/>
  <c r="AG24" i="71"/>
  <c r="AE24" i="71"/>
  <c r="AF24" i="71"/>
  <c r="AD24" i="71"/>
  <c r="Q24" i="71"/>
  <c r="F24" i="71" s="1"/>
  <c r="F23" i="71" s="1"/>
  <c r="P24" i="71"/>
  <c r="E24" i="71" s="1"/>
  <c r="O24" i="71"/>
  <c r="N24" i="71"/>
  <c r="B24" i="71" s="1"/>
  <c r="B23" i="71" s="1"/>
  <c r="C24" i="71"/>
  <c r="S24" i="71"/>
  <c r="AH23" i="71"/>
  <c r="AG23" i="71"/>
  <c r="AE23" i="71"/>
  <c r="AF23" i="71"/>
  <c r="AD23" i="71"/>
  <c r="Q23" i="71"/>
  <c r="P23" i="71"/>
  <c r="O23" i="71"/>
  <c r="N23" i="71"/>
  <c r="AH22" i="71"/>
  <c r="AG22" i="71"/>
  <c r="AE22" i="71"/>
  <c r="AF22" i="71"/>
  <c r="AD22" i="71"/>
  <c r="Q22" i="71"/>
  <c r="P22" i="71"/>
  <c r="O22" i="71"/>
  <c r="N22" i="71"/>
  <c r="AH21" i="71"/>
  <c r="AG21" i="71"/>
  <c r="AF21" i="71"/>
  <c r="AE21" i="71"/>
  <c r="AD21" i="71"/>
  <c r="Q21" i="71"/>
  <c r="P21" i="71"/>
  <c r="O21" i="71"/>
  <c r="N21" i="71"/>
  <c r="AH20" i="71"/>
  <c r="AG20" i="71"/>
  <c r="AE20" i="71"/>
  <c r="AF20" i="7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F14" i="71"/>
  <c r="AE14" i="71"/>
  <c r="AD14" i="71"/>
  <c r="Q14" i="71"/>
  <c r="P14" i="71"/>
  <c r="AA14" i="71" s="1"/>
  <c r="O14" i="71"/>
  <c r="N14" i="71"/>
  <c r="AH13" i="71"/>
  <c r="AG13" i="71"/>
  <c r="AE13" i="71"/>
  <c r="AF13" i="71" s="1"/>
  <c r="AD13" i="71"/>
  <c r="Q13" i="71"/>
  <c r="P13" i="71"/>
  <c r="O13" i="71"/>
  <c r="N13" i="71"/>
  <c r="AH12" i="71"/>
  <c r="AG12" i="71"/>
  <c r="AE12" i="71"/>
  <c r="AF12" i="71"/>
  <c r="AD12" i="71"/>
  <c r="Q12" i="71"/>
  <c r="P12" i="71"/>
  <c r="O12" i="71"/>
  <c r="N12" i="71"/>
  <c r="AH11" i="71"/>
  <c r="AG11" i="71"/>
  <c r="AF11" i="71"/>
  <c r="AE11" i="7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c r="AD7" i="71"/>
  <c r="AB7" i="71"/>
  <c r="AA7" i="71"/>
  <c r="Y7" i="71"/>
  <c r="Z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E3" i="71"/>
  <c r="AF3" i="71" s="1"/>
  <c r="L3" i="71"/>
  <c r="AH3" i="71" s="1"/>
  <c r="K3" i="71"/>
  <c r="AG3" i="71"/>
  <c r="J3" i="71"/>
  <c r="I3" i="71"/>
  <c r="AD3" i="71"/>
  <c r="AD52" i="79"/>
  <c r="AB52" i="79"/>
  <c r="AA52" i="79"/>
  <c r="Z52" i="79"/>
  <c r="W52" i="79"/>
  <c r="N52" i="79"/>
  <c r="M52" i="79"/>
  <c r="P52" i="79"/>
  <c r="L52" i="79"/>
  <c r="I52" i="79"/>
  <c r="AB51" i="79"/>
  <c r="AA51" i="79"/>
  <c r="Z51" i="79"/>
  <c r="U51" i="79"/>
  <c r="AI51" i="79"/>
  <c r="N51" i="79"/>
  <c r="M51" i="79"/>
  <c r="L51" i="79"/>
  <c r="I51" i="79"/>
  <c r="AD51" i="79" s="1"/>
  <c r="AB50" i="79"/>
  <c r="AA50" i="79"/>
  <c r="Z50" i="79"/>
  <c r="P50" i="79"/>
  <c r="N50" i="79"/>
  <c r="U50" i="79" s="1"/>
  <c r="AI50" i="79" s="1"/>
  <c r="M50" i="79"/>
  <c r="L50" i="79"/>
  <c r="I50" i="79"/>
  <c r="AD49" i="79" s="1"/>
  <c r="AB49" i="79"/>
  <c r="AA49" i="79"/>
  <c r="Z49" i="79"/>
  <c r="N49" i="79"/>
  <c r="M49" i="79"/>
  <c r="P49" i="79" s="1"/>
  <c r="L49" i="79"/>
  <c r="I49" i="79"/>
  <c r="AB48" i="79"/>
  <c r="AA48" i="79"/>
  <c r="Z48" i="79"/>
  <c r="P48" i="79"/>
  <c r="N48" i="79"/>
  <c r="M48" i="79"/>
  <c r="L48" i="79"/>
  <c r="I48" i="79"/>
  <c r="AB47" i="79"/>
  <c r="AA47" i="79"/>
  <c r="Z47" i="79"/>
  <c r="N47" i="79"/>
  <c r="M47" i="79"/>
  <c r="P47" i="79"/>
  <c r="L47" i="79"/>
  <c r="S45" i="79" s="1"/>
  <c r="AG45" i="79" s="1"/>
  <c r="I47" i="79"/>
  <c r="AB46" i="79"/>
  <c r="AA46" i="79"/>
  <c r="Z46" i="79"/>
  <c r="N46" i="79"/>
  <c r="M46" i="79"/>
  <c r="L46" i="79"/>
  <c r="I46" i="79"/>
  <c r="AB45" i="79"/>
  <c r="AA45" i="79"/>
  <c r="Z45" i="79"/>
  <c r="N45" i="79"/>
  <c r="U44" i="79" s="1"/>
  <c r="AI44" i="79" s="1"/>
  <c r="M45" i="79"/>
  <c r="T45" i="79" s="1"/>
  <c r="W45" i="79" s="1"/>
  <c r="AK45" i="79" s="1"/>
  <c r="P45" i="79"/>
  <c r="L45" i="79"/>
  <c r="I45" i="79"/>
  <c r="N44" i="79"/>
  <c r="M44" i="79"/>
  <c r="L44" i="79"/>
  <c r="I44" i="79"/>
  <c r="P43" i="79"/>
  <c r="N43" i="79"/>
  <c r="U43" i="79" s="1"/>
  <c r="AI43" i="79" s="1"/>
  <c r="M43" i="79"/>
  <c r="L43" i="79"/>
  <c r="S43" i="79" s="1"/>
  <c r="AG43" i="79" s="1"/>
  <c r="I43" i="79"/>
  <c r="P42" i="79"/>
  <c r="N42" i="79"/>
  <c r="M42" i="79"/>
  <c r="L42" i="79"/>
  <c r="S41" i="79"/>
  <c r="AG41" i="79" s="1"/>
  <c r="I42" i="79"/>
  <c r="AD36" i="79" s="1"/>
  <c r="N41" i="79"/>
  <c r="M41" i="79"/>
  <c r="L41" i="79"/>
  <c r="I41" i="79"/>
  <c r="N40" i="79"/>
  <c r="M40" i="79"/>
  <c r="P40" i="79"/>
  <c r="L40" i="79"/>
  <c r="I40" i="79"/>
  <c r="AB39" i="79"/>
  <c r="AA39" i="79"/>
  <c r="Z39" i="79"/>
  <c r="N39" i="79"/>
  <c r="M39" i="79"/>
  <c r="P39" i="79" s="1"/>
  <c r="L39" i="79"/>
  <c r="I39" i="79"/>
  <c r="AB38" i="79"/>
  <c r="AA38" i="79"/>
  <c r="Z38" i="79"/>
  <c r="P38" i="79"/>
  <c r="N38" i="79"/>
  <c r="M38" i="79"/>
  <c r="L38" i="79"/>
  <c r="I38" i="79"/>
  <c r="AD38" i="79" s="1"/>
  <c r="AB37" i="79"/>
  <c r="AA37" i="79"/>
  <c r="Z37" i="79"/>
  <c r="N37" i="79"/>
  <c r="M37" i="79"/>
  <c r="P37" i="79" s="1"/>
  <c r="L37" i="79"/>
  <c r="I37" i="79"/>
  <c r="AB36" i="79"/>
  <c r="AA36" i="79"/>
  <c r="Z36" i="79"/>
  <c r="N36" i="79"/>
  <c r="M36" i="79"/>
  <c r="P36" i="79" s="1"/>
  <c r="L36" i="79"/>
  <c r="I36" i="79"/>
  <c r="AB35" i="79"/>
  <c r="AA35" i="79"/>
  <c r="Z35" i="79"/>
  <c r="N35" i="79"/>
  <c r="M35" i="79"/>
  <c r="P35" i="79" s="1"/>
  <c r="L35" i="79"/>
  <c r="I35"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M34" i="79"/>
  <c r="L34" i="79"/>
  <c r="S34" i="79"/>
  <c r="AG34" i="79" s="1"/>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B3" i="79" s="1"/>
  <c r="AA23" i="79"/>
  <c r="AD23" i="79" s="1"/>
  <c r="Z23" i="79"/>
  <c r="Y23" i="79"/>
  <c r="T23" i="79"/>
  <c r="W23" i="79" s="1"/>
  <c r="AK23" i="79" s="1"/>
  <c r="O23" i="79"/>
  <c r="N23" i="79"/>
  <c r="U23" i="79"/>
  <c r="AI23" i="79" s="1"/>
  <c r="M23" i="79"/>
  <c r="P23" i="79" s="1"/>
  <c r="L23" i="79"/>
  <c r="S23" i="79" s="1"/>
  <c r="AG23" i="79" s="1"/>
  <c r="K23" i="79"/>
  <c r="I23" i="79"/>
  <c r="AC22" i="79"/>
  <c r="AB22" i="79"/>
  <c r="AA22" i="79"/>
  <c r="AD22" i="79"/>
  <c r="Z22" i="79"/>
  <c r="Y22" i="79"/>
  <c r="O22" i="79"/>
  <c r="N22" i="79"/>
  <c r="U22" i="79" s="1"/>
  <c r="AI22" i="79" s="1"/>
  <c r="M22" i="79"/>
  <c r="L22" i="79"/>
  <c r="S22" i="79" s="1"/>
  <c r="AG22" i="79" s="1"/>
  <c r="K22" i="79"/>
  <c r="R22" i="79" s="1"/>
  <c r="AF22" i="79" s="1"/>
  <c r="I22" i="79"/>
  <c r="AC21" i="79"/>
  <c r="AB21" i="79"/>
  <c r="AA21" i="79"/>
  <c r="AD21" i="79"/>
  <c r="Z21" i="79"/>
  <c r="Y21" i="79"/>
  <c r="O21" i="79"/>
  <c r="N21" i="79"/>
  <c r="U21" i="79" s="1"/>
  <c r="AI21" i="79" s="1"/>
  <c r="M21" i="79"/>
  <c r="L21" i="79"/>
  <c r="S21" i="79" s="1"/>
  <c r="AG21" i="79" s="1"/>
  <c r="K21" i="79"/>
  <c r="I21" i="79"/>
  <c r="AD20" i="79"/>
  <c r="AC20" i="79"/>
  <c r="AB20" i="79"/>
  <c r="AA20" i="79"/>
  <c r="Z20" i="79"/>
  <c r="Y20" i="79"/>
  <c r="T20" i="79"/>
  <c r="W20" i="79" s="1"/>
  <c r="AK20" i="79" s="1"/>
  <c r="O20" i="79"/>
  <c r="N20" i="79"/>
  <c r="U20" i="79" s="1"/>
  <c r="AI20" i="79" s="1"/>
  <c r="M20" i="79"/>
  <c r="P20" i="79" s="1"/>
  <c r="L20" i="79"/>
  <c r="S20" i="79" s="1"/>
  <c r="AG20" i="79" s="1"/>
  <c r="K20" i="79"/>
  <c r="I20" i="79"/>
  <c r="AC19" i="79"/>
  <c r="AB19" i="79"/>
  <c r="AA19" i="79"/>
  <c r="AD19" i="79" s="1"/>
  <c r="Z19" i="79"/>
  <c r="Y19" i="79"/>
  <c r="O19" i="79"/>
  <c r="V16" i="79" s="1"/>
  <c r="AJ16" i="79" s="1"/>
  <c r="N19" i="79"/>
  <c r="M19" i="79"/>
  <c r="P19" i="79" s="1"/>
  <c r="L19" i="79"/>
  <c r="K19" i="79"/>
  <c r="R19" i="79" s="1"/>
  <c r="AF19" i="79" s="1"/>
  <c r="I19" i="79"/>
  <c r="AC18" i="79"/>
  <c r="AB18" i="79"/>
  <c r="AA18" i="79"/>
  <c r="AD18" i="79" s="1"/>
  <c r="Z18" i="79"/>
  <c r="Y18" i="79"/>
  <c r="O18" i="79"/>
  <c r="N18" i="79"/>
  <c r="M18" i="79"/>
  <c r="L18" i="79"/>
  <c r="S18" i="79" s="1"/>
  <c r="AG18" i="79" s="1"/>
  <c r="K18" i="79"/>
  <c r="R18" i="79" s="1"/>
  <c r="AF18" i="79" s="1"/>
  <c r="I18" i="79"/>
  <c r="AC17" i="79"/>
  <c r="AC3" i="79" s="1"/>
  <c r="AB17" i="79"/>
  <c r="AA17" i="79"/>
  <c r="AD17" i="79" s="1"/>
  <c r="Z17" i="79"/>
  <c r="Y17" i="79"/>
  <c r="P17" i="79"/>
  <c r="O17" i="79"/>
  <c r="N17" i="79"/>
  <c r="M17" i="79"/>
  <c r="L17" i="79"/>
  <c r="S17" i="79"/>
  <c r="AG17" i="79" s="1"/>
  <c r="K17" i="79"/>
  <c r="I17" i="79"/>
  <c r="P16" i="79"/>
  <c r="O16" i="79"/>
  <c r="N16" i="79"/>
  <c r="M16" i="79"/>
  <c r="L16" i="79"/>
  <c r="K16" i="79"/>
  <c r="I16" i="79"/>
  <c r="O15" i="79"/>
  <c r="N15" i="79"/>
  <c r="M15" i="79"/>
  <c r="P15" i="79" s="1"/>
  <c r="L15" i="79"/>
  <c r="K15" i="79"/>
  <c r="I15" i="79"/>
  <c r="P14" i="79"/>
  <c r="O14" i="79"/>
  <c r="N14" i="79"/>
  <c r="M14" i="79"/>
  <c r="L14" i="79"/>
  <c r="S14" i="79" s="1"/>
  <c r="AG14" i="79"/>
  <c r="K14" i="79"/>
  <c r="I14" i="79"/>
  <c r="O13" i="79"/>
  <c r="N13" i="79"/>
  <c r="M13" i="79"/>
  <c r="P13" i="79" s="1"/>
  <c r="L13" i="79"/>
  <c r="K13" i="79"/>
  <c r="I13" i="79"/>
  <c r="O12" i="79"/>
  <c r="N12" i="79"/>
  <c r="M12" i="79"/>
  <c r="L12" i="79"/>
  <c r="K12" i="79"/>
  <c r="I12" i="79"/>
  <c r="AC11" i="79"/>
  <c r="AB11" i="79"/>
  <c r="AA11" i="79"/>
  <c r="AD11" i="79" s="1"/>
  <c r="AA3" i="79"/>
  <c r="AD3" i="79" s="1"/>
  <c r="Z11" i="79"/>
  <c r="Y11" i="79"/>
  <c r="P11" i="79"/>
  <c r="O11" i="79"/>
  <c r="N11" i="79"/>
  <c r="M11" i="79"/>
  <c r="L11" i="79"/>
  <c r="K11" i="79"/>
  <c r="I11" i="79"/>
  <c r="AD10" i="79"/>
  <c r="AC10" i="79"/>
  <c r="AB10" i="79"/>
  <c r="AA10" i="79"/>
  <c r="Z10" i="79"/>
  <c r="Y10" i="79"/>
  <c r="P10" i="79"/>
  <c r="O10" i="79"/>
  <c r="N10" i="79"/>
  <c r="M10" i="79"/>
  <c r="L10" i="79"/>
  <c r="S6" i="79" s="1"/>
  <c r="AG6" i="79" s="1"/>
  <c r="K10" i="79"/>
  <c r="I10" i="79"/>
  <c r="AD9" i="79"/>
  <c r="AC9" i="79"/>
  <c r="AB9" i="79"/>
  <c r="AA9" i="79"/>
  <c r="Z9" i="79"/>
  <c r="Y9" i="79"/>
  <c r="S9" i="79"/>
  <c r="AG9" i="79" s="1"/>
  <c r="O9" i="79"/>
  <c r="N9" i="79"/>
  <c r="M9" i="79"/>
  <c r="P9" i="79" s="1"/>
  <c r="L9" i="79"/>
  <c r="K9" i="79"/>
  <c r="I9" i="79"/>
  <c r="AO11" i="79"/>
  <c r="AO12" i="79" s="1"/>
  <c r="AO13" i="79" s="1"/>
  <c r="AO14" i="79" s="1"/>
  <c r="AO15" i="79" s="1"/>
  <c r="AO16" i="79" s="1"/>
  <c r="AO17" i="79" s="1"/>
  <c r="AO18" i="79" s="1"/>
  <c r="AO19" i="79" s="1"/>
  <c r="AO20" i="79" s="1"/>
  <c r="AO21" i="79" s="1"/>
  <c r="AO22" i="79" s="1"/>
  <c r="AO23" i="79" s="1"/>
  <c r="AO24" i="79" s="1"/>
  <c r="AC8" i="79"/>
  <c r="AB8" i="79"/>
  <c r="AA8" i="79"/>
  <c r="AD8" i="79"/>
  <c r="Z8" i="79"/>
  <c r="Y8" i="79"/>
  <c r="O8" i="79"/>
  <c r="N8" i="79"/>
  <c r="M8" i="79"/>
  <c r="L8" i="79"/>
  <c r="K8" i="79"/>
  <c r="I8" i="79"/>
  <c r="AN9" i="79"/>
  <c r="AN10" i="79" s="1"/>
  <c r="AN11" i="79" s="1"/>
  <c r="AN12" i="79" s="1"/>
  <c r="AN13" i="79" s="1"/>
  <c r="AN14" i="79" s="1"/>
  <c r="AN15" i="79" s="1"/>
  <c r="AN16" i="79" s="1"/>
  <c r="AN17" i="79" s="1"/>
  <c r="AN18" i="79" s="1"/>
  <c r="AN19" i="79" s="1"/>
  <c r="AN20" i="79" s="1"/>
  <c r="AN21" i="79"/>
  <c r="AN22" i="79" s="1"/>
  <c r="AN23" i="79" s="1"/>
  <c r="AN24" i="79" s="1"/>
  <c r="AD7" i="79"/>
  <c r="AC7" i="79"/>
  <c r="AB7" i="79"/>
  <c r="AA7" i="79"/>
  <c r="Z7" i="79"/>
  <c r="Y7" i="79"/>
  <c r="P7" i="79"/>
  <c r="O7" i="79"/>
  <c r="N7" i="79"/>
  <c r="M7" i="79"/>
  <c r="L7" i="79"/>
  <c r="S7" i="79" s="1"/>
  <c r="AG7" i="79" s="1"/>
  <c r="K7" i="79"/>
  <c r="I7" i="79"/>
  <c r="AQ6" i="79"/>
  <c r="AQ7" i="79"/>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N6" i="79"/>
  <c r="AN7" i="79" s="1"/>
  <c r="AN8" i="79" s="1"/>
  <c r="AM6" i="79"/>
  <c r="AM7" i="79"/>
  <c r="AM8" i="79" s="1"/>
  <c r="AM9" i="79" s="1"/>
  <c r="AM10" i="79" s="1"/>
  <c r="AM11" i="79" s="1"/>
  <c r="AM12" i="79" s="1"/>
  <c r="AM13" i="79" s="1"/>
  <c r="AM14" i="79" s="1"/>
  <c r="AM15" i="79" s="1"/>
  <c r="AM16" i="79" s="1"/>
  <c r="AM17" i="79" s="1"/>
  <c r="AM18" i="79" s="1"/>
  <c r="AM19" i="79"/>
  <c r="AM20" i="79" s="1"/>
  <c r="AM21" i="79" s="1"/>
  <c r="AM22" i="79" s="1"/>
  <c r="AM23" i="79" s="1"/>
  <c r="AM24" i="79" s="1"/>
  <c r="AD6" i="79"/>
  <c r="AC6" i="79"/>
  <c r="AB6" i="79"/>
  <c r="AA6" i="79"/>
  <c r="Z6" i="79"/>
  <c r="Y6" i="79"/>
  <c r="P6" i="79"/>
  <c r="O6" i="79"/>
  <c r="N6" i="79"/>
  <c r="M6" i="79"/>
  <c r="L6" i="79"/>
  <c r="K6" i="79"/>
  <c r="I6" i="79"/>
  <c r="AC5" i="79"/>
  <c r="AB5" i="79"/>
  <c r="AA5" i="79"/>
  <c r="AD5" i="79" s="1"/>
  <c r="Z5" i="79"/>
  <c r="Y5" i="79"/>
  <c r="P5" i="79"/>
  <c r="O5" i="79"/>
  <c r="N5" i="79"/>
  <c r="M5" i="79"/>
  <c r="L5" i="79"/>
  <c r="K5" i="79"/>
  <c r="K3" i="79" s="1"/>
  <c r="I5" i="79"/>
  <c r="AR6" i="79" s="1"/>
  <c r="AR7" i="79" s="1"/>
  <c r="AR8" i="79" s="1"/>
  <c r="AR9" i="79" s="1"/>
  <c r="AR10" i="79" s="1"/>
  <c r="H3" i="79"/>
  <c r="G3" i="79"/>
  <c r="F3" i="79"/>
  <c r="I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c r="K111" i="43"/>
  <c r="K112" i="43" s="1"/>
  <c r="J111" i="43"/>
  <c r="J112" i="43" s="1"/>
  <c r="I111" i="43"/>
  <c r="I112" i="43" s="1"/>
  <c r="H111" i="43"/>
  <c r="H112" i="43" s="1"/>
  <c r="G111" i="43"/>
  <c r="G112" i="43" s="1"/>
  <c r="F111" i="43"/>
  <c r="F112" i="43" s="1"/>
  <c r="E111" i="43"/>
  <c r="E112" i="43" s="1"/>
  <c r="D111" i="43"/>
  <c r="D112" i="43"/>
  <c r="C111" i="43"/>
  <c r="C112" i="43" s="1"/>
  <c r="M101" i="43"/>
  <c r="N101" i="43" s="1"/>
  <c r="K101" i="43"/>
  <c r="J101" i="43"/>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c r="K95" i="43"/>
  <c r="J95" i="43"/>
  <c r="D95" i="43"/>
  <c r="B95" i="43"/>
  <c r="M94" i="43"/>
  <c r="N94" i="43" s="1"/>
  <c r="K94" i="43"/>
  <c r="J94" i="43"/>
  <c r="D94" i="43"/>
  <c r="M93" i="43"/>
  <c r="N93" i="43" s="1"/>
  <c r="K93" i="43"/>
  <c r="J93" i="43" s="1"/>
  <c r="F93" i="43"/>
  <c r="H98" i="43" s="1"/>
  <c r="D93" i="43"/>
  <c r="M90" i="43"/>
  <c r="N90" i="43" s="1"/>
  <c r="K90" i="43"/>
  <c r="J90" i="43"/>
  <c r="D90" i="43"/>
  <c r="M89" i="43"/>
  <c r="N89" i="43"/>
  <c r="K89" i="43"/>
  <c r="J89" i="43"/>
  <c r="D89" i="43"/>
  <c r="M88" i="43"/>
  <c r="N88" i="43" s="1"/>
  <c r="K88" i="43"/>
  <c r="J88" i="43" s="1"/>
  <c r="D88" i="43"/>
  <c r="M87" i="43"/>
  <c r="N87" i="43"/>
  <c r="K87" i="43"/>
  <c r="J87" i="43"/>
  <c r="D87" i="43"/>
  <c r="N86" i="43"/>
  <c r="M86" i="43"/>
  <c r="K86" i="43"/>
  <c r="J86" i="43"/>
  <c r="D86" i="43"/>
  <c r="B86" i="43"/>
  <c r="M85" i="43"/>
  <c r="N85" i="43"/>
  <c r="K85" i="43"/>
  <c r="J85" i="43" s="1"/>
  <c r="D85" i="43"/>
  <c r="B85" i="43"/>
  <c r="N84" i="43"/>
  <c r="M84" i="43"/>
  <c r="K84" i="43"/>
  <c r="J84" i="43"/>
  <c r="D84" i="43"/>
  <c r="M83" i="43"/>
  <c r="N83" i="43" s="1"/>
  <c r="K83" i="43"/>
  <c r="J83" i="43"/>
  <c r="F83" i="43"/>
  <c r="H85" i="43" s="1"/>
  <c r="D83" i="43"/>
  <c r="M80" i="43"/>
  <c r="N80" i="43" s="1"/>
  <c r="K80" i="43"/>
  <c r="J80" i="43"/>
  <c r="D80" i="43"/>
  <c r="N79" i="43"/>
  <c r="M79" i="43"/>
  <c r="K79" i="43"/>
  <c r="J79" i="43"/>
  <c r="D79" i="43"/>
  <c r="M78" i="43"/>
  <c r="N78" i="43"/>
  <c r="K78" i="43"/>
  <c r="J78" i="43" s="1"/>
  <c r="D78" i="43"/>
  <c r="M77" i="43"/>
  <c r="N77" i="43"/>
  <c r="K77" i="43"/>
  <c r="J77" i="43" s="1"/>
  <c r="D77" i="43"/>
  <c r="M76" i="43"/>
  <c r="N76" i="43"/>
  <c r="K76" i="43"/>
  <c r="J76" i="43"/>
  <c r="D76" i="43"/>
  <c r="M75" i="43"/>
  <c r="N75" i="43"/>
  <c r="K75" i="43"/>
  <c r="J75" i="43"/>
  <c r="D75" i="43"/>
  <c r="M74" i="43"/>
  <c r="N74" i="43"/>
  <c r="K74" i="43"/>
  <c r="J74" i="43"/>
  <c r="D74" i="43"/>
  <c r="B74" i="43"/>
  <c r="M73" i="43"/>
  <c r="N73" i="43" s="1"/>
  <c r="K73" i="43"/>
  <c r="J73" i="43"/>
  <c r="D73" i="43"/>
  <c r="M72" i="43"/>
  <c r="N72" i="43" s="1"/>
  <c r="K72" i="43"/>
  <c r="J72" i="43"/>
  <c r="F72" i="43"/>
  <c r="H80" i="43" s="1"/>
  <c r="D72" i="43"/>
  <c r="E72" i="43"/>
  <c r="B70" i="43" s="1"/>
  <c r="B63" i="43"/>
  <c r="B52" i="43"/>
  <c r="B50" i="43"/>
  <c r="H42" i="43"/>
  <c r="H41" i="43"/>
  <c r="H40" i="43"/>
  <c r="H39" i="43"/>
  <c r="H38" i="43"/>
  <c r="H37" i="43"/>
  <c r="Q32" i="43"/>
  <c r="P32" i="43"/>
  <c r="O32" i="43"/>
  <c r="E24" i="43"/>
  <c r="M32" i="43" s="1"/>
  <c r="N32" i="43"/>
  <c r="I23" i="43"/>
  <c r="G17" i="43"/>
  <c r="C13" i="43"/>
  <c r="AF10" i="43"/>
  <c r="AB10" i="43"/>
  <c r="Y10" i="43"/>
  <c r="C10" i="43"/>
  <c r="C11" i="43"/>
  <c r="AJ9" i="43"/>
  <c r="AJ10" i="43" s="1"/>
  <c r="AI9" i="43"/>
  <c r="AI10" i="43" s="1"/>
  <c r="AH9" i="43"/>
  <c r="AH10" i="43"/>
  <c r="AG9" i="43"/>
  <c r="AG10" i="43"/>
  <c r="AF9" i="43"/>
  <c r="AE9" i="43"/>
  <c r="AE10" i="43" s="1"/>
  <c r="AD9" i="43"/>
  <c r="AD10" i="43" s="1"/>
  <c r="AC9" i="43"/>
  <c r="AC10" i="43"/>
  <c r="AB9" i="43"/>
  <c r="AA9" i="43"/>
  <c r="AA10" i="43" s="1"/>
  <c r="Z9" i="43"/>
  <c r="Z10" i="43"/>
  <c r="C9" i="43"/>
  <c r="N1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BB11" i="3"/>
  <c r="BB13" i="3"/>
  <c r="C1" i="73"/>
  <c r="L1" i="73" s="1"/>
  <c r="AP6" i="1"/>
  <c r="AP7" i="1"/>
  <c r="AP8" i="1"/>
  <c r="AP9" i="1"/>
  <c r="AP10" i="1"/>
  <c r="AP11" i="1"/>
  <c r="AP12" i="1"/>
  <c r="AP13" i="1"/>
  <c r="G1" i="67"/>
  <c r="B43" i="1"/>
  <c r="B41" i="1" s="1"/>
  <c r="F32" i="67"/>
  <c r="H13" i="3"/>
  <c r="L19" i="6"/>
  <c r="B52" i="1"/>
  <c r="F34" i="67"/>
  <c r="F28" i="67"/>
  <c r="J49" i="67"/>
  <c r="M47" i="67"/>
  <c r="D6" i="1"/>
  <c r="C17" i="9"/>
  <c r="D17" i="9"/>
  <c r="C27" i="31"/>
  <c r="Q27" i="31"/>
  <c r="O27" i="31"/>
  <c r="M27" i="31"/>
  <c r="K27" i="31"/>
  <c r="I27" i="31"/>
  <c r="G27" i="31"/>
  <c r="E27" i="31"/>
  <c r="Q26" i="31"/>
  <c r="O26" i="31"/>
  <c r="M26" i="31"/>
  <c r="K26" i="31"/>
  <c r="I26" i="31"/>
  <c r="G26" i="31"/>
  <c r="E26" i="31"/>
  <c r="C26" i="31"/>
  <c r="Q25" i="31"/>
  <c r="O25" i="31"/>
  <c r="M25" i="31"/>
  <c r="K25" i="31"/>
  <c r="I25" i="31"/>
  <c r="G25" i="31"/>
  <c r="E25" i="31"/>
  <c r="C25" i="31"/>
  <c r="P23" i="31"/>
  <c r="N23" i="31"/>
  <c r="L23" i="31"/>
  <c r="J23" i="31"/>
  <c r="H23" i="31"/>
  <c r="F23" i="31"/>
  <c r="D23" i="31"/>
  <c r="B22" i="31"/>
  <c r="F12" i="31"/>
  <c r="G12" i="31" s="1"/>
  <c r="H12" i="31"/>
  <c r="I12" i="31" s="1"/>
  <c r="J12" i="31" s="1"/>
  <c r="K12" i="31" s="1"/>
  <c r="L12" i="31" s="1"/>
  <c r="M12" i="31" s="1"/>
  <c r="N12" i="31" s="1"/>
  <c r="O12" i="31" s="1"/>
  <c r="P12" i="31" s="1"/>
  <c r="Q12" i="31" s="1"/>
  <c r="R12" i="31" s="1"/>
  <c r="S12" i="31" s="1"/>
  <c r="D12" i="31"/>
  <c r="E12" i="31" s="1"/>
  <c r="Q10" i="31"/>
  <c r="R10" i="31" s="1"/>
  <c r="S10" i="31" s="1"/>
  <c r="D10" i="31"/>
  <c r="E10" i="31"/>
  <c r="F10" i="31"/>
  <c r="G10" i="31" s="1"/>
  <c r="H10" i="31" s="1"/>
  <c r="I10" i="31" s="1"/>
  <c r="J10" i="31" s="1"/>
  <c r="K10" i="31" s="1"/>
  <c r="L10" i="31" s="1"/>
  <c r="M10" i="31" s="1"/>
  <c r="N10" i="31" s="1"/>
  <c r="O10" i="31" s="1"/>
  <c r="P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c r="R6" i="31" s="1"/>
  <c r="S6" i="31" s="1"/>
  <c r="S2" i="31"/>
  <c r="R2" i="31"/>
  <c r="Q2" i="31"/>
  <c r="P2" i="31"/>
  <c r="O2" i="31"/>
  <c r="N2" i="31"/>
  <c r="M2" i="31"/>
  <c r="L2" i="31"/>
  <c r="K2" i="31"/>
  <c r="J2" i="31"/>
  <c r="I2" i="31"/>
  <c r="H2" i="31"/>
  <c r="G2" i="31"/>
  <c r="F2" i="31"/>
  <c r="E2" i="31"/>
  <c r="D2" i="31"/>
  <c r="C2" i="31"/>
  <c r="B120" i="40"/>
  <c r="B118" i="40"/>
  <c r="H39" i="40" s="1"/>
  <c r="B116" i="40"/>
  <c r="H115" i="40"/>
  <c r="I115" i="40" s="1"/>
  <c r="J115" i="40" s="1"/>
  <c r="K115" i="40" s="1"/>
  <c r="L115" i="40" s="1"/>
  <c r="M115" i="40" s="1"/>
  <c r="D115" i="40"/>
  <c r="E115" i="40" s="1"/>
  <c r="F115" i="40"/>
  <c r="G115" i="40" s="1"/>
  <c r="D113" i="40"/>
  <c r="E113" i="40" s="1"/>
  <c r="F113" i="40"/>
  <c r="G113" i="40" s="1"/>
  <c r="H113" i="40" s="1"/>
  <c r="I113" i="40" s="1"/>
  <c r="J113" i="40" s="1"/>
  <c r="K113" i="40" s="1"/>
  <c r="L113" i="40" s="1"/>
  <c r="M113" i="40" s="1"/>
  <c r="H111" i="40"/>
  <c r="I111" i="40" s="1"/>
  <c r="J111" i="40" s="1"/>
  <c r="K111" i="40" s="1"/>
  <c r="L111" i="40" s="1"/>
  <c r="M111" i="40" s="1"/>
  <c r="D111" i="40"/>
  <c r="E111" i="40"/>
  <c r="F111" i="40" s="1"/>
  <c r="G111" i="40" s="1"/>
  <c r="M107" i="40"/>
  <c r="L107" i="40"/>
  <c r="K107" i="40"/>
  <c r="J107" i="40"/>
  <c r="I107" i="40"/>
  <c r="H107" i="40"/>
  <c r="G107" i="40"/>
  <c r="F107" i="40"/>
  <c r="E107" i="40"/>
  <c r="D107" i="40"/>
  <c r="C107" i="40"/>
  <c r="B105" i="40"/>
  <c r="B103" i="40"/>
  <c r="H32" i="40" s="1"/>
  <c r="J32" i="40"/>
  <c r="W32" i="40" s="1"/>
  <c r="B101" i="40"/>
  <c r="J31" i="40"/>
  <c r="D100" i="40"/>
  <c r="E100" i="40"/>
  <c r="F100" i="40"/>
  <c r="G100" i="40" s="1"/>
  <c r="H100" i="40" s="1"/>
  <c r="I100" i="40" s="1"/>
  <c r="J100" i="40" s="1"/>
  <c r="K100" i="40" s="1"/>
  <c r="L100" i="40" s="1"/>
  <c r="M100" i="40" s="1"/>
  <c r="D98" i="40"/>
  <c r="E98" i="40"/>
  <c r="F98" i="40"/>
  <c r="G98" i="40" s="1"/>
  <c r="H98" i="40" s="1"/>
  <c r="I98" i="40" s="1"/>
  <c r="J98" i="40" s="1"/>
  <c r="K98" i="40" s="1"/>
  <c r="L98" i="40" s="1"/>
  <c r="M98" i="40" s="1"/>
  <c r="F96" i="40"/>
  <c r="G96" i="40"/>
  <c r="H96" i="40" s="1"/>
  <c r="I96" i="40"/>
  <c r="J96" i="40" s="1"/>
  <c r="K96" i="40" s="1"/>
  <c r="L96" i="40" s="1"/>
  <c r="M96" i="40" s="1"/>
  <c r="D96" i="40"/>
  <c r="E96" i="40"/>
  <c r="B95" i="40"/>
  <c r="F27" i="40" s="1"/>
  <c r="S27" i="40" s="1"/>
  <c r="D94" i="40"/>
  <c r="E94" i="40" s="1"/>
  <c r="F94" i="40" s="1"/>
  <c r="G94" i="40" s="1"/>
  <c r="D92" i="40"/>
  <c r="E92" i="40"/>
  <c r="F92" i="40" s="1"/>
  <c r="G92" i="40" s="1"/>
  <c r="E90" i="40"/>
  <c r="F90" i="40" s="1"/>
  <c r="G90" i="40" s="1"/>
  <c r="D90" i="40"/>
  <c r="D88" i="40"/>
  <c r="E88" i="40" s="1"/>
  <c r="F88" i="40" s="1"/>
  <c r="G88" i="40" s="1"/>
  <c r="E86" i="40"/>
  <c r="F86" i="40" s="1"/>
  <c r="G86" i="40" s="1"/>
  <c r="D86" i="40"/>
  <c r="D84" i="40"/>
  <c r="E84" i="40" s="1"/>
  <c r="F84" i="40" s="1"/>
  <c r="G84" i="40" s="1"/>
  <c r="B81" i="40"/>
  <c r="F14" i="40"/>
  <c r="B79" i="40"/>
  <c r="H13" i="40" s="1"/>
  <c r="B77" i="40"/>
  <c r="D76" i="40"/>
  <c r="E76" i="40" s="1"/>
  <c r="F76" i="40" s="1"/>
  <c r="G76" i="40" s="1"/>
  <c r="H76" i="40" s="1"/>
  <c r="I76" i="40" s="1"/>
  <c r="J76" i="40" s="1"/>
  <c r="K76" i="40"/>
  <c r="L76" i="40" s="1"/>
  <c r="M76" i="40" s="1"/>
  <c r="M74" i="40"/>
  <c r="L74" i="40"/>
  <c r="K74" i="40"/>
  <c r="J74" i="40"/>
  <c r="I74" i="40"/>
  <c r="H74" i="40"/>
  <c r="G74" i="40"/>
  <c r="F74" i="40"/>
  <c r="E74" i="40"/>
  <c r="D74" i="40"/>
  <c r="C74" i="40"/>
  <c r="H60" i="40"/>
  <c r="I60" i="40"/>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I48" i="40"/>
  <c r="J48" i="40"/>
  <c r="G48" i="40"/>
  <c r="H48" i="40"/>
  <c r="E48" i="40"/>
  <c r="F48" i="40" s="1"/>
  <c r="P43" i="40"/>
  <c r="P42" i="40"/>
  <c r="K42" i="40"/>
  <c r="V41" i="40"/>
  <c r="T41" i="40"/>
  <c r="R41" i="40"/>
  <c r="P41" i="40"/>
  <c r="Q40" i="40"/>
  <c r="Z40" i="40"/>
  <c r="Q39" i="40"/>
  <c r="Z39" i="40"/>
  <c r="Z38" i="40"/>
  <c r="Q38" i="40"/>
  <c r="Q37" i="40"/>
  <c r="Z37" i="40" s="1"/>
  <c r="J37" i="40"/>
  <c r="H37" i="40"/>
  <c r="F37" i="40"/>
  <c r="AA37" i="40"/>
  <c r="AC36" i="40"/>
  <c r="Q36" i="40"/>
  <c r="Z36" i="40" s="1"/>
  <c r="J36" i="40"/>
  <c r="W36" i="40"/>
  <c r="H36" i="40"/>
  <c r="U36" i="40" s="1"/>
  <c r="F36" i="40"/>
  <c r="AA36" i="40" s="1"/>
  <c r="Q35" i="40"/>
  <c r="Z35" i="40" s="1"/>
  <c r="J35" i="40"/>
  <c r="AC35" i="40" s="1"/>
  <c r="H35" i="40"/>
  <c r="F35" i="40"/>
  <c r="AA35" i="40"/>
  <c r="Q34" i="40"/>
  <c r="Z34" i="40"/>
  <c r="J34" i="40"/>
  <c r="H34" i="40"/>
  <c r="AB34" i="40"/>
  <c r="F34" i="40"/>
  <c r="AA34" i="40" s="1"/>
  <c r="Q33" i="40"/>
  <c r="Z33" i="40"/>
  <c r="Q32" i="40"/>
  <c r="Z32" i="40" s="1"/>
  <c r="U32" i="40"/>
  <c r="Z31" i="40"/>
  <c r="Q31" i="40"/>
  <c r="Z30" i="40"/>
  <c r="Q30" i="40"/>
  <c r="C30" i="40"/>
  <c r="AA28" i="40"/>
  <c r="W28" i="40"/>
  <c r="Q28" i="40"/>
  <c r="Z28" i="40"/>
  <c r="J28" i="40"/>
  <c r="AC28" i="40"/>
  <c r="H28" i="40"/>
  <c r="AB28" i="40"/>
  <c r="F28" i="40"/>
  <c r="S28" i="40"/>
  <c r="C28" i="40"/>
  <c r="Q27" i="40"/>
  <c r="Z27" i="40"/>
  <c r="AA27" i="40"/>
  <c r="AC25" i="40"/>
  <c r="AB25" i="40"/>
  <c r="U25" i="40"/>
  <c r="Q25" i="40"/>
  <c r="Z25" i="40" s="1"/>
  <c r="J25" i="40"/>
  <c r="W25" i="40" s="1"/>
  <c r="H25" i="40"/>
  <c r="F25" i="40"/>
  <c r="AA25" i="40"/>
  <c r="AB23" i="40"/>
  <c r="Q23" i="40"/>
  <c r="Z23" i="40"/>
  <c r="J23" i="40"/>
  <c r="H23" i="40"/>
  <c r="U23" i="40"/>
  <c r="F23" i="40"/>
  <c r="AA23" i="40" s="1"/>
  <c r="AC21" i="40"/>
  <c r="Q21" i="40"/>
  <c r="Z21" i="40"/>
  <c r="J21" i="40"/>
  <c r="W21" i="40" s="1"/>
  <c r="H21" i="40"/>
  <c r="F21" i="40"/>
  <c r="AA21" i="40"/>
  <c r="W19" i="40"/>
  <c r="Q19" i="40"/>
  <c r="Z19" i="40" s="1"/>
  <c r="J19" i="40"/>
  <c r="AC19" i="40"/>
  <c r="H19" i="40"/>
  <c r="U19" i="40"/>
  <c r="F19" i="40"/>
  <c r="AA19" i="40"/>
  <c r="C19" i="40"/>
  <c r="AC17" i="40"/>
  <c r="W17" i="40"/>
  <c r="U17" i="40"/>
  <c r="Q17" i="40"/>
  <c r="Z17" i="40" s="1"/>
  <c r="J17" i="40"/>
  <c r="H17" i="40"/>
  <c r="AB17" i="40"/>
  <c r="F17" i="40"/>
  <c r="AA17" i="40" s="1"/>
  <c r="Z15" i="40"/>
  <c r="W15" i="40"/>
  <c r="Q15" i="40"/>
  <c r="J15" i="40"/>
  <c r="AC15" i="40"/>
  <c r="H15" i="40"/>
  <c r="F15" i="40"/>
  <c r="AA15" i="40" s="1"/>
  <c r="AC14" i="40"/>
  <c r="Q14" i="40"/>
  <c r="Z14" i="40"/>
  <c r="J14" i="40"/>
  <c r="W14" i="40" s="1"/>
  <c r="H14" i="40"/>
  <c r="U14" i="40" s="1"/>
  <c r="Q13" i="40"/>
  <c r="Z13" i="40"/>
  <c r="J13" i="40"/>
  <c r="F13" i="40"/>
  <c r="AA13" i="40" s="1"/>
  <c r="Q12" i="40"/>
  <c r="Z12" i="40" s="1"/>
  <c r="F12" i="40"/>
  <c r="Q11" i="40"/>
  <c r="Z11" i="40" s="1"/>
  <c r="J11" i="40"/>
  <c r="H11" i="40"/>
  <c r="AB11" i="40" s="1"/>
  <c r="F11" i="40"/>
  <c r="S11" i="40" s="1"/>
  <c r="Q10" i="40"/>
  <c r="Z10" i="40" s="1"/>
  <c r="Q9" i="40"/>
  <c r="Z9" i="40" s="1"/>
  <c r="J9" i="40"/>
  <c r="AC9" i="40"/>
  <c r="H9" i="40"/>
  <c r="AB9" i="40" s="1"/>
  <c r="F9" i="40"/>
  <c r="AA9" i="40" s="1"/>
  <c r="W8" i="40"/>
  <c r="U8" i="40"/>
  <c r="J8" i="40"/>
  <c r="AC8" i="40"/>
  <c r="H8" i="40"/>
  <c r="AB8" i="40"/>
  <c r="F8" i="40"/>
  <c r="S8" i="40" s="1"/>
  <c r="B130" i="39"/>
  <c r="H45" i="39" s="1"/>
  <c r="U45" i="39" s="1"/>
  <c r="B128" i="39"/>
  <c r="B126" i="39"/>
  <c r="F125" i="39"/>
  <c r="G125" i="39" s="1"/>
  <c r="H125" i="39" s="1"/>
  <c r="I125" i="39" s="1"/>
  <c r="J125" i="39" s="1"/>
  <c r="K125" i="39" s="1"/>
  <c r="L125" i="39" s="1"/>
  <c r="M125" i="39" s="1"/>
  <c r="E125" i="39"/>
  <c r="D125" i="39"/>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c r="F119" i="39" s="1"/>
  <c r="G119" i="39" s="1"/>
  <c r="H119" i="39"/>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c r="G108" i="39" s="1"/>
  <c r="H108" i="39" s="1"/>
  <c r="I108" i="39" s="1"/>
  <c r="J108" i="39" s="1"/>
  <c r="K108" i="39" s="1"/>
  <c r="L108" i="39"/>
  <c r="M108" i="39" s="1"/>
  <c r="I106" i="39"/>
  <c r="J106" i="39" s="1"/>
  <c r="K106" i="39" s="1"/>
  <c r="L106" i="39" s="1"/>
  <c r="M106" i="39" s="1"/>
  <c r="D106" i="39"/>
  <c r="E106" i="39" s="1"/>
  <c r="F106" i="39" s="1"/>
  <c r="G106" i="39" s="1"/>
  <c r="H106" i="39" s="1"/>
  <c r="D104" i="39"/>
  <c r="E104" i="39" s="1"/>
  <c r="F104" i="39" s="1"/>
  <c r="G104" i="39"/>
  <c r="H104" i="39"/>
  <c r="I104" i="39" s="1"/>
  <c r="J104" i="39"/>
  <c r="K104" i="39" s="1"/>
  <c r="L104" i="39" s="1"/>
  <c r="M104" i="39" s="1"/>
  <c r="B103" i="39"/>
  <c r="D102" i="39"/>
  <c r="E102" i="39" s="1"/>
  <c r="F102" i="39" s="1"/>
  <c r="G102" i="39" s="1"/>
  <c r="F100" i="39"/>
  <c r="G100" i="39" s="1"/>
  <c r="D100" i="39"/>
  <c r="E100" i="39" s="1"/>
  <c r="D98" i="39"/>
  <c r="E98" i="39"/>
  <c r="F98" i="39"/>
  <c r="G98" i="39" s="1"/>
  <c r="F96" i="39"/>
  <c r="G96" i="39"/>
  <c r="D96" i="39"/>
  <c r="E96" i="39" s="1"/>
  <c r="G94" i="39"/>
  <c r="D94" i="39"/>
  <c r="E94" i="39" s="1"/>
  <c r="F94" i="39" s="1"/>
  <c r="D92" i="39"/>
  <c r="E92" i="39"/>
  <c r="F92" i="39"/>
  <c r="G92" i="39" s="1"/>
  <c r="F90" i="39"/>
  <c r="G90" i="39" s="1"/>
  <c r="D90" i="39"/>
  <c r="E90" i="39"/>
  <c r="E88" i="39"/>
  <c r="F88" i="39" s="1"/>
  <c r="G88" i="39" s="1"/>
  <c r="D88" i="39"/>
  <c r="B85" i="39"/>
  <c r="B83" i="39"/>
  <c r="B81" i="39"/>
  <c r="G80" i="39"/>
  <c r="H80" i="39" s="1"/>
  <c r="I80" i="39" s="1"/>
  <c r="J80" i="39" s="1"/>
  <c r="K80" i="39" s="1"/>
  <c r="L80" i="39" s="1"/>
  <c r="M80" i="39" s="1"/>
  <c r="E80" i="39"/>
  <c r="F80" i="39" s="1"/>
  <c r="D80" i="39"/>
  <c r="M78" i="39"/>
  <c r="L78" i="39"/>
  <c r="K78" i="39"/>
  <c r="J78" i="39"/>
  <c r="I78" i="39"/>
  <c r="H78" i="39"/>
  <c r="G78" i="39"/>
  <c r="F78" i="39"/>
  <c r="E78" i="39"/>
  <c r="D78" i="39"/>
  <c r="C78" i="39"/>
  <c r="H64" i="39"/>
  <c r="I64" i="39"/>
  <c r="C64" i="39"/>
  <c r="H63" i="39"/>
  <c r="I63" i="39" s="1"/>
  <c r="C63" i="39" s="1"/>
  <c r="H62" i="39"/>
  <c r="I62" i="39" s="1"/>
  <c r="C62" i="39" s="1"/>
  <c r="H61" i="39"/>
  <c r="I61" i="39" s="1"/>
  <c r="C61" i="39" s="1"/>
  <c r="H60" i="39"/>
  <c r="I60" i="39"/>
  <c r="C60" i="39"/>
  <c r="H59" i="39"/>
  <c r="I59" i="39" s="1"/>
  <c r="C59" i="39" s="1"/>
  <c r="H58" i="39"/>
  <c r="I58" i="39" s="1"/>
  <c r="C58" i="39" s="1"/>
  <c r="H57" i="39"/>
  <c r="I57" i="39" s="1"/>
  <c r="C57" i="39" s="1"/>
  <c r="I53" i="39"/>
  <c r="J53" i="39"/>
  <c r="H53" i="39"/>
  <c r="G53" i="39"/>
  <c r="E53" i="39"/>
  <c r="F53" i="39"/>
  <c r="P48" i="39"/>
  <c r="P47" i="39"/>
  <c r="K47" i="39"/>
  <c r="V46" i="39"/>
  <c r="T46" i="39"/>
  <c r="R46" i="39"/>
  <c r="P46" i="39"/>
  <c r="AC45" i="39"/>
  <c r="Q45" i="39"/>
  <c r="Z45" i="39"/>
  <c r="J45" i="39"/>
  <c r="W45" i="39" s="1"/>
  <c r="F45" i="39"/>
  <c r="AA45" i="39" s="1"/>
  <c r="Q44" i="39"/>
  <c r="Z44" i="39" s="1"/>
  <c r="J44" i="39"/>
  <c r="AC44" i="39" s="1"/>
  <c r="Z43" i="39"/>
  <c r="Q43" i="39"/>
  <c r="H43" i="39"/>
  <c r="Q42" i="39"/>
  <c r="Z42" i="39"/>
  <c r="J42" i="39"/>
  <c r="AC42" i="39" s="1"/>
  <c r="W42" i="39"/>
  <c r="H42" i="39"/>
  <c r="AB42" i="39" s="1"/>
  <c r="F42" i="39"/>
  <c r="AA42" i="39"/>
  <c r="U41" i="39"/>
  <c r="Q41" i="39"/>
  <c r="Z41" i="39"/>
  <c r="J41" i="39"/>
  <c r="W41" i="39" s="1"/>
  <c r="H41" i="39"/>
  <c r="AB41" i="39"/>
  <c r="F41" i="39"/>
  <c r="AA41" i="39" s="1"/>
  <c r="Z40" i="39"/>
  <c r="W40" i="39"/>
  <c r="Q40" i="39"/>
  <c r="J40" i="39"/>
  <c r="AC40" i="39" s="1"/>
  <c r="H40" i="39"/>
  <c r="AB40" i="39"/>
  <c r="F40" i="39"/>
  <c r="AA40" i="39" s="1"/>
  <c r="Z39" i="39"/>
  <c r="W39" i="39"/>
  <c r="Q39" i="39"/>
  <c r="J39" i="39"/>
  <c r="AC39" i="39"/>
  <c r="H39" i="39"/>
  <c r="F39" i="39"/>
  <c r="AA39" i="39"/>
  <c r="AB38" i="39"/>
  <c r="Q38" i="39"/>
  <c r="Z38" i="39" s="1"/>
  <c r="J38" i="39"/>
  <c r="AC38" i="39" s="1"/>
  <c r="W38" i="39"/>
  <c r="H38" i="39"/>
  <c r="U38" i="39"/>
  <c r="F38" i="39"/>
  <c r="AA38" i="39"/>
  <c r="Q37" i="39"/>
  <c r="Z37" i="39" s="1"/>
  <c r="Q36" i="39"/>
  <c r="Z36" i="39" s="1"/>
  <c r="F36" i="39"/>
  <c r="Z35" i="39"/>
  <c r="W35" i="39"/>
  <c r="Q35" i="39"/>
  <c r="J35" i="39"/>
  <c r="AC35" i="39" s="1"/>
  <c r="H35" i="39"/>
  <c r="F35" i="39"/>
  <c r="AA35" i="39" s="1"/>
  <c r="AA34" i="39"/>
  <c r="W34" i="39"/>
  <c r="Q34" i="39"/>
  <c r="Z34" i="39" s="1"/>
  <c r="J34" i="39"/>
  <c r="AC34" i="39"/>
  <c r="H34" i="39"/>
  <c r="AB34" i="39" s="1"/>
  <c r="F34" i="39"/>
  <c r="S34" i="39"/>
  <c r="AB32" i="39"/>
  <c r="Q32" i="39"/>
  <c r="Z32" i="39" s="1"/>
  <c r="J32" i="39"/>
  <c r="AC32" i="39" s="1"/>
  <c r="H32" i="39"/>
  <c r="U32" i="39"/>
  <c r="F32" i="39"/>
  <c r="AA32" i="39" s="1"/>
  <c r="S32" i="39"/>
  <c r="Z31" i="39"/>
  <c r="Q31" i="39"/>
  <c r="J31" i="39"/>
  <c r="H31" i="39"/>
  <c r="AB31" i="39"/>
  <c r="F31" i="39"/>
  <c r="AA31" i="39" s="1"/>
  <c r="W29" i="39"/>
  <c r="Q29" i="39"/>
  <c r="Z29" i="39" s="1"/>
  <c r="J29" i="39"/>
  <c r="AC29" i="39"/>
  <c r="H29" i="39"/>
  <c r="F29" i="39"/>
  <c r="AA29" i="39"/>
  <c r="AC27" i="39"/>
  <c r="AB27" i="39"/>
  <c r="Q27" i="39"/>
  <c r="Z27" i="39"/>
  <c r="J27" i="39"/>
  <c r="W27" i="39" s="1"/>
  <c r="H27" i="39"/>
  <c r="U27" i="39" s="1"/>
  <c r="F27" i="39"/>
  <c r="AA27" i="39" s="1"/>
  <c r="Q25" i="39"/>
  <c r="Z25" i="39" s="1"/>
  <c r="J25" i="39"/>
  <c r="H25" i="39"/>
  <c r="F25" i="39"/>
  <c r="AA25" i="39"/>
  <c r="Q23" i="39"/>
  <c r="Z23" i="39"/>
  <c r="J23" i="39"/>
  <c r="H23" i="39"/>
  <c r="F23" i="39"/>
  <c r="AA23" i="39" s="1"/>
  <c r="C23" i="39"/>
  <c r="Z21" i="39"/>
  <c r="Q21" i="39"/>
  <c r="J21" i="39"/>
  <c r="H21" i="39"/>
  <c r="F21" i="39"/>
  <c r="AA21" i="39"/>
  <c r="W19" i="39"/>
  <c r="Q19" i="39"/>
  <c r="Z19" i="39"/>
  <c r="J19" i="39"/>
  <c r="AC19" i="39" s="1"/>
  <c r="H19" i="39"/>
  <c r="U19" i="39" s="1"/>
  <c r="F19" i="39"/>
  <c r="AA19" i="39"/>
  <c r="Q17" i="39"/>
  <c r="Z17" i="39" s="1"/>
  <c r="J17" i="39"/>
  <c r="AC17" i="39" s="1"/>
  <c r="H17" i="39"/>
  <c r="F17" i="39"/>
  <c r="AA17" i="39" s="1"/>
  <c r="W15" i="39"/>
  <c r="Q15" i="39"/>
  <c r="Z15" i="39" s="1"/>
  <c r="J15" i="39"/>
  <c r="AC15" i="39" s="1"/>
  <c r="H15" i="39"/>
  <c r="U15" i="39" s="1"/>
  <c r="F15" i="39"/>
  <c r="AA15" i="39" s="1"/>
  <c r="Z14" i="39"/>
  <c r="Q14" i="39"/>
  <c r="J14" i="39"/>
  <c r="W14" i="39" s="1"/>
  <c r="H14" i="39"/>
  <c r="F14" i="39"/>
  <c r="AA14" i="39" s="1"/>
  <c r="AB13" i="39"/>
  <c r="Q13" i="39"/>
  <c r="Z13" i="39" s="1"/>
  <c r="J13" i="39"/>
  <c r="H13" i="39"/>
  <c r="U13" i="39"/>
  <c r="F13" i="39"/>
  <c r="AA13" i="39" s="1"/>
  <c r="Z12" i="39"/>
  <c r="Q12" i="39"/>
  <c r="F12" i="39"/>
  <c r="S12" i="39" s="1"/>
  <c r="AA12" i="39"/>
  <c r="Z11" i="39"/>
  <c r="Q11" i="39"/>
  <c r="J11" i="39"/>
  <c r="W11" i="39" s="1"/>
  <c r="H11" i="39"/>
  <c r="AB11" i="39" s="1"/>
  <c r="F11" i="39"/>
  <c r="AA11" i="39" s="1"/>
  <c r="Q10" i="39"/>
  <c r="Z10" i="39"/>
  <c r="AB9" i="39"/>
  <c r="Q9" i="39"/>
  <c r="Z9" i="39" s="1"/>
  <c r="J9" i="39"/>
  <c r="AC9" i="39"/>
  <c r="H9" i="39"/>
  <c r="U9" i="39" s="1"/>
  <c r="F9" i="39"/>
  <c r="U8" i="39"/>
  <c r="J8" i="39"/>
  <c r="AC8" i="39" s="1"/>
  <c r="H8" i="39"/>
  <c r="AB8" i="39" s="1"/>
  <c r="F8" i="39"/>
  <c r="S8" i="39"/>
  <c r="B95" i="36"/>
  <c r="H34" i="36" s="1"/>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D83" i="36"/>
  <c r="E83" i="36"/>
  <c r="F83" i="36" s="1"/>
  <c r="G83" i="36" s="1"/>
  <c r="H83" i="36" s="1"/>
  <c r="I83" i="36" s="1"/>
  <c r="J83" i="36" s="1"/>
  <c r="K83" i="36" s="1"/>
  <c r="L83" i="36" s="1"/>
  <c r="M83" i="36" s="1"/>
  <c r="D81" i="36"/>
  <c r="E81" i="36" s="1"/>
  <c r="F81" i="36" s="1"/>
  <c r="G81" i="36" s="1"/>
  <c r="H81" i="36" s="1"/>
  <c r="I81" i="36" s="1"/>
  <c r="J81" i="36"/>
  <c r="K81" i="36" s="1"/>
  <c r="L81" i="36" s="1"/>
  <c r="M81" i="36" s="1"/>
  <c r="G79" i="36"/>
  <c r="F79" i="36"/>
  <c r="E79" i="36"/>
  <c r="D79" i="36"/>
  <c r="C79" i="36"/>
  <c r="E78" i="36"/>
  <c r="F78" i="36" s="1"/>
  <c r="G78" i="36" s="1"/>
  <c r="H78" i="36" s="1"/>
  <c r="I78" i="36" s="1"/>
  <c r="J78" i="36"/>
  <c r="K78" i="36" s="1"/>
  <c r="L78" i="36" s="1"/>
  <c r="M78" i="36" s="1"/>
  <c r="D78" i="36"/>
  <c r="B75" i="36"/>
  <c r="B73" i="36"/>
  <c r="B71" i="36"/>
  <c r="D70" i="36"/>
  <c r="D68" i="36"/>
  <c r="E68" i="36" s="1"/>
  <c r="F68" i="36" s="1"/>
  <c r="G68" i="36" s="1"/>
  <c r="D66" i="36"/>
  <c r="E66" i="36"/>
  <c r="F66" i="36"/>
  <c r="G66" i="36"/>
  <c r="E64" i="36"/>
  <c r="F64" i="36" s="1"/>
  <c r="G64" i="36" s="1"/>
  <c r="D64" i="36"/>
  <c r="F62" i="36"/>
  <c r="G62" i="36" s="1"/>
  <c r="D62" i="36"/>
  <c r="E62" i="36" s="1"/>
  <c r="B59" i="36"/>
  <c r="H13" i="36"/>
  <c r="B57" i="36"/>
  <c r="F12" i="36" s="1"/>
  <c r="B55" i="36"/>
  <c r="C51" i="36"/>
  <c r="J42" i="36"/>
  <c r="I42" i="36"/>
  <c r="G42" i="36"/>
  <c r="H42" i="36" s="1"/>
  <c r="E42" i="36"/>
  <c r="F42" i="36" s="1"/>
  <c r="P37" i="36"/>
  <c r="P36" i="36"/>
  <c r="K36" i="36"/>
  <c r="V35" i="36"/>
  <c r="T35" i="36"/>
  <c r="R35" i="36"/>
  <c r="P35" i="36"/>
  <c r="Z34" i="36"/>
  <c r="Q34" i="36"/>
  <c r="J34" i="36"/>
  <c r="AC34" i="36" s="1"/>
  <c r="F34" i="36"/>
  <c r="Q33" i="36"/>
  <c r="Z33" i="36"/>
  <c r="Q32" i="36"/>
  <c r="Z32" i="36" s="1"/>
  <c r="AC31" i="36"/>
  <c r="Q31" i="36"/>
  <c r="Z31" i="36" s="1"/>
  <c r="J31" i="36"/>
  <c r="W31" i="36" s="1"/>
  <c r="H31" i="36"/>
  <c r="AB31" i="36"/>
  <c r="F31" i="36"/>
  <c r="AA31" i="36" s="1"/>
  <c r="AA30" i="36"/>
  <c r="Q30" i="36"/>
  <c r="Z30" i="36" s="1"/>
  <c r="J30" i="36"/>
  <c r="AC30" i="36" s="1"/>
  <c r="H30" i="36"/>
  <c r="F30" i="36"/>
  <c r="S30" i="36"/>
  <c r="Z29" i="36"/>
  <c r="Q29" i="36"/>
  <c r="J29" i="36"/>
  <c r="H29" i="36"/>
  <c r="AB29" i="36"/>
  <c r="F29" i="36"/>
  <c r="AC28" i="36"/>
  <c r="AB28" i="36"/>
  <c r="W28" i="36"/>
  <c r="U28" i="36"/>
  <c r="Q28" i="36"/>
  <c r="Z28" i="36" s="1"/>
  <c r="J28" i="36"/>
  <c r="H28" i="36"/>
  <c r="F28" i="36"/>
  <c r="AA28" i="36"/>
  <c r="Q27" i="36"/>
  <c r="Z27" i="36" s="1"/>
  <c r="J27" i="36"/>
  <c r="W27" i="36" s="1"/>
  <c r="H27" i="36"/>
  <c r="F27" i="36"/>
  <c r="AA27" i="36" s="1"/>
  <c r="S27" i="36"/>
  <c r="Z26" i="36"/>
  <c r="Q26" i="36"/>
  <c r="J26" i="36"/>
  <c r="AC26" i="36"/>
  <c r="H26" i="36"/>
  <c r="AB26" i="36" s="1"/>
  <c r="U26" i="36"/>
  <c r="F26" i="36"/>
  <c r="AA25" i="36"/>
  <c r="Q25" i="36"/>
  <c r="Z25" i="36"/>
  <c r="F25" i="36"/>
  <c r="S25" i="36" s="1"/>
  <c r="Q24" i="36"/>
  <c r="Z24" i="36" s="1"/>
  <c r="F24" i="36"/>
  <c r="AA24" i="36" s="1"/>
  <c r="Q23" i="36"/>
  <c r="Z23" i="36"/>
  <c r="J23" i="36"/>
  <c r="W23" i="36"/>
  <c r="AA22" i="36"/>
  <c r="Q22" i="36"/>
  <c r="Z22" i="36" s="1"/>
  <c r="J22" i="36"/>
  <c r="AC22" i="36"/>
  <c r="H22" i="36"/>
  <c r="F22" i="36"/>
  <c r="S22" i="36"/>
  <c r="W20" i="36"/>
  <c r="Q20" i="36"/>
  <c r="Z20" i="36" s="1"/>
  <c r="J20" i="36"/>
  <c r="AC20" i="36" s="1"/>
  <c r="H20" i="36"/>
  <c r="AB20" i="36" s="1"/>
  <c r="F20" i="36"/>
  <c r="AA20" i="36"/>
  <c r="C20" i="36"/>
  <c r="AA18" i="36"/>
  <c r="Z18" i="36"/>
  <c r="Q18" i="36"/>
  <c r="J18" i="36"/>
  <c r="H18" i="36"/>
  <c r="AB18" i="36" s="1"/>
  <c r="F18" i="36"/>
  <c r="S18" i="36"/>
  <c r="C18" i="36"/>
  <c r="Q16" i="36"/>
  <c r="Z16" i="36"/>
  <c r="J16" i="36"/>
  <c r="AC16" i="36" s="1"/>
  <c r="H16" i="36"/>
  <c r="AB16" i="36" s="1"/>
  <c r="F16" i="36"/>
  <c r="C16" i="36"/>
  <c r="Z14" i="36"/>
  <c r="Q14" i="36"/>
  <c r="J14" i="36"/>
  <c r="AC14" i="36" s="1"/>
  <c r="H14" i="36"/>
  <c r="AB14" i="36"/>
  <c r="F14" i="36"/>
  <c r="S14" i="36" s="1"/>
  <c r="C14" i="36"/>
  <c r="AC13" i="36"/>
  <c r="AA13" i="36"/>
  <c r="W13" i="36"/>
  <c r="S13" i="36"/>
  <c r="Q13" i="36"/>
  <c r="Z13" i="36"/>
  <c r="J13" i="36"/>
  <c r="F13" i="36"/>
  <c r="AC12" i="36"/>
  <c r="AB12" i="36"/>
  <c r="U12" i="36"/>
  <c r="Q12" i="36"/>
  <c r="Z12" i="36"/>
  <c r="J12" i="36"/>
  <c r="W12" i="36" s="1"/>
  <c r="H12" i="36"/>
  <c r="AA12" i="36"/>
  <c r="Q11" i="36"/>
  <c r="Z11" i="36"/>
  <c r="AA10" i="36"/>
  <c r="Q10" i="36"/>
  <c r="Z10" i="36" s="1"/>
  <c r="J10" i="36"/>
  <c r="AC10" i="36"/>
  <c r="H10" i="36"/>
  <c r="F10" i="36"/>
  <c r="S10" i="36"/>
  <c r="Q9" i="36"/>
  <c r="Z9" i="36"/>
  <c r="AB8" i="36"/>
  <c r="J8" i="36"/>
  <c r="H8" i="36"/>
  <c r="U8" i="36" s="1"/>
  <c r="F8" i="36"/>
  <c r="D3" i="36"/>
  <c r="B2" i="36"/>
  <c r="B101" i="35"/>
  <c r="J36" i="35"/>
  <c r="B99" i="35"/>
  <c r="F35" i="35" s="1"/>
  <c r="B97" i="35"/>
  <c r="F34" i="35" s="1"/>
  <c r="D96" i="35"/>
  <c r="E96" i="35" s="1"/>
  <c r="F96" i="35" s="1"/>
  <c r="G96" i="35" s="1"/>
  <c r="I94" i="35"/>
  <c r="J94" i="35" s="1"/>
  <c r="K94" i="35" s="1"/>
  <c r="L94" i="35" s="1"/>
  <c r="M94" i="35" s="1"/>
  <c r="D94" i="35"/>
  <c r="E94" i="35" s="1"/>
  <c r="F94" i="35" s="1"/>
  <c r="G94" i="35" s="1"/>
  <c r="H94" i="35" s="1"/>
  <c r="M90" i="35"/>
  <c r="L90" i="35"/>
  <c r="K90" i="35"/>
  <c r="J90" i="35"/>
  <c r="I90" i="35"/>
  <c r="H90" i="35"/>
  <c r="G90" i="35"/>
  <c r="F90" i="35"/>
  <c r="E90" i="35"/>
  <c r="D90" i="35"/>
  <c r="C90" i="35"/>
  <c r="F89" i="35"/>
  <c r="G89" i="35" s="1"/>
  <c r="H89" i="35" s="1"/>
  <c r="I89" i="35" s="1"/>
  <c r="J89" i="35" s="1"/>
  <c r="K89" i="35"/>
  <c r="L89" i="35" s="1"/>
  <c r="M89" i="35" s="1"/>
  <c r="D89" i="35"/>
  <c r="E89" i="35" s="1"/>
  <c r="H87" i="35"/>
  <c r="I87" i="35" s="1"/>
  <c r="J87" i="35" s="1"/>
  <c r="K87" i="35" s="1"/>
  <c r="L87" i="35" s="1"/>
  <c r="M87" i="35" s="1"/>
  <c r="D87" i="35"/>
  <c r="E87" i="35" s="1"/>
  <c r="F87" i="35" s="1"/>
  <c r="G87" i="35" s="1"/>
  <c r="G85" i="35"/>
  <c r="F85" i="35"/>
  <c r="E85" i="35"/>
  <c r="D85" i="35"/>
  <c r="C85" i="35"/>
  <c r="F84" i="35"/>
  <c r="G84" i="35" s="1"/>
  <c r="H84" i="35" s="1"/>
  <c r="I84" i="35"/>
  <c r="J84" i="35" s="1"/>
  <c r="K84" i="35" s="1"/>
  <c r="L84" i="35" s="1"/>
  <c r="M84" i="35" s="1"/>
  <c r="E84" i="35"/>
  <c r="D84" i="35"/>
  <c r="D80" i="35"/>
  <c r="E80" i="35" s="1"/>
  <c r="F80" i="35" s="1"/>
  <c r="G80" i="35" s="1"/>
  <c r="H80" i="35" s="1"/>
  <c r="I80" i="35" s="1"/>
  <c r="J80" i="35" s="1"/>
  <c r="K80" i="35" s="1"/>
  <c r="L80" i="35" s="1"/>
  <c r="M80" i="35" s="1"/>
  <c r="B77" i="35"/>
  <c r="B75" i="35"/>
  <c r="B73" i="35"/>
  <c r="H23" i="35" s="1"/>
  <c r="D72" i="35"/>
  <c r="E72" i="35"/>
  <c r="F72" i="35" s="1"/>
  <c r="G72" i="35"/>
  <c r="D70" i="35"/>
  <c r="E70" i="35" s="1"/>
  <c r="F70" i="35" s="1"/>
  <c r="G70" i="35" s="1"/>
  <c r="D68" i="35"/>
  <c r="E68" i="35"/>
  <c r="F68" i="35" s="1"/>
  <c r="G68" i="35" s="1"/>
  <c r="D66" i="35"/>
  <c r="E66" i="35"/>
  <c r="F66" i="35" s="1"/>
  <c r="G66" i="35" s="1"/>
  <c r="D64" i="35"/>
  <c r="E64" i="35"/>
  <c r="F64" i="35" s="1"/>
  <c r="G64" i="35" s="1"/>
  <c r="B61" i="35"/>
  <c r="B59" i="35"/>
  <c r="F12" i="35" s="1"/>
  <c r="S12" i="35" s="1"/>
  <c r="B57" i="35"/>
  <c r="C53" i="35"/>
  <c r="J9" i="35" s="1"/>
  <c r="J44" i="35"/>
  <c r="I44" i="35"/>
  <c r="G44" i="35"/>
  <c r="H44" i="35"/>
  <c r="E44" i="35"/>
  <c r="F44" i="35"/>
  <c r="P39" i="35"/>
  <c r="P38" i="35"/>
  <c r="K38" i="35"/>
  <c r="B38" i="35"/>
  <c r="V37" i="35"/>
  <c r="T37" i="35"/>
  <c r="R37" i="35"/>
  <c r="P37" i="35"/>
  <c r="Q36" i="35"/>
  <c r="Z36" i="35" s="1"/>
  <c r="H36" i="35"/>
  <c r="F36" i="35"/>
  <c r="Q35" i="35"/>
  <c r="Z35" i="35" s="1"/>
  <c r="Z34" i="35"/>
  <c r="Q34" i="35"/>
  <c r="H34" i="35"/>
  <c r="AB33" i="35"/>
  <c r="AA33" i="35"/>
  <c r="Q33" i="35"/>
  <c r="Z33" i="35" s="1"/>
  <c r="J33" i="35"/>
  <c r="H33" i="35"/>
  <c r="U33" i="35" s="1"/>
  <c r="F33" i="35"/>
  <c r="S33" i="35" s="1"/>
  <c r="AB32" i="35"/>
  <c r="Q32" i="35"/>
  <c r="Z32" i="35" s="1"/>
  <c r="J32" i="35"/>
  <c r="AC32" i="35" s="1"/>
  <c r="H32" i="35"/>
  <c r="U32" i="35" s="1"/>
  <c r="F32" i="35"/>
  <c r="Z31" i="35"/>
  <c r="Q31" i="35"/>
  <c r="J31" i="35"/>
  <c r="H31" i="35"/>
  <c r="AB31" i="35" s="1"/>
  <c r="F31" i="35"/>
  <c r="AA31" i="35" s="1"/>
  <c r="Q30" i="35"/>
  <c r="Z30" i="35" s="1"/>
  <c r="J30" i="35"/>
  <c r="AC30" i="35" s="1"/>
  <c r="H30" i="35"/>
  <c r="F30" i="35"/>
  <c r="AA30" i="35"/>
  <c r="AC29" i="35"/>
  <c r="AB29" i="35"/>
  <c r="Q29" i="35"/>
  <c r="Z29" i="35" s="1"/>
  <c r="J29" i="35"/>
  <c r="W29" i="35"/>
  <c r="H29" i="35"/>
  <c r="U29" i="35"/>
  <c r="F29" i="35"/>
  <c r="AA29" i="35"/>
  <c r="Z28" i="35"/>
  <c r="Q28" i="35"/>
  <c r="J28" i="35"/>
  <c r="AC28" i="35"/>
  <c r="H28" i="35"/>
  <c r="F28" i="35"/>
  <c r="AA28" i="35"/>
  <c r="AA27" i="35"/>
  <c r="Q27" i="35"/>
  <c r="Z27" i="35" s="1"/>
  <c r="J27" i="35"/>
  <c r="H27" i="35"/>
  <c r="AB27" i="35" s="1"/>
  <c r="F27" i="35"/>
  <c r="S27" i="35" s="1"/>
  <c r="Z26" i="35"/>
  <c r="Q26" i="35"/>
  <c r="C26" i="35"/>
  <c r="Q25" i="35"/>
  <c r="Z25" i="35"/>
  <c r="Q24" i="35"/>
  <c r="Z24" i="35" s="1"/>
  <c r="F24" i="35"/>
  <c r="AA24" i="35" s="1"/>
  <c r="Q23" i="35"/>
  <c r="Z23" i="35" s="1"/>
  <c r="F23" i="35"/>
  <c r="AA22" i="35"/>
  <c r="W22" i="35"/>
  <c r="Q22" i="35"/>
  <c r="Z22" i="35" s="1"/>
  <c r="J22" i="35"/>
  <c r="AC22" i="35"/>
  <c r="H22" i="35"/>
  <c r="AB22" i="35" s="1"/>
  <c r="F22" i="35"/>
  <c r="S22" i="35"/>
  <c r="Q20" i="35"/>
  <c r="Z20" i="35" s="1"/>
  <c r="J20" i="35"/>
  <c r="H20" i="35"/>
  <c r="F20" i="35"/>
  <c r="AA20" i="35"/>
  <c r="C20" i="35"/>
  <c r="Q18" i="35"/>
  <c r="Z18" i="35" s="1"/>
  <c r="J18" i="35"/>
  <c r="AC18" i="35" s="1"/>
  <c r="H18" i="35"/>
  <c r="U18" i="35" s="1"/>
  <c r="AB18" i="35"/>
  <c r="F18" i="35"/>
  <c r="AA18" i="35" s="1"/>
  <c r="C18" i="35"/>
  <c r="AB16" i="35"/>
  <c r="Z16" i="35"/>
  <c r="Q16" i="35"/>
  <c r="J16" i="35"/>
  <c r="H16" i="35"/>
  <c r="U16" i="35" s="1"/>
  <c r="F16" i="35"/>
  <c r="AA16" i="35" s="1"/>
  <c r="C16" i="35"/>
  <c r="AC14" i="35"/>
  <c r="Q14" i="35"/>
  <c r="Z14" i="35" s="1"/>
  <c r="J14" i="35"/>
  <c r="W14" i="35" s="1"/>
  <c r="H14" i="35"/>
  <c r="F14" i="35"/>
  <c r="AA14" i="35" s="1"/>
  <c r="C14" i="35"/>
  <c r="Q13" i="35"/>
  <c r="Z13" i="35" s="1"/>
  <c r="Q12" i="35"/>
  <c r="Z12" i="35" s="1"/>
  <c r="Z11" i="35"/>
  <c r="Q11" i="35"/>
  <c r="J11" i="35"/>
  <c r="AC11" i="35"/>
  <c r="H11" i="35"/>
  <c r="U11" i="35" s="1"/>
  <c r="F11" i="35"/>
  <c r="AA11" i="35"/>
  <c r="Z10" i="35"/>
  <c r="Q10" i="35"/>
  <c r="J10" i="35"/>
  <c r="AC10" i="35" s="1"/>
  <c r="H10" i="35"/>
  <c r="AB10" i="35" s="1"/>
  <c r="F10" i="35"/>
  <c r="AA10" i="35" s="1"/>
  <c r="S10" i="35"/>
  <c r="Q9" i="35"/>
  <c r="Z9" i="35" s="1"/>
  <c r="AB8" i="35"/>
  <c r="U8" i="35"/>
  <c r="S8" i="35"/>
  <c r="J8" i="35"/>
  <c r="H8" i="35"/>
  <c r="F8" i="35"/>
  <c r="AA8" i="35" s="1"/>
  <c r="D3" i="35"/>
  <c r="B2" i="35"/>
  <c r="B112" i="37"/>
  <c r="J40" i="37" s="1"/>
  <c r="W40" i="37" s="1"/>
  <c r="B110" i="37"/>
  <c r="F39" i="37" s="1"/>
  <c r="B108" i="37"/>
  <c r="H38" i="37" s="1"/>
  <c r="G107" i="37"/>
  <c r="H107" i="37"/>
  <c r="I107" i="37"/>
  <c r="J107" i="37" s="1"/>
  <c r="K107" i="37" s="1"/>
  <c r="L107" i="37" s="1"/>
  <c r="M107" i="37" s="1"/>
  <c r="D107" i="37"/>
  <c r="E107" i="37" s="1"/>
  <c r="F107" i="37" s="1"/>
  <c r="D105" i="37"/>
  <c r="E105" i="37" s="1"/>
  <c r="F105" i="37" s="1"/>
  <c r="G105" i="37" s="1"/>
  <c r="D103" i="37"/>
  <c r="E103" i="37"/>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D96" i="37"/>
  <c r="E96" i="37" s="1"/>
  <c r="F96" i="37"/>
  <c r="G96" i="37"/>
  <c r="H96" i="37" s="1"/>
  <c r="I96" i="37" s="1"/>
  <c r="J96" i="37" s="1"/>
  <c r="K96" i="37" s="1"/>
  <c r="L96" i="37" s="1"/>
  <c r="M96" i="37" s="1"/>
  <c r="H94" i="37"/>
  <c r="I94" i="37" s="1"/>
  <c r="J94" i="37" s="1"/>
  <c r="K94" i="37" s="1"/>
  <c r="L94" i="37" s="1"/>
  <c r="M94" i="37" s="1"/>
  <c r="D94" i="37"/>
  <c r="E94" i="37" s="1"/>
  <c r="F94" i="37" s="1"/>
  <c r="G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AB28" i="37" s="1"/>
  <c r="J28" i="37"/>
  <c r="B84" i="37"/>
  <c r="B82" i="37"/>
  <c r="B80" i="37"/>
  <c r="F79" i="37"/>
  <c r="G79" i="37" s="1"/>
  <c r="D79" i="37"/>
  <c r="E79" i="37" s="1"/>
  <c r="F77" i="37"/>
  <c r="G77" i="37" s="1"/>
  <c r="D77" i="37"/>
  <c r="E77" i="37" s="1"/>
  <c r="F75" i="37"/>
  <c r="G75" i="37"/>
  <c r="E75" i="37"/>
  <c r="D75" i="37"/>
  <c r="D73" i="37"/>
  <c r="E73" i="37" s="1"/>
  <c r="F73" i="37" s="1"/>
  <c r="G73" i="37" s="1"/>
  <c r="E71" i="37"/>
  <c r="F71" i="37"/>
  <c r="G71" i="37" s="1"/>
  <c r="D71" i="37"/>
  <c r="B68" i="37"/>
  <c r="H14" i="37" s="1"/>
  <c r="B66" i="37"/>
  <c r="J13" i="37" s="1"/>
  <c r="W13" i="37" s="1"/>
  <c r="B64" i="37"/>
  <c r="D63" i="37"/>
  <c r="E63" i="37" s="1"/>
  <c r="F63" i="37" s="1"/>
  <c r="G63" i="37"/>
  <c r="H63" i="37" s="1"/>
  <c r="I63" i="37" s="1"/>
  <c r="J63" i="37" s="1"/>
  <c r="K63" i="37" s="1"/>
  <c r="L63" i="37" s="1"/>
  <c r="M63" i="37" s="1"/>
  <c r="M61" i="37"/>
  <c r="L61" i="37"/>
  <c r="K61" i="37"/>
  <c r="J61" i="37"/>
  <c r="I61" i="37"/>
  <c r="H61" i="37"/>
  <c r="G61" i="37"/>
  <c r="F61" i="37"/>
  <c r="E61" i="37"/>
  <c r="D61" i="37"/>
  <c r="C61" i="37"/>
  <c r="C57" i="37"/>
  <c r="J9" i="37" s="1"/>
  <c r="I48" i="37"/>
  <c r="J48" i="37" s="1"/>
  <c r="G48" i="37"/>
  <c r="H48" i="37"/>
  <c r="E48" i="37"/>
  <c r="F48" i="37"/>
  <c r="P43" i="37"/>
  <c r="P42" i="37"/>
  <c r="K42" i="37"/>
  <c r="V41" i="37"/>
  <c r="T41" i="37"/>
  <c r="R41" i="37"/>
  <c r="P41" i="37"/>
  <c r="AC40" i="37"/>
  <c r="Q40" i="37"/>
  <c r="Z40" i="37" s="1"/>
  <c r="H40" i="37"/>
  <c r="AB40" i="37" s="1"/>
  <c r="F40" i="37"/>
  <c r="AA40" i="37"/>
  <c r="Q39" i="37"/>
  <c r="Z39" i="37" s="1"/>
  <c r="J39" i="37"/>
  <c r="AA38" i="37"/>
  <c r="Q38" i="37"/>
  <c r="Z38" i="37" s="1"/>
  <c r="J38" i="37"/>
  <c r="F38" i="37"/>
  <c r="S38" i="37" s="1"/>
  <c r="AB37" i="37"/>
  <c r="Q37" i="37"/>
  <c r="Z37" i="37" s="1"/>
  <c r="J37" i="37"/>
  <c r="AC37" i="37" s="1"/>
  <c r="H37" i="37"/>
  <c r="U37" i="37"/>
  <c r="F37" i="37"/>
  <c r="AA37" i="37" s="1"/>
  <c r="Z36" i="37"/>
  <c r="Q36" i="37"/>
  <c r="J36" i="37"/>
  <c r="H36" i="37"/>
  <c r="AB36" i="37" s="1"/>
  <c r="F36" i="37"/>
  <c r="AA36" i="37" s="1"/>
  <c r="Q35" i="37"/>
  <c r="Z35" i="37" s="1"/>
  <c r="J35" i="37"/>
  <c r="H35" i="37"/>
  <c r="F35" i="37"/>
  <c r="AA35" i="37" s="1"/>
  <c r="AA34" i="37"/>
  <c r="Q34" i="37"/>
  <c r="Z34" i="37"/>
  <c r="J34" i="37"/>
  <c r="AC34" i="37" s="1"/>
  <c r="W34" i="37"/>
  <c r="H34" i="37"/>
  <c r="U34" i="37" s="1"/>
  <c r="F34" i="37"/>
  <c r="S34" i="37"/>
  <c r="Q33" i="37"/>
  <c r="Z33" i="37" s="1"/>
  <c r="J33" i="37"/>
  <c r="AC33" i="37" s="1"/>
  <c r="H33" i="37"/>
  <c r="F33" i="37"/>
  <c r="AA33" i="37" s="1"/>
  <c r="W32" i="37"/>
  <c r="Q32" i="37"/>
  <c r="Z32" i="37" s="1"/>
  <c r="J32" i="37"/>
  <c r="AC32" i="37"/>
  <c r="H32" i="37"/>
  <c r="AB32" i="37" s="1"/>
  <c r="F32" i="37"/>
  <c r="AB31" i="37"/>
  <c r="U31" i="37"/>
  <c r="Q31" i="37"/>
  <c r="Z31" i="37" s="1"/>
  <c r="J31" i="37"/>
  <c r="H31" i="37"/>
  <c r="F31" i="37"/>
  <c r="AB30" i="37"/>
  <c r="Q30" i="37"/>
  <c r="Z30" i="37"/>
  <c r="J30" i="37"/>
  <c r="H30" i="37"/>
  <c r="U30" i="37" s="1"/>
  <c r="F30" i="37"/>
  <c r="AA30" i="37"/>
  <c r="Q29" i="37"/>
  <c r="Z29" i="37"/>
  <c r="J29" i="37"/>
  <c r="AC29" i="37" s="1"/>
  <c r="H29" i="37"/>
  <c r="AB29" i="37" s="1"/>
  <c r="U29" i="37"/>
  <c r="F29" i="37"/>
  <c r="AA29" i="37"/>
  <c r="Q28" i="37"/>
  <c r="Z28" i="37"/>
  <c r="F28" i="37"/>
  <c r="AA28" i="37" s="1"/>
  <c r="S28" i="37"/>
  <c r="Q27" i="37"/>
  <c r="Z27" i="37" s="1"/>
  <c r="AC26" i="37"/>
  <c r="Q26" i="37"/>
  <c r="Z26" i="37"/>
  <c r="J26" i="37"/>
  <c r="W26" i="37" s="1"/>
  <c r="AA25" i="37"/>
  <c r="Q25" i="37"/>
  <c r="Z25" i="37"/>
  <c r="J25" i="37"/>
  <c r="AC25" i="37" s="1"/>
  <c r="H25" i="37"/>
  <c r="AB25" i="37"/>
  <c r="F25" i="37"/>
  <c r="S25" i="37"/>
  <c r="Z23" i="37"/>
  <c r="Q23" i="37"/>
  <c r="J23" i="37"/>
  <c r="AC23" i="37"/>
  <c r="H23" i="37"/>
  <c r="AB23" i="37" s="1"/>
  <c r="F23" i="37"/>
  <c r="AA23" i="37"/>
  <c r="C23" i="37"/>
  <c r="Q21" i="37"/>
  <c r="Z21" i="37" s="1"/>
  <c r="J21" i="37"/>
  <c r="AC21" i="37"/>
  <c r="H21" i="37"/>
  <c r="AB21" i="37" s="1"/>
  <c r="F21" i="37"/>
  <c r="AA21" i="37" s="1"/>
  <c r="C21" i="37"/>
  <c r="Z19" i="37"/>
  <c r="Q19" i="37"/>
  <c r="J19" i="37"/>
  <c r="AC19" i="37"/>
  <c r="H19" i="37"/>
  <c r="AB19" i="37" s="1"/>
  <c r="F19" i="37"/>
  <c r="AA19" i="37" s="1"/>
  <c r="C19" i="37"/>
  <c r="Z17" i="37"/>
  <c r="Q17" i="37"/>
  <c r="J17" i="37"/>
  <c r="AC17" i="37"/>
  <c r="H17" i="37"/>
  <c r="AB17" i="37" s="1"/>
  <c r="F17" i="37"/>
  <c r="AA17" i="37"/>
  <c r="C17" i="37"/>
  <c r="Z15" i="37"/>
  <c r="Q15" i="37"/>
  <c r="J15" i="37"/>
  <c r="AC15" i="37"/>
  <c r="H15" i="37"/>
  <c r="AB15" i="37" s="1"/>
  <c r="F15" i="37"/>
  <c r="AA15" i="37"/>
  <c r="C15" i="37"/>
  <c r="Z14" i="37"/>
  <c r="Q14" i="37"/>
  <c r="J14" i="37"/>
  <c r="AC14" i="37"/>
  <c r="AB14" i="37"/>
  <c r="F14" i="37"/>
  <c r="AA14" i="37"/>
  <c r="Q13" i="37"/>
  <c r="Z13" i="37"/>
  <c r="Q12" i="37"/>
  <c r="Z12" i="37"/>
  <c r="H12" i="37"/>
  <c r="U12" i="37"/>
  <c r="Q11" i="37"/>
  <c r="Z11" i="37"/>
  <c r="J11" i="37"/>
  <c r="AC11" i="37" s="1"/>
  <c r="H11" i="37"/>
  <c r="AB11" i="37"/>
  <c r="F11" i="37"/>
  <c r="AA11" i="37"/>
  <c r="Q10" i="37"/>
  <c r="Z10" i="37"/>
  <c r="J10" i="37"/>
  <c r="AC10" i="37"/>
  <c r="H10" i="37"/>
  <c r="AB10" i="37"/>
  <c r="F10" i="37"/>
  <c r="AA10" i="37" s="1"/>
  <c r="Q9" i="37"/>
  <c r="Z9" i="37"/>
  <c r="W8" i="37"/>
  <c r="J8" i="37"/>
  <c r="AC8" i="37" s="1"/>
  <c r="H8" i="37"/>
  <c r="U8" i="37" s="1"/>
  <c r="F8" i="37"/>
  <c r="B2" i="37"/>
  <c r="B130" i="33"/>
  <c r="H46" i="33" s="1"/>
  <c r="B128" i="33"/>
  <c r="B126" i="33"/>
  <c r="J44" i="33" s="1"/>
  <c r="D125" i="33"/>
  <c r="H43" i="33" s="1"/>
  <c r="D123" i="33"/>
  <c r="E123" i="33" s="1"/>
  <c r="F123" i="33" s="1"/>
  <c r="G123" i="33" s="1"/>
  <c r="H123" i="33" s="1"/>
  <c r="I123" i="33" s="1"/>
  <c r="J123" i="33" s="1"/>
  <c r="K123" i="33"/>
  <c r="L123" i="33" s="1"/>
  <c r="M123" i="33" s="1"/>
  <c r="H121" i="33"/>
  <c r="I121" i="33" s="1"/>
  <c r="J121" i="33" s="1"/>
  <c r="K121" i="33" s="1"/>
  <c r="L121" i="33" s="1"/>
  <c r="M121" i="33" s="1"/>
  <c r="D121" i="33"/>
  <c r="E121" i="33"/>
  <c r="F121" i="33" s="1"/>
  <c r="G121" i="33" s="1"/>
  <c r="D117" i="33"/>
  <c r="E117" i="33" s="1"/>
  <c r="F117" i="33" s="1"/>
  <c r="G117" i="33" s="1"/>
  <c r="D115" i="33"/>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c r="G101" i="33" s="1"/>
  <c r="H101" i="33" s="1"/>
  <c r="I101" i="33" s="1"/>
  <c r="J101" i="33" s="1"/>
  <c r="K101" i="33" s="1"/>
  <c r="L101" i="33" s="1"/>
  <c r="M101" i="33" s="1"/>
  <c r="B98" i="33"/>
  <c r="B96" i="33"/>
  <c r="J30" i="33"/>
  <c r="AC30" i="33"/>
  <c r="B94" i="33"/>
  <c r="F29" i="33" s="1"/>
  <c r="AA29" i="33" s="1"/>
  <c r="B92" i="33"/>
  <c r="D91" i="33"/>
  <c r="B90" i="33"/>
  <c r="J27" i="33" s="1"/>
  <c r="AC27" i="33" s="1"/>
  <c r="B88" i="33"/>
  <c r="D87" i="33"/>
  <c r="E87" i="33" s="1"/>
  <c r="F87" i="33" s="1"/>
  <c r="G87" i="33" s="1"/>
  <c r="H87" i="33" s="1"/>
  <c r="I87" i="33" s="1"/>
  <c r="J87" i="33"/>
  <c r="K87" i="33" s="1"/>
  <c r="L87" i="33" s="1"/>
  <c r="M87" i="33" s="1"/>
  <c r="D85" i="33"/>
  <c r="F23" i="33" s="1"/>
  <c r="AA23" i="33" s="1"/>
  <c r="D83" i="33"/>
  <c r="E83" i="33"/>
  <c r="F83" i="33" s="1"/>
  <c r="G83" i="33" s="1"/>
  <c r="D81" i="33"/>
  <c r="B74" i="33"/>
  <c r="B72" i="33"/>
  <c r="H13" i="33" s="1"/>
  <c r="B70" i="33"/>
  <c r="F69" i="33"/>
  <c r="G69" i="33"/>
  <c r="H69" i="33" s="1"/>
  <c r="I69" i="33" s="1"/>
  <c r="J69" i="33" s="1"/>
  <c r="K69" i="33" s="1"/>
  <c r="L69" i="33" s="1"/>
  <c r="M69" i="33" s="1"/>
  <c r="E69" i="33"/>
  <c r="D69" i="33"/>
  <c r="M67" i="33"/>
  <c r="L67" i="33"/>
  <c r="K67" i="33"/>
  <c r="J67" i="33"/>
  <c r="I67" i="33"/>
  <c r="H67" i="33"/>
  <c r="G67" i="33"/>
  <c r="F67" i="33"/>
  <c r="E67" i="33"/>
  <c r="D67" i="33"/>
  <c r="C67" i="33"/>
  <c r="C63" i="33"/>
  <c r="I54" i="33"/>
  <c r="J54" i="33" s="1"/>
  <c r="G54" i="33"/>
  <c r="H54" i="33" s="1"/>
  <c r="E54" i="33"/>
  <c r="F54" i="33" s="1"/>
  <c r="P49" i="33"/>
  <c r="P48" i="33"/>
  <c r="K48" i="33"/>
  <c r="V47" i="33"/>
  <c r="P47" i="33"/>
  <c r="Q46" i="33"/>
  <c r="Z46" i="33"/>
  <c r="J46" i="33"/>
  <c r="W46" i="33" s="1"/>
  <c r="AB46" i="33"/>
  <c r="F46" i="33"/>
  <c r="AA46" i="33" s="1"/>
  <c r="Q45" i="33"/>
  <c r="Z45" i="33" s="1"/>
  <c r="Q44" i="33"/>
  <c r="Z44" i="33" s="1"/>
  <c r="H44" i="33"/>
  <c r="U44" i="33" s="1"/>
  <c r="F44" i="33"/>
  <c r="S44" i="33" s="1"/>
  <c r="Q43" i="33"/>
  <c r="Z43" i="33" s="1"/>
  <c r="J43" i="33"/>
  <c r="AC43" i="33"/>
  <c r="AB43" i="33"/>
  <c r="Q42" i="33"/>
  <c r="Z42" i="33"/>
  <c r="J42" i="33"/>
  <c r="AC42" i="33"/>
  <c r="H42" i="33"/>
  <c r="AB42" i="33" s="1"/>
  <c r="F42" i="33"/>
  <c r="AA42" i="33"/>
  <c r="AC41" i="33"/>
  <c r="AB41" i="33"/>
  <c r="Q41" i="33"/>
  <c r="Z41" i="33" s="1"/>
  <c r="J41" i="33"/>
  <c r="W41" i="33"/>
  <c r="H41" i="33"/>
  <c r="U41" i="33" s="1"/>
  <c r="F41" i="33"/>
  <c r="AA41" i="33" s="1"/>
  <c r="Q40" i="33"/>
  <c r="Z40" i="33"/>
  <c r="J40" i="33"/>
  <c r="AC40" i="33" s="1"/>
  <c r="H40" i="33"/>
  <c r="AB40" i="33" s="1"/>
  <c r="U40" i="33"/>
  <c r="F40" i="33"/>
  <c r="AA40" i="33" s="1"/>
  <c r="Q39" i="33"/>
  <c r="Z39" i="33" s="1"/>
  <c r="J39" i="33"/>
  <c r="AC39" i="33" s="1"/>
  <c r="Q38" i="33"/>
  <c r="Z38" i="33" s="1"/>
  <c r="Z37" i="33"/>
  <c r="Q37" i="33"/>
  <c r="J37" i="33"/>
  <c r="H37" i="33"/>
  <c r="F37" i="33"/>
  <c r="AA37" i="33"/>
  <c r="Q36" i="33"/>
  <c r="Z36" i="33" s="1"/>
  <c r="Z35" i="33"/>
  <c r="Q35" i="33"/>
  <c r="J35" i="33"/>
  <c r="AC35" i="33"/>
  <c r="H35" i="33"/>
  <c r="AB35" i="33"/>
  <c r="F35" i="33"/>
  <c r="AA35" i="33" s="1"/>
  <c r="Q34" i="33"/>
  <c r="Z34" i="33"/>
  <c r="J34" i="33"/>
  <c r="AC34" i="33"/>
  <c r="H34" i="33"/>
  <c r="AB34" i="33" s="1"/>
  <c r="F34" i="33"/>
  <c r="AA34" i="33"/>
  <c r="Q33" i="33"/>
  <c r="Z33" i="33"/>
  <c r="Z32" i="33"/>
  <c r="Q32" i="33"/>
  <c r="J32" i="33"/>
  <c r="AC32" i="33" s="1"/>
  <c r="H32" i="33"/>
  <c r="AB32" i="33" s="1"/>
  <c r="F32" i="33"/>
  <c r="AA32" i="33" s="1"/>
  <c r="Q31" i="33"/>
  <c r="Z31" i="33" s="1"/>
  <c r="F31" i="33"/>
  <c r="AA31" i="33"/>
  <c r="Z30" i="33"/>
  <c r="Q30" i="33"/>
  <c r="F30" i="33"/>
  <c r="AA30" i="33"/>
  <c r="Z29" i="33"/>
  <c r="Q29" i="33"/>
  <c r="J29" i="33"/>
  <c r="AC29" i="33" s="1"/>
  <c r="H29" i="33"/>
  <c r="AB29" i="33" s="1"/>
  <c r="Q28" i="33"/>
  <c r="Z28" i="33" s="1"/>
  <c r="Q27" i="33"/>
  <c r="Z27" i="33" s="1"/>
  <c r="AA26" i="33"/>
  <c r="Z26" i="33"/>
  <c r="Q26" i="33"/>
  <c r="J26" i="33"/>
  <c r="H26" i="33"/>
  <c r="AB26" i="33"/>
  <c r="F26" i="33"/>
  <c r="S26" i="33" s="1"/>
  <c r="U25" i="33"/>
  <c r="Q25" i="33"/>
  <c r="Z25" i="33"/>
  <c r="J25" i="33"/>
  <c r="H25" i="33"/>
  <c r="AB25" i="33" s="1"/>
  <c r="F25" i="33"/>
  <c r="AA25" i="33" s="1"/>
  <c r="Z23" i="33"/>
  <c r="Q23" i="33"/>
  <c r="C23" i="33"/>
  <c r="Z21" i="33"/>
  <c r="Q21" i="33"/>
  <c r="J21" i="33"/>
  <c r="AC21" i="33"/>
  <c r="H21" i="33"/>
  <c r="AB21" i="33" s="1"/>
  <c r="F21" i="33"/>
  <c r="AA21" i="33" s="1"/>
  <c r="C21" i="33"/>
  <c r="Z19" i="33"/>
  <c r="Q19" i="33"/>
  <c r="J19" i="33"/>
  <c r="AC19" i="33"/>
  <c r="C19" i="33"/>
  <c r="Q17" i="33"/>
  <c r="Z17" i="33" s="1"/>
  <c r="C17" i="33"/>
  <c r="Q15" i="33"/>
  <c r="Z15" i="33"/>
  <c r="C15" i="33"/>
  <c r="Z14" i="33"/>
  <c r="Q14" i="33"/>
  <c r="J14" i="33"/>
  <c r="AC14" i="33"/>
  <c r="H14" i="33"/>
  <c r="U14" i="33" s="1"/>
  <c r="AB14" i="33"/>
  <c r="F14" i="33"/>
  <c r="AA14" i="33" s="1"/>
  <c r="Z13" i="33"/>
  <c r="Q13" i="33"/>
  <c r="J13" i="33"/>
  <c r="F13" i="33"/>
  <c r="S13" i="33" s="1"/>
  <c r="Q12" i="33"/>
  <c r="Z12" i="33"/>
  <c r="Q11" i="33"/>
  <c r="Z11" i="33" s="1"/>
  <c r="J11" i="33"/>
  <c r="AC11" i="33"/>
  <c r="H11" i="33"/>
  <c r="AB11" i="33" s="1"/>
  <c r="F11" i="33"/>
  <c r="AA11" i="33" s="1"/>
  <c r="Q10" i="33"/>
  <c r="Z10" i="33"/>
  <c r="J10" i="33"/>
  <c r="AC10" i="33" s="1"/>
  <c r="H10" i="33"/>
  <c r="AB10" i="33" s="1"/>
  <c r="F10" i="33"/>
  <c r="AA10" i="33" s="1"/>
  <c r="Q9" i="33"/>
  <c r="Z9" i="33" s="1"/>
  <c r="J9" i="33"/>
  <c r="AC9" i="33" s="1"/>
  <c r="H9" i="33"/>
  <c r="AB9" i="33" s="1"/>
  <c r="F9" i="33"/>
  <c r="AA9" i="33"/>
  <c r="J8" i="33"/>
  <c r="W8" i="33" s="1"/>
  <c r="H8" i="33"/>
  <c r="U8" i="33" s="1"/>
  <c r="F8" i="33"/>
  <c r="AA8" i="33" s="1"/>
  <c r="C145" i="21"/>
  <c r="K139" i="21" s="1"/>
  <c r="K143" i="21" s="1"/>
  <c r="J142" i="21"/>
  <c r="J140" i="21"/>
  <c r="B130" i="21"/>
  <c r="B128" i="21"/>
  <c r="B126" i="21"/>
  <c r="F44" i="21"/>
  <c r="D125" i="21"/>
  <c r="E125" i="21"/>
  <c r="F125" i="21"/>
  <c r="G125" i="21" s="1"/>
  <c r="G123" i="21"/>
  <c r="H123" i="21" s="1"/>
  <c r="I123" i="21" s="1"/>
  <c r="J123" i="21" s="1"/>
  <c r="K123" i="21" s="1"/>
  <c r="L123" i="21" s="1"/>
  <c r="M123" i="21" s="1"/>
  <c r="D123" i="21"/>
  <c r="E123" i="21" s="1"/>
  <c r="F123" i="21" s="1"/>
  <c r="F119" i="21"/>
  <c r="G119" i="21"/>
  <c r="H119" i="21" s="1"/>
  <c r="I119" i="21" s="1"/>
  <c r="J119" i="21" s="1"/>
  <c r="K119" i="21"/>
  <c r="L119" i="21" s="1"/>
  <c r="M119" i="21" s="1"/>
  <c r="E119" i="21"/>
  <c r="D119" i="21"/>
  <c r="D117" i="21"/>
  <c r="E117" i="21" s="1"/>
  <c r="F117" i="21" s="1"/>
  <c r="G117" i="21" s="1"/>
  <c r="F115" i="21"/>
  <c r="G115" i="21" s="1"/>
  <c r="H115" i="21" s="1"/>
  <c r="I115" i="21" s="1"/>
  <c r="J115" i="21" s="1"/>
  <c r="K115" i="21" s="1"/>
  <c r="L115" i="21" s="1"/>
  <c r="M115" i="21" s="1"/>
  <c r="D115" i="21"/>
  <c r="E115" i="21"/>
  <c r="D113" i="21"/>
  <c r="E113" i="21" s="1"/>
  <c r="F113" i="21" s="1"/>
  <c r="G113" i="21" s="1"/>
  <c r="H113" i="21" s="1"/>
  <c r="H111" i="21"/>
  <c r="G111" i="21"/>
  <c r="F111" i="21"/>
  <c r="E111" i="21"/>
  <c r="D111" i="21"/>
  <c r="C111" i="21"/>
  <c r="G110" i="21"/>
  <c r="H110" i="21" s="1"/>
  <c r="I110" i="21" s="1"/>
  <c r="J110" i="21" s="1"/>
  <c r="K110" i="21" s="1"/>
  <c r="L110" i="21" s="1"/>
  <c r="M110" i="21" s="1"/>
  <c r="D110" i="21"/>
  <c r="E110" i="21" s="1"/>
  <c r="F110" i="21" s="1"/>
  <c r="D108" i="21"/>
  <c r="E108" i="21" s="1"/>
  <c r="F108" i="21" s="1"/>
  <c r="G108" i="21" s="1"/>
  <c r="H108" i="21" s="1"/>
  <c r="I108" i="21" s="1"/>
  <c r="J108" i="21" s="1"/>
  <c r="K108" i="21" s="1"/>
  <c r="L108" i="21" s="1"/>
  <c r="M108" i="21" s="1"/>
  <c r="J106" i="21"/>
  <c r="K106" i="21" s="1"/>
  <c r="L106" i="21" s="1"/>
  <c r="M106" i="21" s="1"/>
  <c r="D106" i="21"/>
  <c r="E106" i="21" s="1"/>
  <c r="F106" i="21" s="1"/>
  <c r="G106" i="21" s="1"/>
  <c r="H106" i="21" s="1"/>
  <c r="I106" i="21" s="1"/>
  <c r="M102" i="21"/>
  <c r="L102" i="21"/>
  <c r="K102" i="21"/>
  <c r="J102" i="21"/>
  <c r="I102" i="21"/>
  <c r="H102" i="21"/>
  <c r="G102" i="21"/>
  <c r="F102" i="21"/>
  <c r="E102" i="21"/>
  <c r="D102" i="21"/>
  <c r="C102" i="21"/>
  <c r="E101" i="21"/>
  <c r="F101" i="21" s="1"/>
  <c r="G101" i="21" s="1"/>
  <c r="H101" i="21"/>
  <c r="I101" i="21" s="1"/>
  <c r="J101" i="21" s="1"/>
  <c r="K101" i="21" s="1"/>
  <c r="L101" i="21" s="1"/>
  <c r="M101" i="21" s="1"/>
  <c r="D101" i="21"/>
  <c r="B98" i="21"/>
  <c r="B96" i="21"/>
  <c r="B94" i="21"/>
  <c r="J29" i="21" s="1"/>
  <c r="W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G83" i="21"/>
  <c r="D83" i="21"/>
  <c r="E83" i="21" s="1"/>
  <c r="F83" i="21" s="1"/>
  <c r="F81" i="21"/>
  <c r="G81" i="21" s="1"/>
  <c r="D81" i="21"/>
  <c r="E81" i="21" s="1"/>
  <c r="D79" i="21"/>
  <c r="E79" i="21" s="1"/>
  <c r="F79" i="21" s="1"/>
  <c r="G79" i="21" s="1"/>
  <c r="D77" i="21"/>
  <c r="E77" i="21" s="1"/>
  <c r="F77" i="21" s="1"/>
  <c r="G77" i="21" s="1"/>
  <c r="B74" i="21"/>
  <c r="J14" i="21" s="1"/>
  <c r="AC14" i="21" s="1"/>
  <c r="B72" i="21"/>
  <c r="B70" i="21"/>
  <c r="F12" i="21" s="1"/>
  <c r="D69" i="21"/>
  <c r="E69" i="21"/>
  <c r="F69" i="21"/>
  <c r="G69" i="21" s="1"/>
  <c r="H69" i="21" s="1"/>
  <c r="I69" i="21" s="1"/>
  <c r="J69" i="21" s="1"/>
  <c r="K69" i="21" s="1"/>
  <c r="L69" i="21" s="1"/>
  <c r="M69" i="21" s="1"/>
  <c r="M67" i="21"/>
  <c r="L67" i="21"/>
  <c r="K67" i="21"/>
  <c r="J67" i="21"/>
  <c r="I67" i="21"/>
  <c r="H67" i="21"/>
  <c r="G67" i="21"/>
  <c r="F67" i="21"/>
  <c r="E67" i="21"/>
  <c r="D67" i="21"/>
  <c r="C67" i="21"/>
  <c r="C63" i="21"/>
  <c r="I54" i="21"/>
  <c r="J54" i="21" s="1"/>
  <c r="G54" i="21"/>
  <c r="H54" i="21"/>
  <c r="F54" i="21"/>
  <c r="E54" i="21"/>
  <c r="P49" i="21"/>
  <c r="P48" i="21"/>
  <c r="K48" i="21"/>
  <c r="V47" i="21"/>
  <c r="T47" i="21"/>
  <c r="R47" i="21"/>
  <c r="P47" i="21"/>
  <c r="Q46" i="21"/>
  <c r="Z46" i="21" s="1"/>
  <c r="J46" i="21"/>
  <c r="AC46" i="21"/>
  <c r="H46" i="21"/>
  <c r="AB46" i="21" s="1"/>
  <c r="F46" i="21"/>
  <c r="AA46" i="21"/>
  <c r="Q45" i="21"/>
  <c r="Z45" i="21"/>
  <c r="J45" i="21"/>
  <c r="AC45" i="21" s="1"/>
  <c r="Q44" i="21"/>
  <c r="Z44" i="21" s="1"/>
  <c r="H44" i="21"/>
  <c r="Q43" i="21"/>
  <c r="Z43" i="21" s="1"/>
  <c r="J43" i="21"/>
  <c r="AC43" i="21" s="1"/>
  <c r="H43" i="21"/>
  <c r="AB43" i="21" s="1"/>
  <c r="F43" i="21"/>
  <c r="AA43" i="21"/>
  <c r="AA42" i="21"/>
  <c r="Q42" i="21"/>
  <c r="Z42" i="21"/>
  <c r="J42" i="21"/>
  <c r="AC42" i="21"/>
  <c r="H42" i="21"/>
  <c r="AB42" i="21"/>
  <c r="F42" i="21"/>
  <c r="S42" i="21"/>
  <c r="Q41" i="21"/>
  <c r="Z41" i="21" s="1"/>
  <c r="J41" i="21"/>
  <c r="W41" i="21" s="1"/>
  <c r="H41" i="21"/>
  <c r="AB41" i="21"/>
  <c r="F41" i="21"/>
  <c r="AA41" i="21"/>
  <c r="Q40" i="21"/>
  <c r="Z40" i="21" s="1"/>
  <c r="J40" i="21"/>
  <c r="H40" i="21"/>
  <c r="AB40" i="21" s="1"/>
  <c r="U40" i="21"/>
  <c r="F40" i="21"/>
  <c r="AA40" i="21" s="1"/>
  <c r="Q39" i="21"/>
  <c r="Z39" i="21" s="1"/>
  <c r="J39" i="21"/>
  <c r="AC39" i="21" s="1"/>
  <c r="H39" i="21"/>
  <c r="U39" i="21" s="1"/>
  <c r="F39" i="21"/>
  <c r="AA39" i="21" s="1"/>
  <c r="Q38" i="21"/>
  <c r="Z38" i="21" s="1"/>
  <c r="J38" i="21"/>
  <c r="AC38" i="21" s="1"/>
  <c r="H38" i="21"/>
  <c r="AB38" i="21" s="1"/>
  <c r="F38" i="21"/>
  <c r="S38" i="21" s="1"/>
  <c r="W37" i="21"/>
  <c r="Q37" i="21"/>
  <c r="Z37" i="21"/>
  <c r="J37" i="21"/>
  <c r="AC37" i="21"/>
  <c r="H37" i="21"/>
  <c r="AB37" i="21" s="1"/>
  <c r="F37" i="21"/>
  <c r="AA37" i="21"/>
  <c r="Q36" i="21"/>
  <c r="Z36" i="21" s="1"/>
  <c r="J36" i="21"/>
  <c r="AC36" i="21" s="1"/>
  <c r="H36" i="21"/>
  <c r="AB36" i="21" s="1"/>
  <c r="F36" i="21"/>
  <c r="AA36" i="21" s="1"/>
  <c r="Q35" i="21"/>
  <c r="Z35" i="21" s="1"/>
  <c r="J35" i="21"/>
  <c r="AC35" i="21" s="1"/>
  <c r="H35" i="21"/>
  <c r="AB35" i="21" s="1"/>
  <c r="F35" i="21"/>
  <c r="AA35" i="21" s="1"/>
  <c r="AA34" i="21"/>
  <c r="Q34" i="21"/>
  <c r="Z34" i="21" s="1"/>
  <c r="J34" i="21"/>
  <c r="AC34" i="21"/>
  <c r="H34" i="21"/>
  <c r="AB34" i="21"/>
  <c r="F34" i="21"/>
  <c r="S34" i="21"/>
  <c r="Z33" i="21"/>
  <c r="Q33" i="21"/>
  <c r="J33" i="21"/>
  <c r="AC33" i="21" s="1"/>
  <c r="W33" i="21"/>
  <c r="H33" i="21"/>
  <c r="AB33" i="21" s="1"/>
  <c r="F33" i="21"/>
  <c r="AA33" i="21" s="1"/>
  <c r="Q32" i="21"/>
  <c r="Z32" i="21"/>
  <c r="J32" i="21"/>
  <c r="H32" i="21"/>
  <c r="AB32" i="21" s="1"/>
  <c r="F32" i="21"/>
  <c r="AA32" i="21"/>
  <c r="AA31" i="21"/>
  <c r="Q31" i="21"/>
  <c r="Z31" i="21"/>
  <c r="J31" i="21"/>
  <c r="AC31" i="21"/>
  <c r="H31" i="21"/>
  <c r="U31" i="21"/>
  <c r="F31" i="21"/>
  <c r="S31" i="21"/>
  <c r="S30" i="21"/>
  <c r="Q30" i="21"/>
  <c r="Z30" i="21" s="1"/>
  <c r="F30" i="21"/>
  <c r="AA30" i="21" s="1"/>
  <c r="Q29" i="21"/>
  <c r="Z29" i="21" s="1"/>
  <c r="Q28" i="21"/>
  <c r="Z28" i="21"/>
  <c r="J28" i="21"/>
  <c r="W28" i="21" s="1"/>
  <c r="H28" i="21"/>
  <c r="F28" i="21"/>
  <c r="AA28" i="21"/>
  <c r="Q27" i="21"/>
  <c r="Z27" i="21" s="1"/>
  <c r="J27" i="21"/>
  <c r="AC27" i="21" s="1"/>
  <c r="H27" i="21"/>
  <c r="AB27" i="21" s="1"/>
  <c r="U27" i="21"/>
  <c r="F27" i="21"/>
  <c r="AA27" i="21" s="1"/>
  <c r="AA26" i="21"/>
  <c r="Q26" i="21"/>
  <c r="Z26" i="21"/>
  <c r="J26" i="21"/>
  <c r="AC26" i="21"/>
  <c r="H26" i="21"/>
  <c r="AB26" i="21"/>
  <c r="F26" i="21"/>
  <c r="S26" i="21"/>
  <c r="Z25" i="21"/>
  <c r="Q25" i="21"/>
  <c r="J25" i="21"/>
  <c r="H25" i="21"/>
  <c r="AB25" i="21" s="1"/>
  <c r="F25" i="21"/>
  <c r="AA25" i="21" s="1"/>
  <c r="AB23" i="21"/>
  <c r="Q23" i="21"/>
  <c r="Z23" i="21"/>
  <c r="J23" i="21"/>
  <c r="H23" i="21"/>
  <c r="U23" i="21" s="1"/>
  <c r="F23" i="21"/>
  <c r="AA23" i="21" s="1"/>
  <c r="C23" i="21"/>
  <c r="Q21" i="21"/>
  <c r="Z21" i="21"/>
  <c r="J21" i="21"/>
  <c r="AC21" i="21" s="1"/>
  <c r="W21" i="21"/>
  <c r="H21" i="21"/>
  <c r="F21" i="21"/>
  <c r="AA21" i="21"/>
  <c r="C21" i="21"/>
  <c r="Q19" i="21"/>
  <c r="Z19" i="21"/>
  <c r="J19" i="21"/>
  <c r="AC19" i="21" s="1"/>
  <c r="W19" i="21"/>
  <c r="H19" i="21"/>
  <c r="F19" i="21"/>
  <c r="AA19" i="21" s="1"/>
  <c r="C19" i="21"/>
  <c r="Q17" i="21"/>
  <c r="Z17" i="21"/>
  <c r="J17" i="21"/>
  <c r="AC17" i="21" s="1"/>
  <c r="H17" i="21"/>
  <c r="F17" i="21"/>
  <c r="AA17" i="21" s="1"/>
  <c r="C17" i="21"/>
  <c r="AB15" i="21"/>
  <c r="Q15" i="21"/>
  <c r="Z15" i="21"/>
  <c r="J15" i="21"/>
  <c r="H15" i="21"/>
  <c r="U15" i="21" s="1"/>
  <c r="F15" i="21"/>
  <c r="AA15" i="21" s="1"/>
  <c r="C15" i="21"/>
  <c r="Q14" i="21"/>
  <c r="Z14" i="21" s="1"/>
  <c r="W14" i="21"/>
  <c r="AB13" i="21"/>
  <c r="AA13" i="21"/>
  <c r="Q13" i="21"/>
  <c r="Z13" i="21" s="1"/>
  <c r="J13" i="21"/>
  <c r="AC13" i="21" s="1"/>
  <c r="H13" i="21"/>
  <c r="U13" i="21"/>
  <c r="F13" i="21"/>
  <c r="S13" i="21"/>
  <c r="Z12" i="21"/>
  <c r="Q12" i="21"/>
  <c r="Q11" i="21"/>
  <c r="Z11" i="21"/>
  <c r="J11" i="21"/>
  <c r="AC11" i="21" s="1"/>
  <c r="H11" i="21"/>
  <c r="AB11" i="21" s="1"/>
  <c r="F11" i="21"/>
  <c r="AA11" i="21" s="1"/>
  <c r="Q10" i="21"/>
  <c r="Z10" i="21" s="1"/>
  <c r="J10" i="21"/>
  <c r="AC10" i="21" s="1"/>
  <c r="W10" i="21"/>
  <c r="H10" i="21"/>
  <c r="U10" i="21" s="1"/>
  <c r="F10" i="21"/>
  <c r="AA10" i="21" s="1"/>
  <c r="Q9" i="21"/>
  <c r="Z9" i="21" s="1"/>
  <c r="AA8" i="21"/>
  <c r="J8" i="21"/>
  <c r="H8" i="21"/>
  <c r="F8" i="21"/>
  <c r="S8" i="21"/>
  <c r="B2" i="21"/>
  <c r="E13" i="70"/>
  <c r="A13" i="70"/>
  <c r="A12" i="70"/>
  <c r="E12" i="70" s="1"/>
  <c r="E11" i="70"/>
  <c r="A11" i="70"/>
  <c r="E10" i="70"/>
  <c r="A10" i="70"/>
  <c r="E9" i="70"/>
  <c r="A9" i="70"/>
  <c r="E8" i="70"/>
  <c r="A8" i="70"/>
  <c r="E7" i="70"/>
  <c r="A7" i="70"/>
  <c r="A6" i="70"/>
  <c r="R43" i="77"/>
  <c r="R41" i="77"/>
  <c r="R40" i="77"/>
  <c r="F36" i="77"/>
  <c r="R34" i="77"/>
  <c r="R33" i="77"/>
  <c r="C30" i="77"/>
  <c r="R27" i="77"/>
  <c r="M24" i="77"/>
  <c r="R23" i="77"/>
  <c r="C23" i="77"/>
  <c r="R22" i="77"/>
  <c r="R21" i="77"/>
  <c r="R24" i="77" s="1"/>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Q72" i="67"/>
  <c r="F61" i="67"/>
  <c r="Q59" i="67"/>
  <c r="K59" i="67"/>
  <c r="Q58" i="67"/>
  <c r="Q51" i="67"/>
  <c r="J50" i="67"/>
  <c r="D46" i="67"/>
  <c r="F33" i="67"/>
  <c r="F23" i="67"/>
  <c r="D24" i="67"/>
  <c r="F21" i="67"/>
  <c r="M20" i="67"/>
  <c r="F20" i="67"/>
  <c r="M19" i="67"/>
  <c r="F18" i="67"/>
  <c r="F17" i="67"/>
  <c r="F15" i="67"/>
  <c r="B131" i="34"/>
  <c r="B129" i="34"/>
  <c r="H46" i="34" s="1"/>
  <c r="J46" i="34"/>
  <c r="B127" i="34"/>
  <c r="E126" i="34"/>
  <c r="F126" i="34" s="1"/>
  <c r="G126" i="34" s="1"/>
  <c r="D126" i="34"/>
  <c r="F44" i="34"/>
  <c r="AA44" i="34" s="1"/>
  <c r="D124" i="34"/>
  <c r="E124" i="34" s="1"/>
  <c r="E120" i="34"/>
  <c r="F120" i="34"/>
  <c r="G120" i="34" s="1"/>
  <c r="H120" i="34" s="1"/>
  <c r="I120" i="34" s="1"/>
  <c r="J120" i="34" s="1"/>
  <c r="K120" i="34" s="1"/>
  <c r="L120" i="34" s="1"/>
  <c r="M120" i="34" s="1"/>
  <c r="D120" i="34"/>
  <c r="D118" i="34"/>
  <c r="E118" i="34" s="1"/>
  <c r="F118" i="34" s="1"/>
  <c r="G118" i="34" s="1"/>
  <c r="K116" i="34"/>
  <c r="L116" i="34" s="1"/>
  <c r="M116" i="34" s="1"/>
  <c r="E116" i="34"/>
  <c r="F116" i="34" s="1"/>
  <c r="G116" i="34" s="1"/>
  <c r="H116" i="34" s="1"/>
  <c r="I116" i="34" s="1"/>
  <c r="J116" i="34" s="1"/>
  <c r="D116" i="34"/>
  <c r="D114" i="34"/>
  <c r="E114" i="34"/>
  <c r="F114" i="34" s="1"/>
  <c r="G114" i="34" s="1"/>
  <c r="H114" i="34"/>
  <c r="I114" i="34" s="1"/>
  <c r="J114" i="34" s="1"/>
  <c r="K114" i="34" s="1"/>
  <c r="L114" i="34" s="1"/>
  <c r="M114" i="34" s="1"/>
  <c r="H112" i="34"/>
  <c r="I112" i="34" s="1"/>
  <c r="J112" i="34" s="1"/>
  <c r="K112" i="34" s="1"/>
  <c r="L112" i="34" s="1"/>
  <c r="M112" i="34" s="1"/>
  <c r="E112" i="34"/>
  <c r="F112" i="34" s="1"/>
  <c r="G112" i="34" s="1"/>
  <c r="D112" i="34"/>
  <c r="G110" i="34"/>
  <c r="F110" i="34"/>
  <c r="E110" i="34"/>
  <c r="D110" i="34"/>
  <c r="C110" i="34"/>
  <c r="E109" i="34"/>
  <c r="F109" i="34" s="1"/>
  <c r="G109" i="34" s="1"/>
  <c r="H109" i="34" s="1"/>
  <c r="I109" i="34" s="1"/>
  <c r="J109" i="34" s="1"/>
  <c r="K109" i="34" s="1"/>
  <c r="L109" i="34" s="1"/>
  <c r="M109" i="34" s="1"/>
  <c r="D109" i="34"/>
  <c r="D107" i="34"/>
  <c r="E107" i="34"/>
  <c r="F107" i="34"/>
  <c r="G107" i="34" s="1"/>
  <c r="H107" i="34" s="1"/>
  <c r="I107" i="34"/>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J30" i="34" s="1"/>
  <c r="W30" i="34" s="1"/>
  <c r="B93" i="34"/>
  <c r="J29" i="34" s="1"/>
  <c r="W29" i="34" s="1"/>
  <c r="D92" i="34"/>
  <c r="E92" i="34" s="1"/>
  <c r="F92" i="34" s="1"/>
  <c r="G92" i="34" s="1"/>
  <c r="H92" i="34" s="1"/>
  <c r="I92" i="34" s="1"/>
  <c r="J92" i="34" s="1"/>
  <c r="K92" i="34" s="1"/>
  <c r="L92" i="34" s="1"/>
  <c r="M92" i="34" s="1"/>
  <c r="B91" i="34"/>
  <c r="D90" i="34"/>
  <c r="B89" i="34"/>
  <c r="L88" i="34"/>
  <c r="M88" i="34" s="1"/>
  <c r="D88" i="34"/>
  <c r="E88" i="34" s="1"/>
  <c r="F88" i="34" s="1"/>
  <c r="G88" i="34" s="1"/>
  <c r="H88" i="34" s="1"/>
  <c r="I88" i="34" s="1"/>
  <c r="J88" i="34" s="1"/>
  <c r="K88" i="34" s="1"/>
  <c r="D86" i="34"/>
  <c r="F84" i="34"/>
  <c r="G84" i="34" s="1"/>
  <c r="D84" i="34"/>
  <c r="E84" i="34" s="1"/>
  <c r="E82" i="34"/>
  <c r="F82" i="34" s="1"/>
  <c r="G82" i="34" s="1"/>
  <c r="D82" i="34"/>
  <c r="J19" i="34" s="1"/>
  <c r="AC19" i="34" s="1"/>
  <c r="D80" i="34"/>
  <c r="E80" i="34" s="1"/>
  <c r="F80" i="34" s="1"/>
  <c r="G80" i="34" s="1"/>
  <c r="D78" i="34"/>
  <c r="B75" i="34"/>
  <c r="B73" i="34"/>
  <c r="H13" i="34" s="1"/>
  <c r="B71" i="34"/>
  <c r="H12" i="34"/>
  <c r="E70" i="34"/>
  <c r="F70" i="34" s="1"/>
  <c r="G70" i="34" s="1"/>
  <c r="H70" i="34" s="1"/>
  <c r="I70" i="34" s="1"/>
  <c r="J70" i="34" s="1"/>
  <c r="K70" i="34" s="1"/>
  <c r="L70" i="34" s="1"/>
  <c r="M70" i="34" s="1"/>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Q47" i="34"/>
  <c r="Z47" i="34"/>
  <c r="Q46" i="34"/>
  <c r="Z46" i="34" s="1"/>
  <c r="F46" i="34"/>
  <c r="Q45" i="34"/>
  <c r="Z45" i="34"/>
  <c r="Q44" i="34"/>
  <c r="Z44" i="34"/>
  <c r="H44" i="34"/>
  <c r="Q43" i="34"/>
  <c r="Z43" i="34" s="1"/>
  <c r="AA42" i="34"/>
  <c r="Q42" i="34"/>
  <c r="Z42" i="34" s="1"/>
  <c r="J42" i="34"/>
  <c r="AC42" i="34"/>
  <c r="H42" i="34"/>
  <c r="U42" i="34"/>
  <c r="F42" i="34"/>
  <c r="S42" i="34"/>
  <c r="Q41" i="34"/>
  <c r="Z41" i="34" s="1"/>
  <c r="J41" i="34"/>
  <c r="AC41" i="34" s="1"/>
  <c r="W41" i="34"/>
  <c r="H41" i="34"/>
  <c r="AB41" i="34" s="1"/>
  <c r="F41" i="34"/>
  <c r="AA41" i="34" s="1"/>
  <c r="Q40" i="34"/>
  <c r="Z40" i="34" s="1"/>
  <c r="J40" i="34"/>
  <c r="AC40" i="34" s="1"/>
  <c r="H40" i="34"/>
  <c r="F40" i="34"/>
  <c r="AA40" i="34"/>
  <c r="AA39" i="34"/>
  <c r="Q39" i="34"/>
  <c r="Z39" i="34"/>
  <c r="J39" i="34"/>
  <c r="W39" i="34"/>
  <c r="H39" i="34"/>
  <c r="U39" i="34"/>
  <c r="F39" i="34"/>
  <c r="S39" i="34"/>
  <c r="Q38" i="34"/>
  <c r="Z38" i="34"/>
  <c r="J38" i="34"/>
  <c r="AC38" i="34" s="1"/>
  <c r="H38" i="34"/>
  <c r="F38" i="34"/>
  <c r="AA38" i="34" s="1"/>
  <c r="Z37" i="34"/>
  <c r="Q37" i="34"/>
  <c r="AB36" i="34"/>
  <c r="Q36" i="34"/>
  <c r="Z36" i="34"/>
  <c r="J36" i="34"/>
  <c r="W36" i="34" s="1"/>
  <c r="H36" i="34"/>
  <c r="U36" i="34"/>
  <c r="F36" i="34"/>
  <c r="AA36" i="34"/>
  <c r="Q35" i="34"/>
  <c r="Z35" i="34" s="1"/>
  <c r="J35" i="34"/>
  <c r="AC35" i="34" s="1"/>
  <c r="H35" i="34"/>
  <c r="U35" i="34" s="1"/>
  <c r="AB35" i="34"/>
  <c r="F35" i="34"/>
  <c r="S35" i="34" s="1"/>
  <c r="Z34" i="34"/>
  <c r="Q34" i="34"/>
  <c r="Q33" i="34"/>
  <c r="Z33" i="34" s="1"/>
  <c r="J33" i="34"/>
  <c r="H33" i="34"/>
  <c r="U33" i="34" s="1"/>
  <c r="AB33" i="34"/>
  <c r="F33" i="34"/>
  <c r="S33" i="34" s="1"/>
  <c r="Z32" i="34"/>
  <c r="Q32" i="34"/>
  <c r="H32" i="34"/>
  <c r="Q31" i="34"/>
  <c r="Z31" i="34" s="1"/>
  <c r="J31" i="34"/>
  <c r="H31" i="34"/>
  <c r="AB31" i="34" s="1"/>
  <c r="F31" i="34"/>
  <c r="S31" i="34"/>
  <c r="Q30" i="34"/>
  <c r="Z30" i="34"/>
  <c r="Q29" i="34"/>
  <c r="Z29" i="34" s="1"/>
  <c r="H29" i="34"/>
  <c r="F29" i="34"/>
  <c r="AA29" i="34" s="1"/>
  <c r="Q28" i="34"/>
  <c r="Z28" i="34" s="1"/>
  <c r="Q27" i="34"/>
  <c r="Z27" i="34" s="1"/>
  <c r="Q25" i="34"/>
  <c r="Z25" i="34"/>
  <c r="J25" i="34"/>
  <c r="W25" i="34" s="1"/>
  <c r="H25" i="34"/>
  <c r="F25" i="34"/>
  <c r="AA25" i="34" s="1"/>
  <c r="Q23" i="34"/>
  <c r="Z23" i="34" s="1"/>
  <c r="C23" i="34"/>
  <c r="Q21" i="34"/>
  <c r="Z21" i="34"/>
  <c r="J21" i="34"/>
  <c r="AC21" i="34"/>
  <c r="H21" i="34"/>
  <c r="U21" i="34"/>
  <c r="F21" i="34"/>
  <c r="S21" i="34"/>
  <c r="C21" i="34"/>
  <c r="Q19" i="34"/>
  <c r="Z19" i="34"/>
  <c r="H19" i="34"/>
  <c r="AB19" i="34"/>
  <c r="F19" i="34"/>
  <c r="S19" i="34" s="1"/>
  <c r="C19" i="34"/>
  <c r="Q17" i="34"/>
  <c r="Z17" i="34"/>
  <c r="C17" i="34"/>
  <c r="Q15" i="34"/>
  <c r="Z15" i="34" s="1"/>
  <c r="C15" i="34"/>
  <c r="Q14" i="34"/>
  <c r="Z14" i="34" s="1"/>
  <c r="J14" i="34"/>
  <c r="AC14" i="34" s="1"/>
  <c r="Q13" i="34"/>
  <c r="Z13" i="34"/>
  <c r="J13" i="34"/>
  <c r="AC13" i="34" s="1"/>
  <c r="U13" i="34"/>
  <c r="Q12" i="34"/>
  <c r="Z12" i="34" s="1"/>
  <c r="J12" i="34"/>
  <c r="AC12" i="34" s="1"/>
  <c r="W12" i="34"/>
  <c r="F12" i="34"/>
  <c r="AB11" i="34"/>
  <c r="Q11" i="34"/>
  <c r="Z11" i="34" s="1"/>
  <c r="J11" i="34"/>
  <c r="AC11" i="34" s="1"/>
  <c r="H11" i="34"/>
  <c r="U11" i="34" s="1"/>
  <c r="F11" i="34"/>
  <c r="AA11" i="34"/>
  <c r="Q10" i="34"/>
  <c r="Z10" i="34"/>
  <c r="J10" i="34"/>
  <c r="AC10" i="34"/>
  <c r="H10" i="34"/>
  <c r="U10" i="34"/>
  <c r="F10" i="34"/>
  <c r="S10" i="34"/>
  <c r="Q9" i="34"/>
  <c r="Z9" i="34"/>
  <c r="F9" i="34"/>
  <c r="S9" i="34"/>
  <c r="J8" i="34"/>
  <c r="AC8" i="34" s="1"/>
  <c r="H8" i="34"/>
  <c r="AB8" i="34" s="1"/>
  <c r="F8" i="34"/>
  <c r="S8" i="34" s="1"/>
  <c r="Q72" i="15"/>
  <c r="Q59" i="15"/>
  <c r="K59" i="15"/>
  <c r="P61" i="15" s="1"/>
  <c r="P74" i="15"/>
  <c r="Q58" i="15"/>
  <c r="Q51" i="15"/>
  <c r="J50" i="15"/>
  <c r="J51" i="15" s="1"/>
  <c r="M47" i="15"/>
  <c r="D46" i="15"/>
  <c r="F33" i="15"/>
  <c r="F61" i="15"/>
  <c r="F23" i="15"/>
  <c r="D22" i="15"/>
  <c r="D23" i="15"/>
  <c r="F21" i="15"/>
  <c r="F20" i="15"/>
  <c r="M19" i="15"/>
  <c r="F18" i="15"/>
  <c r="F17" i="15"/>
  <c r="F15" i="15"/>
  <c r="B22" i="1"/>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c r="E10" i="69"/>
  <c r="E9" i="69"/>
  <c r="F7" i="69"/>
  <c r="H1" i="69"/>
  <c r="C40" i="68"/>
  <c r="F38" i="68"/>
  <c r="E37" i="68"/>
  <c r="F36" i="68"/>
  <c r="F35" i="68"/>
  <c r="F21" i="68"/>
  <c r="F40" i="68"/>
  <c r="C21" i="68"/>
  <c r="F20" i="68"/>
  <c r="F39" i="68" s="1"/>
  <c r="E10" i="68"/>
  <c r="E9" i="68"/>
  <c r="F7" i="68"/>
  <c r="C7" i="68" s="1"/>
  <c r="A120" i="9"/>
  <c r="E111" i="9"/>
  <c r="H112" i="9" s="1"/>
  <c r="E109" i="9"/>
  <c r="A124" i="9" s="1"/>
  <c r="E107" i="9"/>
  <c r="A122" i="9" s="1"/>
  <c r="H106" i="9"/>
  <c r="H105" i="9"/>
  <c r="H103" i="9" s="1"/>
  <c r="D120" i="9" s="1"/>
  <c r="H104" i="9"/>
  <c r="D101" i="9"/>
  <c r="C101" i="9"/>
  <c r="C91" i="9"/>
  <c r="E90" i="9"/>
  <c r="D89" i="9"/>
  <c r="C89" i="9" s="1"/>
  <c r="C87" i="9"/>
  <c r="C92" i="9" s="1"/>
  <c r="H77" i="9"/>
  <c r="D77" i="9"/>
  <c r="C76" i="9"/>
  <c r="F59" i="9"/>
  <c r="E59" i="9"/>
  <c r="N55" i="9" s="1"/>
  <c r="F56" i="9"/>
  <c r="O54" i="9" s="1"/>
  <c r="O55" i="9"/>
  <c r="K55" i="9"/>
  <c r="J55" i="9"/>
  <c r="I55" i="9"/>
  <c r="F55" i="9"/>
  <c r="O53" i="9" s="1"/>
  <c r="N54"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B8" i="74"/>
  <c r="B7" i="74"/>
  <c r="D7" i="74" s="1"/>
  <c r="B3" i="74"/>
  <c r="B2" i="74"/>
  <c r="C24" i="20"/>
  <c r="C22" i="20"/>
  <c r="C21" i="20"/>
  <c r="C27" i="39" s="1"/>
  <c r="G20" i="20"/>
  <c r="B88" i="43"/>
  <c r="C20" i="20"/>
  <c r="G19" i="20"/>
  <c r="G18" i="20"/>
  <c r="B90" i="43"/>
  <c r="C18" i="20"/>
  <c r="C17" i="20"/>
  <c r="G16" i="20"/>
  <c r="C16" i="20"/>
  <c r="C17" i="39"/>
  <c r="G15" i="20"/>
  <c r="C15" i="20"/>
  <c r="D78" i="9"/>
  <c r="B31" i="1"/>
  <c r="E19" i="69" s="1"/>
  <c r="B24" i="1"/>
  <c r="B23" i="1"/>
  <c r="O19" i="1"/>
  <c r="P14" i="1"/>
  <c r="O14" i="1"/>
  <c r="AG13" i="1"/>
  <c r="AE13" i="1"/>
  <c r="S13" i="1"/>
  <c r="AR13" i="1" s="1"/>
  <c r="P13" i="1"/>
  <c r="O13" i="1"/>
  <c r="F13" i="1"/>
  <c r="D13" i="1"/>
  <c r="A13" i="1"/>
  <c r="K13" i="1" s="1"/>
  <c r="M13" i="1" s="1"/>
  <c r="AG12" i="1"/>
  <c r="AE12" i="1"/>
  <c r="S12" i="1"/>
  <c r="AR12" i="1" s="1"/>
  <c r="P12" i="1"/>
  <c r="O12" i="1"/>
  <c r="F12" i="1"/>
  <c r="E12" i="1"/>
  <c r="D12" i="1"/>
  <c r="B12" i="1"/>
  <c r="A12" i="1"/>
  <c r="K12" i="1" s="1"/>
  <c r="M12" i="1" s="1"/>
  <c r="R12" i="1"/>
  <c r="AG11" i="1"/>
  <c r="AE11" i="1"/>
  <c r="R11" i="1"/>
  <c r="P11" i="1"/>
  <c r="O11" i="1"/>
  <c r="F11" i="1"/>
  <c r="D11" i="1"/>
  <c r="A11" i="1"/>
  <c r="K11" i="1" s="1"/>
  <c r="AG10" i="1"/>
  <c r="AE10" i="1"/>
  <c r="P10" i="1"/>
  <c r="O10" i="1"/>
  <c r="F10" i="1"/>
  <c r="G10" i="1" s="1"/>
  <c r="E10" i="1"/>
  <c r="D10" i="1"/>
  <c r="B10" i="1"/>
  <c r="A10" i="1"/>
  <c r="K10" i="1" s="1"/>
  <c r="M10" i="1" s="1"/>
  <c r="R10" i="1"/>
  <c r="AG9" i="1"/>
  <c r="AE9" i="1"/>
  <c r="P9" i="1"/>
  <c r="O9" i="1"/>
  <c r="F9" i="1"/>
  <c r="D9" i="1"/>
  <c r="B9" i="1"/>
  <c r="E9" i="1" s="1"/>
  <c r="A9" i="1"/>
  <c r="AG8" i="1"/>
  <c r="AE8" i="1"/>
  <c r="P8" i="1"/>
  <c r="O8" i="1"/>
  <c r="F8" i="1"/>
  <c r="D8" i="1"/>
  <c r="A8" i="1"/>
  <c r="AG7" i="1"/>
  <c r="AE7" i="1"/>
  <c r="P7" i="1"/>
  <c r="O7" i="1"/>
  <c r="F7" i="1"/>
  <c r="D7" i="1"/>
  <c r="A7" i="1"/>
  <c r="K7" i="1" s="1"/>
  <c r="AG6" i="1"/>
  <c r="P6" i="1"/>
  <c r="O6" i="1"/>
  <c r="T4" i="1"/>
  <c r="E32" i="6"/>
  <c r="O27" i="6"/>
  <c r="N27" i="6"/>
  <c r="G27" i="6"/>
  <c r="P26" i="6"/>
  <c r="L26" i="6"/>
  <c r="E26" i="6"/>
  <c r="P25" i="6"/>
  <c r="P27" i="6" s="1"/>
  <c r="L25" i="6"/>
  <c r="E25" i="6"/>
  <c r="P24" i="6"/>
  <c r="L24" i="6"/>
  <c r="E24" i="6"/>
  <c r="P23" i="6"/>
  <c r="L23" i="6"/>
  <c r="E23" i="6"/>
  <c r="P22" i="6"/>
  <c r="L22" i="6"/>
  <c r="E22" i="6"/>
  <c r="P21" i="6"/>
  <c r="L21" i="6"/>
  <c r="E21" i="6"/>
  <c r="P20" i="6"/>
  <c r="L20" i="6"/>
  <c r="E20" i="6"/>
  <c r="P19" i="6"/>
  <c r="BT587" i="3"/>
  <c r="BS587" i="3"/>
  <c r="BR587" i="3"/>
  <c r="BQ587" i="3"/>
  <c r="BP587" i="3"/>
  <c r="BO587" i="3"/>
  <c r="BN587" i="3"/>
  <c r="BL587" i="3" s="1"/>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M586" i="3"/>
  <c r="BK586" i="3"/>
  <c r="BJ586" i="3"/>
  <c r="BI586" i="3"/>
  <c r="BH586" i="3"/>
  <c r="BG586" i="3"/>
  <c r="BF586" i="3"/>
  <c r="BE586" i="3"/>
  <c r="BD586" i="3"/>
  <c r="BA586" i="3" s="1"/>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G585" i="3" s="1"/>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L583" i="3" s="1"/>
  <c r="BK583" i="3"/>
  <c r="BJ583" i="3"/>
  <c r="BI583" i="3"/>
  <c r="BH583" i="3"/>
  <c r="BG583" i="3"/>
  <c r="BF583" i="3"/>
  <c r="BE583" i="3"/>
  <c r="BD583" i="3"/>
  <c r="BC583" i="3"/>
  <c r="BB583" i="3"/>
  <c r="AX583" i="3"/>
  <c r="AW583" i="3"/>
  <c r="AV583" i="3"/>
  <c r="AC583" i="3"/>
  <c r="H583" i="3"/>
  <c r="G583" i="3" s="1"/>
  <c r="BT582" i="3"/>
  <c r="BS582" i="3"/>
  <c r="BR582" i="3"/>
  <c r="BQ582" i="3"/>
  <c r="BP582" i="3"/>
  <c r="BO582" i="3"/>
  <c r="BL582" i="3"/>
  <c r="BN582" i="3"/>
  <c r="BM582" i="3"/>
  <c r="BK582" i="3"/>
  <c r="BJ582" i="3"/>
  <c r="BI582" i="3"/>
  <c r="BH582" i="3"/>
  <c r="BG582" i="3"/>
  <c r="BF582" i="3"/>
  <c r="BE582" i="3"/>
  <c r="BD582" i="3"/>
  <c r="BC582" i="3"/>
  <c r="BA582" i="3"/>
  <c r="BB582" i="3"/>
  <c r="AX582" i="3"/>
  <c r="AW582" i="3"/>
  <c r="AV582" i="3"/>
  <c r="AC582" i="3"/>
  <c r="G582" i="3" s="1"/>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G580" i="3"/>
  <c r="BT579" i="3"/>
  <c r="BS579" i="3"/>
  <c r="BR579" i="3"/>
  <c r="BQ579" i="3"/>
  <c r="BP579" i="3"/>
  <c r="BO579" i="3"/>
  <c r="BN579" i="3"/>
  <c r="BM579" i="3"/>
  <c r="BK579" i="3"/>
  <c r="BJ579" i="3"/>
  <c r="BI579" i="3"/>
  <c r="BH579" i="3"/>
  <c r="BG579" i="3"/>
  <c r="BF579" i="3"/>
  <c r="BE579" i="3"/>
  <c r="BD579" i="3"/>
  <c r="BC579" i="3"/>
  <c r="BB579" i="3"/>
  <c r="BA579" i="3"/>
  <c r="AX579" i="3"/>
  <c r="AW579" i="3"/>
  <c r="AV579" i="3"/>
  <c r="AC579" i="3"/>
  <c r="G579" i="3"/>
  <c r="H579" i="3"/>
  <c r="BT578" i="3"/>
  <c r="BS578" i="3"/>
  <c r="BR578" i="3"/>
  <c r="BQ578" i="3"/>
  <c r="BP578" i="3"/>
  <c r="BO578" i="3"/>
  <c r="BN578" i="3"/>
  <c r="BM578" i="3"/>
  <c r="BK578" i="3"/>
  <c r="BJ578" i="3"/>
  <c r="BI578" i="3"/>
  <c r="BH578" i="3"/>
  <c r="BG578" i="3"/>
  <c r="BF578" i="3"/>
  <c r="BE578" i="3"/>
  <c r="BD578" i="3"/>
  <c r="BC578" i="3"/>
  <c r="BB578" i="3"/>
  <c r="BA578" i="3" s="1"/>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G576" i="3" s="1"/>
  <c r="H576" i="3"/>
  <c r="BT575" i="3"/>
  <c r="BS575" i="3"/>
  <c r="BR575" i="3"/>
  <c r="BQ575" i="3"/>
  <c r="BP575" i="3"/>
  <c r="BO575" i="3"/>
  <c r="BN575" i="3"/>
  <c r="BM575" i="3"/>
  <c r="BK575" i="3"/>
  <c r="BJ575" i="3"/>
  <c r="BI575" i="3"/>
  <c r="BH575" i="3"/>
  <c r="BG575" i="3"/>
  <c r="BF575" i="3"/>
  <c r="BE575" i="3"/>
  <c r="BD575" i="3"/>
  <c r="BA575" i="3"/>
  <c r="BC575" i="3"/>
  <c r="BB575" i="3"/>
  <c r="AX575" i="3"/>
  <c r="AW575" i="3"/>
  <c r="AV575" i="3"/>
  <c r="AC575" i="3"/>
  <c r="G575" i="3"/>
  <c r="H575" i="3"/>
  <c r="BT574" i="3"/>
  <c r="BS574" i="3"/>
  <c r="BR574" i="3"/>
  <c r="BL574" i="3" s="1"/>
  <c r="BQ574" i="3"/>
  <c r="BP574" i="3"/>
  <c r="BO574" i="3"/>
  <c r="BN574" i="3"/>
  <c r="BM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G571" i="3"/>
  <c r="H571" i="3"/>
  <c r="BT570" i="3"/>
  <c r="BS570" i="3"/>
  <c r="BR570" i="3"/>
  <c r="BQ570" i="3"/>
  <c r="BP570" i="3"/>
  <c r="BL570" i="3" s="1"/>
  <c r="BO570" i="3"/>
  <c r="BN570" i="3"/>
  <c r="BM570" i="3"/>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L565" i="3" s="1"/>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K563" i="3"/>
  <c r="BJ563" i="3"/>
  <c r="BI563" i="3"/>
  <c r="BH563" i="3"/>
  <c r="BG563" i="3"/>
  <c r="BF563" i="3"/>
  <c r="BE563" i="3"/>
  <c r="BD563" i="3"/>
  <c r="BA563" i="3"/>
  <c r="BC563" i="3"/>
  <c r="BB563" i="3"/>
  <c r="AX563" i="3"/>
  <c r="AW563" i="3"/>
  <c r="AV563" i="3"/>
  <c r="AC563" i="3"/>
  <c r="G563" i="3"/>
  <c r="H563" i="3"/>
  <c r="BT562" i="3"/>
  <c r="BS562" i="3"/>
  <c r="BR562" i="3"/>
  <c r="BQ562" i="3"/>
  <c r="BP562" i="3"/>
  <c r="BO562" i="3"/>
  <c r="BN562" i="3"/>
  <c r="BL562" i="3" s="1"/>
  <c r="BM562" i="3"/>
  <c r="BK562" i="3"/>
  <c r="BJ562" i="3"/>
  <c r="BI562" i="3"/>
  <c r="BH562" i="3"/>
  <c r="BG562" i="3"/>
  <c r="BF562" i="3"/>
  <c r="BA562" i="3" s="1"/>
  <c r="AZ562" i="3" s="1"/>
  <c r="BE562" i="3"/>
  <c r="BD562" i="3"/>
  <c r="BC562" i="3"/>
  <c r="BB562" i="3"/>
  <c r="AX562" i="3"/>
  <c r="AW562" i="3"/>
  <c r="AV562" i="3"/>
  <c r="AC562" i="3"/>
  <c r="H562" i="3"/>
  <c r="G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c r="BT559" i="3"/>
  <c r="BS559" i="3"/>
  <c r="BR559" i="3"/>
  <c r="BQ559" i="3"/>
  <c r="BL559" i="3" s="1"/>
  <c r="BP559" i="3"/>
  <c r="BO559" i="3"/>
  <c r="BN559" i="3"/>
  <c r="BM559" i="3"/>
  <c r="BK559" i="3"/>
  <c r="BJ559" i="3"/>
  <c r="BI559" i="3"/>
  <c r="BH559" i="3"/>
  <c r="BG559" i="3"/>
  <c r="BF559" i="3"/>
  <c r="BE559" i="3"/>
  <c r="BD559" i="3"/>
  <c r="BC559" i="3"/>
  <c r="BB559" i="3"/>
  <c r="AX559" i="3"/>
  <c r="AW559" i="3"/>
  <c r="AV559" i="3"/>
  <c r="AC559" i="3"/>
  <c r="G559" i="3"/>
  <c r="H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c r="BT555" i="3"/>
  <c r="BS555" i="3"/>
  <c r="BR555" i="3"/>
  <c r="BQ555" i="3"/>
  <c r="BP555" i="3"/>
  <c r="BO555" i="3"/>
  <c r="BN555" i="3"/>
  <c r="BM555" i="3"/>
  <c r="BL555" i="3" s="1"/>
  <c r="BK555" i="3"/>
  <c r="BJ555" i="3"/>
  <c r="BI555" i="3"/>
  <c r="BH555" i="3"/>
  <c r="BG555" i="3"/>
  <c r="BF555" i="3"/>
  <c r="BE555" i="3"/>
  <c r="BA555" i="3" s="1"/>
  <c r="AZ555" i="3" s="1"/>
  <c r="BD555" i="3"/>
  <c r="BC555" i="3"/>
  <c r="BB555" i="3"/>
  <c r="AX555" i="3"/>
  <c r="AW555" i="3"/>
  <c r="AV555" i="3"/>
  <c r="AC555" i="3"/>
  <c r="G555" i="3"/>
  <c r="H555" i="3"/>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G554" i="3" s="1"/>
  <c r="H554" i="3"/>
  <c r="BT553" i="3"/>
  <c r="BS553" i="3"/>
  <c r="BR553" i="3"/>
  <c r="BQ553" i="3"/>
  <c r="BP553" i="3"/>
  <c r="BO553" i="3"/>
  <c r="BL553" i="3" s="1"/>
  <c r="BN553" i="3"/>
  <c r="BM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A552" i="3" s="1"/>
  <c r="BB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AX551" i="3"/>
  <c r="AW551" i="3"/>
  <c r="AV551" i="3"/>
  <c r="AC551" i="3"/>
  <c r="G551" i="3"/>
  <c r="H551" i="3"/>
  <c r="BT550" i="3"/>
  <c r="BS550" i="3"/>
  <c r="BR550" i="3"/>
  <c r="BQ550" i="3"/>
  <c r="BP550" i="3"/>
  <c r="BO550" i="3"/>
  <c r="BN550" i="3"/>
  <c r="BM550" i="3"/>
  <c r="BK550" i="3"/>
  <c r="BJ550" i="3"/>
  <c r="BI550" i="3"/>
  <c r="BH550" i="3"/>
  <c r="BG550" i="3"/>
  <c r="BF550" i="3"/>
  <c r="BE550" i="3"/>
  <c r="BD550" i="3"/>
  <c r="BA550" i="3" s="1"/>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L546" i="3" s="1"/>
  <c r="BM546" i="3"/>
  <c r="BK546" i="3"/>
  <c r="BJ546" i="3"/>
  <c r="BI546" i="3"/>
  <c r="BH546" i="3"/>
  <c r="BG546" i="3"/>
  <c r="BF546" i="3"/>
  <c r="BE546" i="3"/>
  <c r="BD546" i="3"/>
  <c r="BA546" i="3" s="1"/>
  <c r="BC546" i="3"/>
  <c r="BB546" i="3"/>
  <c r="AX546" i="3"/>
  <c r="AW546" i="3"/>
  <c r="AV546" i="3"/>
  <c r="AC546" i="3"/>
  <c r="G546" i="3" s="1"/>
  <c r="H546" i="3"/>
  <c r="BT545" i="3"/>
  <c r="BS545" i="3"/>
  <c r="BR545" i="3"/>
  <c r="BQ545" i="3"/>
  <c r="BP545" i="3"/>
  <c r="BL545" i="3" s="1"/>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A544" i="3" s="1"/>
  <c r="BI544" i="3"/>
  <c r="BH544" i="3"/>
  <c r="BG544" i="3"/>
  <c r="BF544" i="3"/>
  <c r="BE544" i="3"/>
  <c r="BD544" i="3"/>
  <c r="BC544" i="3"/>
  <c r="BB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AX539" i="3"/>
  <c r="AW539" i="3"/>
  <c r="AV539" i="3"/>
  <c r="AC539" i="3"/>
  <c r="G539" i="3"/>
  <c r="H539" i="3"/>
  <c r="BT538" i="3"/>
  <c r="BS538" i="3"/>
  <c r="BR538" i="3"/>
  <c r="BQ538" i="3"/>
  <c r="BP538" i="3"/>
  <c r="BO538" i="3"/>
  <c r="BN538" i="3"/>
  <c r="BM538" i="3"/>
  <c r="BL538" i="3" s="1"/>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G536" i="3" s="1"/>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H534" i="3"/>
  <c r="G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K531" i="3"/>
  <c r="BJ531" i="3"/>
  <c r="BI531" i="3"/>
  <c r="BH531" i="3"/>
  <c r="BG531" i="3"/>
  <c r="BF531" i="3"/>
  <c r="BE531" i="3"/>
  <c r="BA531" i="3" s="1"/>
  <c r="BD531" i="3"/>
  <c r="BC531" i="3"/>
  <c r="BB531" i="3"/>
  <c r="AX531" i="3"/>
  <c r="AW531" i="3"/>
  <c r="AV531" i="3"/>
  <c r="AC531" i="3"/>
  <c r="G531" i="3"/>
  <c r="H531" i="3"/>
  <c r="BT530" i="3"/>
  <c r="BS530" i="3"/>
  <c r="BR530" i="3"/>
  <c r="BQ530" i="3"/>
  <c r="BP530" i="3"/>
  <c r="BO530" i="3"/>
  <c r="BL530" i="3" s="1"/>
  <c r="BN530" i="3"/>
  <c r="BM530" i="3"/>
  <c r="BK530" i="3"/>
  <c r="BJ530" i="3"/>
  <c r="BI530" i="3"/>
  <c r="BH530" i="3"/>
  <c r="BG530" i="3"/>
  <c r="BF530" i="3"/>
  <c r="BE530" i="3"/>
  <c r="BD530" i="3"/>
  <c r="BC530" i="3"/>
  <c r="BB530" i="3"/>
  <c r="AX530" i="3"/>
  <c r="AW530" i="3"/>
  <c r="AV530" i="3"/>
  <c r="AC530" i="3"/>
  <c r="G530" i="3" s="1"/>
  <c r="H530" i="3"/>
  <c r="BT529" i="3"/>
  <c r="BS529" i="3"/>
  <c r="BR529" i="3"/>
  <c r="BQ529" i="3"/>
  <c r="BP529" i="3"/>
  <c r="BO529" i="3"/>
  <c r="BL529" i="3" s="1"/>
  <c r="BN529" i="3"/>
  <c r="BM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A528" i="3" s="1"/>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G527" i="3"/>
  <c r="H527" i="3"/>
  <c r="BT526" i="3"/>
  <c r="BS526" i="3"/>
  <c r="BR526" i="3"/>
  <c r="BQ526" i="3"/>
  <c r="BP526" i="3"/>
  <c r="BL526" i="3" s="1"/>
  <c r="BO526" i="3"/>
  <c r="BN526" i="3"/>
  <c r="BM526" i="3"/>
  <c r="BK526" i="3"/>
  <c r="BJ526" i="3"/>
  <c r="BI526" i="3"/>
  <c r="BH526" i="3"/>
  <c r="BG526" i="3"/>
  <c r="BF526" i="3"/>
  <c r="BE526" i="3"/>
  <c r="BD526" i="3"/>
  <c r="BA526" i="3" s="1"/>
  <c r="BC526" i="3"/>
  <c r="BB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G524" i="3" s="1"/>
  <c r="H524" i="3"/>
  <c r="BT523" i="3"/>
  <c r="BS523" i="3"/>
  <c r="BR523" i="3"/>
  <c r="BQ523" i="3"/>
  <c r="BP523" i="3"/>
  <c r="BL523" i="3" s="1"/>
  <c r="BO523" i="3"/>
  <c r="BN523" i="3"/>
  <c r="BM523" i="3"/>
  <c r="BK523" i="3"/>
  <c r="BJ523" i="3"/>
  <c r="BI523" i="3"/>
  <c r="BH523" i="3"/>
  <c r="BG523" i="3"/>
  <c r="BF523" i="3"/>
  <c r="BE523" i="3"/>
  <c r="BD523" i="3"/>
  <c r="BC523" i="3"/>
  <c r="BB523" i="3"/>
  <c r="AX523" i="3"/>
  <c r="AW523" i="3"/>
  <c r="AV523" i="3"/>
  <c r="AC523" i="3"/>
  <c r="G523" i="3"/>
  <c r="H523" i="3"/>
  <c r="BT522" i="3"/>
  <c r="BS522" i="3"/>
  <c r="BR522" i="3"/>
  <c r="BQ522" i="3"/>
  <c r="BP522" i="3"/>
  <c r="BO522" i="3"/>
  <c r="BN522" i="3"/>
  <c r="BL522" i="3" s="1"/>
  <c r="BM522" i="3"/>
  <c r="BK522" i="3"/>
  <c r="BJ522" i="3"/>
  <c r="BI522" i="3"/>
  <c r="BH522" i="3"/>
  <c r="BG522" i="3"/>
  <c r="BF522" i="3"/>
  <c r="BA522" i="3" s="1"/>
  <c r="AZ522" i="3" s="1"/>
  <c r="BE522" i="3"/>
  <c r="BD522" i="3"/>
  <c r="BC522" i="3"/>
  <c r="BB522" i="3"/>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G520" i="3" s="1"/>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G515" i="3"/>
  <c r="H515" i="3"/>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G514" i="3" s="1"/>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c r="BT511" i="3"/>
  <c r="BS511" i="3"/>
  <c r="BR511" i="3"/>
  <c r="BQ511" i="3"/>
  <c r="BP511" i="3"/>
  <c r="BO511" i="3"/>
  <c r="BN511" i="3"/>
  <c r="BM511" i="3"/>
  <c r="BK511" i="3"/>
  <c r="BJ511" i="3"/>
  <c r="BI511" i="3"/>
  <c r="BH511" i="3"/>
  <c r="BG511" i="3"/>
  <c r="BF511" i="3"/>
  <c r="BE511" i="3"/>
  <c r="BA511" i="3" s="1"/>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A510" i="3" s="1"/>
  <c r="BC510" i="3"/>
  <c r="BB510" i="3"/>
  <c r="AX510" i="3"/>
  <c r="AW510" i="3"/>
  <c r="AV510" i="3"/>
  <c r="AC510" i="3"/>
  <c r="H510" i="3"/>
  <c r="G510" i="3" s="1"/>
  <c r="BT509" i="3"/>
  <c r="BS509" i="3"/>
  <c r="BR509" i="3"/>
  <c r="BQ509" i="3"/>
  <c r="BP509" i="3"/>
  <c r="BO509" i="3"/>
  <c r="BN509" i="3"/>
  <c r="BM509" i="3"/>
  <c r="BL509" i="3" s="1"/>
  <c r="BK509" i="3"/>
  <c r="BJ509" i="3"/>
  <c r="BA509" i="3" s="1"/>
  <c r="AZ509" i="3" s="1"/>
  <c r="BI509" i="3"/>
  <c r="BH509" i="3"/>
  <c r="BG509" i="3"/>
  <c r="BF509" i="3"/>
  <c r="BE509" i="3"/>
  <c r="BD509" i="3"/>
  <c r="BC509" i="3"/>
  <c r="BB509" i="3"/>
  <c r="AX509" i="3"/>
  <c r="AW509" i="3"/>
  <c r="AV509" i="3"/>
  <c r="AC509" i="3"/>
  <c r="G509" i="3" s="1"/>
  <c r="H509" i="3"/>
  <c r="BT508" i="3"/>
  <c r="BS508" i="3"/>
  <c r="BR508" i="3"/>
  <c r="BQ508" i="3"/>
  <c r="BP508" i="3"/>
  <c r="BO508" i="3"/>
  <c r="BN508" i="3"/>
  <c r="BM508" i="3"/>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L507" i="3"/>
  <c r="BN507" i="3"/>
  <c r="BM507" i="3"/>
  <c r="BK507" i="3"/>
  <c r="BJ507" i="3"/>
  <c r="BI507" i="3"/>
  <c r="BH507" i="3"/>
  <c r="BG507" i="3"/>
  <c r="BF507" i="3"/>
  <c r="BE507" i="3"/>
  <c r="BD507" i="3"/>
  <c r="BC507" i="3"/>
  <c r="BA507" i="3"/>
  <c r="BB507" i="3"/>
  <c r="AX507" i="3"/>
  <c r="AW507" i="3"/>
  <c r="AV507" i="3"/>
  <c r="AC507" i="3"/>
  <c r="H507" i="3"/>
  <c r="G507" i="3"/>
  <c r="BT506" i="3"/>
  <c r="BS506" i="3"/>
  <c r="BR506" i="3"/>
  <c r="BQ506" i="3"/>
  <c r="BP506" i="3"/>
  <c r="BO506" i="3"/>
  <c r="BN506" i="3"/>
  <c r="BM506" i="3"/>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G504" i="3"/>
  <c r="H504" i="3"/>
  <c r="BT503" i="3"/>
  <c r="BS503" i="3"/>
  <c r="BR503" i="3"/>
  <c r="BQ503" i="3"/>
  <c r="BL503" i="3" s="1"/>
  <c r="BP503" i="3"/>
  <c r="BO503" i="3"/>
  <c r="BN503" i="3"/>
  <c r="BM503" i="3"/>
  <c r="BK503" i="3"/>
  <c r="BJ503" i="3"/>
  <c r="BI503" i="3"/>
  <c r="BH503" i="3"/>
  <c r="BG503" i="3"/>
  <c r="BF503" i="3"/>
  <c r="BE503" i="3"/>
  <c r="BA503" i="3" s="1"/>
  <c r="BD503" i="3"/>
  <c r="BC503" i="3"/>
  <c r="BB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BA502" i="3" s="1"/>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L500" i="3" s="1"/>
  <c r="BR500" i="3"/>
  <c r="BQ500" i="3"/>
  <c r="BP500" i="3"/>
  <c r="BO500" i="3"/>
  <c r="BN500" i="3"/>
  <c r="BM500" i="3"/>
  <c r="BK500" i="3"/>
  <c r="BJ500" i="3"/>
  <c r="BI500" i="3"/>
  <c r="BH500" i="3"/>
  <c r="BG500" i="3"/>
  <c r="BF500" i="3"/>
  <c r="BE500" i="3"/>
  <c r="BD500" i="3"/>
  <c r="BC500" i="3"/>
  <c r="BB500" i="3"/>
  <c r="AX500" i="3"/>
  <c r="AW500" i="3"/>
  <c r="AV500" i="3"/>
  <c r="AC500" i="3"/>
  <c r="G500" i="3"/>
  <c r="H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G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A494" i="3" s="1"/>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BA493" i="3" s="1"/>
  <c r="AX493" i="3"/>
  <c r="AW493" i="3"/>
  <c r="AV493" i="3"/>
  <c r="AC493" i="3"/>
  <c r="H493" i="3"/>
  <c r="G493" i="3"/>
  <c r="BT492" i="3"/>
  <c r="BS492" i="3"/>
  <c r="BR492" i="3"/>
  <c r="BQ492" i="3"/>
  <c r="BP492" i="3"/>
  <c r="BO492" i="3"/>
  <c r="BN492" i="3"/>
  <c r="BM492" i="3"/>
  <c r="BK492" i="3"/>
  <c r="BJ492" i="3"/>
  <c r="BI492" i="3"/>
  <c r="BH492" i="3"/>
  <c r="BG492" i="3"/>
  <c r="BF492" i="3"/>
  <c r="BE492" i="3"/>
  <c r="BD492" i="3"/>
  <c r="BA492" i="3" s="1"/>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L490" i="3" s="1"/>
  <c r="BS490" i="3"/>
  <c r="BR490" i="3"/>
  <c r="BQ490" i="3"/>
  <c r="BP490" i="3"/>
  <c r="BO490" i="3"/>
  <c r="BN490" i="3"/>
  <c r="BM490" i="3"/>
  <c r="BK490" i="3"/>
  <c r="BJ490" i="3"/>
  <c r="BI490" i="3"/>
  <c r="BH490" i="3"/>
  <c r="BA490" i="3" s="1"/>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A485" i="3" s="1"/>
  <c r="AZ485" i="3" s="1"/>
  <c r="BH485" i="3"/>
  <c r="BG485" i="3"/>
  <c r="BF485" i="3"/>
  <c r="BE485" i="3"/>
  <c r="BD485" i="3"/>
  <c r="BC485" i="3"/>
  <c r="BB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L483" i="3" s="1"/>
  <c r="BR483" i="3"/>
  <c r="BQ483" i="3"/>
  <c r="BP483" i="3"/>
  <c r="BO483" i="3"/>
  <c r="BN483" i="3"/>
  <c r="BM483" i="3"/>
  <c r="BK483" i="3"/>
  <c r="BJ483" i="3"/>
  <c r="BI483" i="3"/>
  <c r="BH483" i="3"/>
  <c r="BG483" i="3"/>
  <c r="BA483" i="3" s="1"/>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c r="H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c r="H476" i="3"/>
  <c r="BT475" i="3"/>
  <c r="BS475" i="3"/>
  <c r="BR475" i="3"/>
  <c r="BQ475" i="3"/>
  <c r="BL475" i="3" s="1"/>
  <c r="BP475" i="3"/>
  <c r="BO475" i="3"/>
  <c r="BN475" i="3"/>
  <c r="BM475" i="3"/>
  <c r="BK475" i="3"/>
  <c r="BJ475" i="3"/>
  <c r="BI475" i="3"/>
  <c r="BH475" i="3"/>
  <c r="BG475" i="3"/>
  <c r="BF475" i="3"/>
  <c r="BE475" i="3"/>
  <c r="BA475" i="3" s="1"/>
  <c r="BD475" i="3"/>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M469" i="3"/>
  <c r="BL469" i="3" s="1"/>
  <c r="BK469" i="3"/>
  <c r="BJ469" i="3"/>
  <c r="BI469" i="3"/>
  <c r="BH469" i="3"/>
  <c r="BA469" i="3" s="1"/>
  <c r="AZ469" i="3" s="1"/>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G468" i="3"/>
  <c r="H468" i="3"/>
  <c r="BT467" i="3"/>
  <c r="BS467" i="3"/>
  <c r="BR467" i="3"/>
  <c r="BQ467" i="3"/>
  <c r="BL467" i="3" s="1"/>
  <c r="BP467" i="3"/>
  <c r="BO467" i="3"/>
  <c r="BN467" i="3"/>
  <c r="BM467" i="3"/>
  <c r="BK467" i="3"/>
  <c r="BJ467" i="3"/>
  <c r="BI467" i="3"/>
  <c r="BH467" i="3"/>
  <c r="BG467" i="3"/>
  <c r="BF467" i="3"/>
  <c r="BE467" i="3"/>
  <c r="BA467" i="3" s="1"/>
  <c r="BD467" i="3"/>
  <c r="BC467" i="3"/>
  <c r="BB467" i="3"/>
  <c r="AX467" i="3"/>
  <c r="AW467" i="3"/>
  <c r="AV467" i="3"/>
  <c r="AC467" i="3"/>
  <c r="H467" i="3"/>
  <c r="G467" i="3" s="1"/>
  <c r="BT466" i="3"/>
  <c r="BS466" i="3"/>
  <c r="BR466" i="3"/>
  <c r="BQ466" i="3"/>
  <c r="BP466" i="3"/>
  <c r="BL466" i="3" s="1"/>
  <c r="BO466" i="3"/>
  <c r="BN466" i="3"/>
  <c r="BM466" i="3"/>
  <c r="BK466" i="3"/>
  <c r="BJ466" i="3"/>
  <c r="BI466" i="3"/>
  <c r="BH466" i="3"/>
  <c r="BG466" i="3"/>
  <c r="BF466" i="3"/>
  <c r="BE466" i="3"/>
  <c r="BD466" i="3"/>
  <c r="BA466" i="3" s="1"/>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c r="BM462" i="3"/>
  <c r="BK462" i="3"/>
  <c r="BJ462" i="3"/>
  <c r="BA462" i="3" s="1"/>
  <c r="AZ462" i="3" s="1"/>
  <c r="BI462" i="3"/>
  <c r="BH462" i="3"/>
  <c r="BG462" i="3"/>
  <c r="BF462" i="3"/>
  <c r="BE462" i="3"/>
  <c r="BD462" i="3"/>
  <c r="BC462" i="3"/>
  <c r="BB462" i="3"/>
  <c r="AX462" i="3"/>
  <c r="AW462" i="3"/>
  <c r="AV462" i="3"/>
  <c r="AC462" i="3"/>
  <c r="G462" i="3" s="1"/>
  <c r="H462" i="3"/>
  <c r="BT461" i="3"/>
  <c r="BS461" i="3"/>
  <c r="BR461" i="3"/>
  <c r="BQ461" i="3"/>
  <c r="BP461" i="3"/>
  <c r="BO461" i="3"/>
  <c r="BN461" i="3"/>
  <c r="BM461" i="3"/>
  <c r="BL461" i="3" s="1"/>
  <c r="BK461" i="3"/>
  <c r="BJ461" i="3"/>
  <c r="BI461" i="3"/>
  <c r="BH461" i="3"/>
  <c r="BG461" i="3"/>
  <c r="BF461" i="3"/>
  <c r="BA461" i="3" s="1"/>
  <c r="BE461" i="3"/>
  <c r="BD461" i="3"/>
  <c r="BC461" i="3"/>
  <c r="BB461" i="3"/>
  <c r="AX461" i="3"/>
  <c r="AW461" i="3"/>
  <c r="AV461" i="3"/>
  <c r="AC461" i="3"/>
  <c r="G461" i="3" s="1"/>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G460" i="3"/>
  <c r="H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G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L448" i="3" s="1"/>
  <c r="BM448" i="3"/>
  <c r="BK448" i="3"/>
  <c r="BJ448" i="3"/>
  <c r="BI448" i="3"/>
  <c r="BH448" i="3"/>
  <c r="BG448" i="3"/>
  <c r="BF448" i="3"/>
  <c r="BE448" i="3"/>
  <c r="BD448" i="3"/>
  <c r="BA448" i="3" s="1"/>
  <c r="BC448" i="3"/>
  <c r="BB448" i="3"/>
  <c r="AX448" i="3"/>
  <c r="AW448" i="3"/>
  <c r="AV448" i="3"/>
  <c r="AC448" i="3"/>
  <c r="G448" i="3"/>
  <c r="H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L442" i="3"/>
  <c r="BM442" i="3"/>
  <c r="BK442" i="3"/>
  <c r="BJ442" i="3"/>
  <c r="BA442" i="3" s="1"/>
  <c r="AZ442" i="3" s="1"/>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L439" i="3" s="1"/>
  <c r="BP439" i="3"/>
  <c r="BO439" i="3"/>
  <c r="BN439" i="3"/>
  <c r="BM439" i="3"/>
  <c r="BK439" i="3"/>
  <c r="BJ439" i="3"/>
  <c r="BI439" i="3"/>
  <c r="BH439" i="3"/>
  <c r="BG439" i="3"/>
  <c r="BF439" i="3"/>
  <c r="BE439" i="3"/>
  <c r="BA439" i="3" s="1"/>
  <c r="AZ439" i="3" s="1"/>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L434" i="3"/>
  <c r="BM434" i="3"/>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c r="BN431" i="3"/>
  <c r="BM431" i="3"/>
  <c r="BK431" i="3"/>
  <c r="BJ431" i="3"/>
  <c r="BI431" i="3"/>
  <c r="BH431" i="3"/>
  <c r="BG431" i="3"/>
  <c r="BF431" i="3"/>
  <c r="BE431" i="3"/>
  <c r="BD431" i="3"/>
  <c r="BC431" i="3"/>
  <c r="BA431" i="3"/>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A425" i="3" s="1"/>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A424" i="3"/>
  <c r="BC424" i="3"/>
  <c r="BB424" i="3"/>
  <c r="AX424" i="3"/>
  <c r="AW424" i="3"/>
  <c r="AV424" i="3"/>
  <c r="AC424" i="3"/>
  <c r="H424" i="3"/>
  <c r="G424" i="3" s="1"/>
  <c r="BT423" i="3"/>
  <c r="BS423" i="3"/>
  <c r="BR423" i="3"/>
  <c r="BQ423" i="3"/>
  <c r="BL423" i="3" s="1"/>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L420" i="3" s="1"/>
  <c r="BN420" i="3"/>
  <c r="BM420" i="3"/>
  <c r="BK420" i="3"/>
  <c r="BJ420" i="3"/>
  <c r="BI420" i="3"/>
  <c r="BH420" i="3"/>
  <c r="BG420" i="3"/>
  <c r="BF420" i="3"/>
  <c r="BE420" i="3"/>
  <c r="BD420" i="3"/>
  <c r="BA420" i="3"/>
  <c r="AZ420" i="3" s="1"/>
  <c r="BC420" i="3"/>
  <c r="BB420" i="3"/>
  <c r="AX420" i="3"/>
  <c r="AW420" i="3"/>
  <c r="AV420" i="3"/>
  <c r="AC420" i="3"/>
  <c r="G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M415" i="3"/>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K411" i="3"/>
  <c r="BJ411" i="3"/>
  <c r="BI411" i="3"/>
  <c r="BH411" i="3"/>
  <c r="BG411" i="3"/>
  <c r="BF411" i="3"/>
  <c r="BE411" i="3"/>
  <c r="BD411" i="3"/>
  <c r="BA411" i="3" s="1"/>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L407" i="3" s="1"/>
  <c r="BM407" i="3"/>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c r="H400" i="3"/>
  <c r="BT399" i="3"/>
  <c r="BS399" i="3"/>
  <c r="BR399" i="3"/>
  <c r="BQ399" i="3"/>
  <c r="BP399" i="3"/>
  <c r="BO399" i="3"/>
  <c r="BN399" i="3"/>
  <c r="BL399" i="3" s="1"/>
  <c r="BM399" i="3"/>
  <c r="BK399" i="3"/>
  <c r="BJ399" i="3"/>
  <c r="BA399" i="3" s="1"/>
  <c r="AZ399" i="3" s="1"/>
  <c r="BI399" i="3"/>
  <c r="BH399" i="3"/>
  <c r="BG399" i="3"/>
  <c r="BF399" i="3"/>
  <c r="BE399" i="3"/>
  <c r="BD399" i="3"/>
  <c r="BC399" i="3"/>
  <c r="BB399" i="3"/>
  <c r="AX399" i="3"/>
  <c r="AW399" i="3"/>
  <c r="AV399" i="3"/>
  <c r="AC399" i="3"/>
  <c r="H399" i="3"/>
  <c r="G399" i="3" s="1"/>
  <c r="BT398" i="3"/>
  <c r="BS398" i="3"/>
  <c r="BR398" i="3"/>
  <c r="BQ398" i="3"/>
  <c r="BP398" i="3"/>
  <c r="BO398" i="3"/>
  <c r="BN398" i="3"/>
  <c r="BL398" i="3"/>
  <c r="BM398" i="3"/>
  <c r="BK398" i="3"/>
  <c r="BJ398" i="3"/>
  <c r="BI398" i="3"/>
  <c r="BH398" i="3"/>
  <c r="BG398" i="3"/>
  <c r="BF398" i="3"/>
  <c r="BE398" i="3"/>
  <c r="BD398" i="3"/>
  <c r="BC398" i="3"/>
  <c r="BB398" i="3"/>
  <c r="BA398" i="3"/>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c r="H396" i="3"/>
  <c r="BT395" i="3"/>
  <c r="BS395" i="3"/>
  <c r="BR395" i="3"/>
  <c r="BQ395" i="3"/>
  <c r="BP395" i="3"/>
  <c r="BO395" i="3"/>
  <c r="BN395" i="3"/>
  <c r="BL395" i="3" s="1"/>
  <c r="BM395" i="3"/>
  <c r="BK395" i="3"/>
  <c r="BJ395" i="3"/>
  <c r="BA395" i="3" s="1"/>
  <c r="AZ395" i="3" s="1"/>
  <c r="BI395" i="3"/>
  <c r="BH395" i="3"/>
  <c r="BG395" i="3"/>
  <c r="BF395" i="3"/>
  <c r="BE395" i="3"/>
  <c r="BD395" i="3"/>
  <c r="BC395" i="3"/>
  <c r="BB395" i="3"/>
  <c r="AX395" i="3"/>
  <c r="AW395" i="3"/>
  <c r="AV395" i="3"/>
  <c r="AC395" i="3"/>
  <c r="H395" i="3"/>
  <c r="G395" i="3" s="1"/>
  <c r="BT394" i="3"/>
  <c r="BS394" i="3"/>
  <c r="BR394" i="3"/>
  <c r="BQ394" i="3"/>
  <c r="BP394" i="3"/>
  <c r="BO394" i="3"/>
  <c r="BN394" i="3"/>
  <c r="BL394" i="3"/>
  <c r="BM394" i="3"/>
  <c r="BK394" i="3"/>
  <c r="BJ394" i="3"/>
  <c r="BI394" i="3"/>
  <c r="BH394" i="3"/>
  <c r="BG394" i="3"/>
  <c r="BF394" i="3"/>
  <c r="BE394" i="3"/>
  <c r="BD394" i="3"/>
  <c r="BC394" i="3"/>
  <c r="BB394" i="3"/>
  <c r="BA394" i="3"/>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L391" i="3" s="1"/>
  <c r="BM391" i="3"/>
  <c r="BK391" i="3"/>
  <c r="BJ391" i="3"/>
  <c r="BA391" i="3" s="1"/>
  <c r="AZ391" i="3" s="1"/>
  <c r="BI391" i="3"/>
  <c r="BH391" i="3"/>
  <c r="BG391" i="3"/>
  <c r="BF391" i="3"/>
  <c r="BE391" i="3"/>
  <c r="BD391" i="3"/>
  <c r="BC391" i="3"/>
  <c r="BB391" i="3"/>
  <c r="AX391" i="3"/>
  <c r="AW391" i="3"/>
  <c r="AV391" i="3"/>
  <c r="AC391" i="3"/>
  <c r="H391" i="3"/>
  <c r="G391" i="3" s="1"/>
  <c r="BT390" i="3"/>
  <c r="BS390" i="3"/>
  <c r="BR390" i="3"/>
  <c r="BQ390" i="3"/>
  <c r="BP390" i="3"/>
  <c r="BO390" i="3"/>
  <c r="BN390" i="3"/>
  <c r="BL390" i="3"/>
  <c r="BM390" i="3"/>
  <c r="BK390" i="3"/>
  <c r="BJ390" i="3"/>
  <c r="BI390" i="3"/>
  <c r="BH390" i="3"/>
  <c r="BG390" i="3"/>
  <c r="BF390" i="3"/>
  <c r="BE390" i="3"/>
  <c r="BD390" i="3"/>
  <c r="BC390" i="3"/>
  <c r="BB390" i="3"/>
  <c r="BA390" i="3"/>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A382" i="3" s="1"/>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G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G376" i="3"/>
  <c r="H376" i="3"/>
  <c r="BT375" i="3"/>
  <c r="BS375" i="3"/>
  <c r="BR375" i="3"/>
  <c r="BQ375" i="3"/>
  <c r="BP375" i="3"/>
  <c r="BL375" i="3" s="1"/>
  <c r="BO375" i="3"/>
  <c r="BN375" i="3"/>
  <c r="BM375" i="3"/>
  <c r="BK375" i="3"/>
  <c r="BJ375" i="3"/>
  <c r="BI375" i="3"/>
  <c r="BH375" i="3"/>
  <c r="BG375" i="3"/>
  <c r="BF375" i="3"/>
  <c r="BE375" i="3"/>
  <c r="BD375" i="3"/>
  <c r="BA375" i="3" s="1"/>
  <c r="BC375" i="3"/>
  <c r="BB375" i="3"/>
  <c r="AX375" i="3"/>
  <c r="AW375" i="3"/>
  <c r="AV375" i="3"/>
  <c r="AC375" i="3"/>
  <c r="H375" i="3"/>
  <c r="BT374" i="3"/>
  <c r="BS374" i="3"/>
  <c r="BR374" i="3"/>
  <c r="BQ374" i="3"/>
  <c r="BP374" i="3"/>
  <c r="BO374" i="3"/>
  <c r="BN374" i="3"/>
  <c r="BL374" i="3"/>
  <c r="BM374" i="3"/>
  <c r="BK374" i="3"/>
  <c r="BJ374" i="3"/>
  <c r="BI374" i="3"/>
  <c r="BH374" i="3"/>
  <c r="BG374" i="3"/>
  <c r="BF374" i="3"/>
  <c r="BE374" i="3"/>
  <c r="BD374" i="3"/>
  <c r="BC374" i="3"/>
  <c r="BB374" i="3"/>
  <c r="BA374" i="3"/>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A372" i="3"/>
  <c r="BC372" i="3"/>
  <c r="BB372" i="3"/>
  <c r="AZ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G368" i="3" s="1"/>
  <c r="H368" i="3"/>
  <c r="BT367" i="3"/>
  <c r="BS367" i="3"/>
  <c r="BR367" i="3"/>
  <c r="BQ367" i="3"/>
  <c r="BP367" i="3"/>
  <c r="BO367" i="3"/>
  <c r="BN367" i="3"/>
  <c r="BL367" i="3" s="1"/>
  <c r="BM367" i="3"/>
  <c r="BK367" i="3"/>
  <c r="BJ367" i="3"/>
  <c r="BI367" i="3"/>
  <c r="BH367" i="3"/>
  <c r="BG367" i="3"/>
  <c r="BF367" i="3"/>
  <c r="BE367" i="3"/>
  <c r="BD367" i="3"/>
  <c r="BA367" i="3" s="1"/>
  <c r="AZ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A363" i="3" s="1"/>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G360" i="3" s="1"/>
  <c r="H360" i="3"/>
  <c r="BT359" i="3"/>
  <c r="BS359" i="3"/>
  <c r="BR359" i="3"/>
  <c r="BQ359" i="3"/>
  <c r="BP359" i="3"/>
  <c r="BO359" i="3"/>
  <c r="BN359" i="3"/>
  <c r="BL359" i="3" s="1"/>
  <c r="BM359" i="3"/>
  <c r="BK359" i="3"/>
  <c r="BJ359" i="3"/>
  <c r="BI359" i="3"/>
  <c r="BH359" i="3"/>
  <c r="BG359" i="3"/>
  <c r="BF359" i="3"/>
  <c r="BE359" i="3"/>
  <c r="BD359" i="3"/>
  <c r="BA359" i="3" s="1"/>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A356" i="3"/>
  <c r="BC356" i="3"/>
  <c r="BB356" i="3"/>
  <c r="AX356" i="3"/>
  <c r="AW356" i="3"/>
  <c r="AV356" i="3"/>
  <c r="AC356" i="3"/>
  <c r="G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A351" i="3" s="1"/>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G348" i="3"/>
  <c r="H348" i="3"/>
  <c r="BT347" i="3"/>
  <c r="BS347" i="3"/>
  <c r="BR347" i="3"/>
  <c r="BQ347" i="3"/>
  <c r="BP347" i="3"/>
  <c r="BO347" i="3"/>
  <c r="BN347" i="3"/>
  <c r="BL347" i="3" s="1"/>
  <c r="BM347" i="3"/>
  <c r="BK347" i="3"/>
  <c r="BJ347" i="3"/>
  <c r="BI347" i="3"/>
  <c r="BH347" i="3"/>
  <c r="BG347" i="3"/>
  <c r="BF347" i="3"/>
  <c r="BE347" i="3"/>
  <c r="BD347" i="3"/>
  <c r="BA347" i="3" s="1"/>
  <c r="AZ347" i="3" s="1"/>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M345" i="3"/>
  <c r="BL345" i="3" s="1"/>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G344" i="3"/>
  <c r="H344" i="3"/>
  <c r="BT343" i="3"/>
  <c r="BS343" i="3"/>
  <c r="BR343" i="3"/>
  <c r="BQ343" i="3"/>
  <c r="BP343" i="3"/>
  <c r="BO343" i="3"/>
  <c r="BN343" i="3"/>
  <c r="BL343" i="3" s="1"/>
  <c r="BM343" i="3"/>
  <c r="BK343" i="3"/>
  <c r="BJ343" i="3"/>
  <c r="BI343" i="3"/>
  <c r="BH343" i="3"/>
  <c r="BG343" i="3"/>
  <c r="BF343" i="3"/>
  <c r="BE343" i="3"/>
  <c r="BD343" i="3"/>
  <c r="BA343" i="3" s="1"/>
  <c r="AZ343" i="3" s="1"/>
  <c r="BC343" i="3"/>
  <c r="BB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G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A337" i="3" s="1"/>
  <c r="AZ337" i="3" s="1"/>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G336" i="3"/>
  <c r="H336" i="3"/>
  <c r="BT335" i="3"/>
  <c r="BS335" i="3"/>
  <c r="BR335" i="3"/>
  <c r="BQ335" i="3"/>
  <c r="BP335" i="3"/>
  <c r="BO335" i="3"/>
  <c r="BN335" i="3"/>
  <c r="BL335" i="3" s="1"/>
  <c r="BM335" i="3"/>
  <c r="BK335" i="3"/>
  <c r="BJ335" i="3"/>
  <c r="BI335" i="3"/>
  <c r="BH335" i="3"/>
  <c r="BG335" i="3"/>
  <c r="BF335" i="3"/>
  <c r="BE335" i="3"/>
  <c r="BD335" i="3"/>
  <c r="BA335" i="3" s="1"/>
  <c r="AZ335" i="3" s="1"/>
  <c r="BC335" i="3"/>
  <c r="BB335" i="3"/>
  <c r="AX335" i="3"/>
  <c r="AW335" i="3"/>
  <c r="AV335" i="3"/>
  <c r="AC335" i="3"/>
  <c r="H335" i="3"/>
  <c r="G335" i="3" s="1"/>
  <c r="BT334" i="3"/>
  <c r="BS334" i="3"/>
  <c r="BR334" i="3"/>
  <c r="BQ334" i="3"/>
  <c r="BP334" i="3"/>
  <c r="BO334" i="3"/>
  <c r="BN334" i="3"/>
  <c r="BL334" i="3"/>
  <c r="BM334" i="3"/>
  <c r="BK334" i="3"/>
  <c r="BJ334" i="3"/>
  <c r="BI334" i="3"/>
  <c r="BH334" i="3"/>
  <c r="BG334" i="3"/>
  <c r="BF334" i="3"/>
  <c r="BE334" i="3"/>
  <c r="BD334" i="3"/>
  <c r="BC334" i="3"/>
  <c r="BB334" i="3"/>
  <c r="BA334" i="3"/>
  <c r="AZ334" i="3" s="1"/>
  <c r="AX334" i="3"/>
  <c r="AW334" i="3"/>
  <c r="AV334" i="3"/>
  <c r="AC334" i="3"/>
  <c r="H334" i="3"/>
  <c r="G334" i="3" s="1"/>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K332" i="3"/>
  <c r="BJ332" i="3"/>
  <c r="BI332" i="3"/>
  <c r="BH332" i="3"/>
  <c r="BG332" i="3"/>
  <c r="BF332" i="3"/>
  <c r="BE332" i="3"/>
  <c r="BA332" i="3" s="1"/>
  <c r="BD332" i="3"/>
  <c r="BC332" i="3"/>
  <c r="BB332" i="3"/>
  <c r="AX332" i="3"/>
  <c r="AW332" i="3"/>
  <c r="AV332" i="3"/>
  <c r="AC332" i="3"/>
  <c r="G332" i="3" s="1"/>
  <c r="H332" i="3"/>
  <c r="BT331" i="3"/>
  <c r="BS331" i="3"/>
  <c r="BR331" i="3"/>
  <c r="BQ331" i="3"/>
  <c r="BP331" i="3"/>
  <c r="BO331" i="3"/>
  <c r="BN331" i="3"/>
  <c r="BM331" i="3"/>
  <c r="BK331" i="3"/>
  <c r="BJ331" i="3"/>
  <c r="BI331" i="3"/>
  <c r="BH331" i="3"/>
  <c r="BG331" i="3"/>
  <c r="BF331" i="3"/>
  <c r="BE331" i="3"/>
  <c r="BA331" i="3" s="1"/>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A329" i="3" s="1"/>
  <c r="AZ329" i="3" s="1"/>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G328" i="3"/>
  <c r="H328" i="3"/>
  <c r="BT327" i="3"/>
  <c r="BS327" i="3"/>
  <c r="BR327" i="3"/>
  <c r="BQ327" i="3"/>
  <c r="BP327" i="3"/>
  <c r="BO327" i="3"/>
  <c r="BN327" i="3"/>
  <c r="BL327" i="3" s="1"/>
  <c r="BM327" i="3"/>
  <c r="BK327" i="3"/>
  <c r="BJ327" i="3"/>
  <c r="BI327" i="3"/>
  <c r="BH327" i="3"/>
  <c r="BG327" i="3"/>
  <c r="BF327" i="3"/>
  <c r="BA327" i="3" s="1"/>
  <c r="AZ327" i="3" s="1"/>
  <c r="BE327" i="3"/>
  <c r="BD327" i="3"/>
  <c r="BC327" i="3"/>
  <c r="BB327" i="3"/>
  <c r="AX327" i="3"/>
  <c r="AW327" i="3"/>
  <c r="AV327" i="3"/>
  <c r="AC327" i="3"/>
  <c r="H327" i="3"/>
  <c r="G327" i="3" s="1"/>
  <c r="BT326" i="3"/>
  <c r="BS326" i="3"/>
  <c r="BR326" i="3"/>
  <c r="BQ326" i="3"/>
  <c r="BP326" i="3"/>
  <c r="BL326" i="3" s="1"/>
  <c r="BO326" i="3"/>
  <c r="BN326" i="3"/>
  <c r="BM326" i="3"/>
  <c r="BK326" i="3"/>
  <c r="BJ326" i="3"/>
  <c r="BI326" i="3"/>
  <c r="BH326" i="3"/>
  <c r="BG326" i="3"/>
  <c r="BF326" i="3"/>
  <c r="BE326" i="3"/>
  <c r="BD326" i="3"/>
  <c r="BA326" i="3" s="1"/>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G324" i="3"/>
  <c r="H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L320" i="3"/>
  <c r="BK320" i="3"/>
  <c r="BJ320" i="3"/>
  <c r="BI320" i="3"/>
  <c r="BH320" i="3"/>
  <c r="BG320" i="3"/>
  <c r="BF320" i="3"/>
  <c r="BE320" i="3"/>
  <c r="BD320" i="3"/>
  <c r="BA320" i="3"/>
  <c r="BC320" i="3"/>
  <c r="BB320" i="3"/>
  <c r="AZ320" i="3"/>
  <c r="AX320" i="3"/>
  <c r="AW320" i="3"/>
  <c r="AV320" i="3"/>
  <c r="AC320" i="3"/>
  <c r="G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L318" i="3" s="1"/>
  <c r="BQ318" i="3"/>
  <c r="BP318" i="3"/>
  <c r="BO318" i="3"/>
  <c r="BN318" i="3"/>
  <c r="BM318" i="3"/>
  <c r="BK318" i="3"/>
  <c r="BJ318" i="3"/>
  <c r="BI318" i="3"/>
  <c r="BH318" i="3"/>
  <c r="BG318" i="3"/>
  <c r="BF318" i="3"/>
  <c r="BA318" i="3" s="1"/>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A317" i="3" s="1"/>
  <c r="AZ317" i="3" s="1"/>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A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A312" i="3"/>
  <c r="AZ312" i="3" s="1"/>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G303" i="3" s="1"/>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AZ298" i="3" s="1"/>
  <c r="BK298" i="3"/>
  <c r="BJ298" i="3"/>
  <c r="BI298" i="3"/>
  <c r="BH298" i="3"/>
  <c r="BG298" i="3"/>
  <c r="BF298" i="3"/>
  <c r="BE298" i="3"/>
  <c r="BD298" i="3"/>
  <c r="BC298" i="3"/>
  <c r="BA298" i="3" s="1"/>
  <c r="BB298" i="3"/>
  <c r="AX298" i="3"/>
  <c r="AW298" i="3"/>
  <c r="AV298" i="3"/>
  <c r="AC298" i="3"/>
  <c r="G298" i="3" s="1"/>
  <c r="H298" i="3"/>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L294" i="3" s="1"/>
  <c r="BP294" i="3"/>
  <c r="BO294" i="3"/>
  <c r="BN294" i="3"/>
  <c r="BM294" i="3"/>
  <c r="BK294" i="3"/>
  <c r="BJ294" i="3"/>
  <c r="BI294" i="3"/>
  <c r="BH294" i="3"/>
  <c r="BG294" i="3"/>
  <c r="BF294" i="3"/>
  <c r="BE294" i="3"/>
  <c r="BA294" i="3" s="1"/>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BT291" i="3"/>
  <c r="BS291" i="3"/>
  <c r="BR291" i="3"/>
  <c r="BQ291" i="3"/>
  <c r="BP291" i="3"/>
  <c r="BO291" i="3"/>
  <c r="BL291" i="3"/>
  <c r="BN291" i="3"/>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c r="BT288" i="3"/>
  <c r="BS288" i="3"/>
  <c r="BR288" i="3"/>
  <c r="BL288" i="3" s="1"/>
  <c r="BQ288" i="3"/>
  <c r="BP288" i="3"/>
  <c r="BO288" i="3"/>
  <c r="BN288" i="3"/>
  <c r="BM288" i="3"/>
  <c r="BK288" i="3"/>
  <c r="BJ288" i="3"/>
  <c r="BI288" i="3"/>
  <c r="BH288" i="3"/>
  <c r="BG288" i="3"/>
  <c r="BF288" i="3"/>
  <c r="BE288" i="3"/>
  <c r="BD288" i="3"/>
  <c r="BC288" i="3"/>
  <c r="BB288" i="3"/>
  <c r="BA288" i="3" s="1"/>
  <c r="AZ288" i="3" s="1"/>
  <c r="AX288" i="3"/>
  <c r="AW288" i="3"/>
  <c r="AV288" i="3"/>
  <c r="AC288" i="3"/>
  <c r="H288" i="3"/>
  <c r="BT287" i="3"/>
  <c r="BL287" i="3" s="1"/>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A286" i="3" s="1"/>
  <c r="AZ286" i="3" s="1"/>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A284" i="3" s="1"/>
  <c r="BD284" i="3"/>
  <c r="AZ284" i="3"/>
  <c r="BC284" i="3"/>
  <c r="BB284" i="3"/>
  <c r="AX284" i="3"/>
  <c r="AW284" i="3"/>
  <c r="AV284" i="3"/>
  <c r="AC284" i="3"/>
  <c r="G284" i="3" s="1"/>
  <c r="H284" i="3"/>
  <c r="BT283" i="3"/>
  <c r="BS283" i="3"/>
  <c r="BR283" i="3"/>
  <c r="BQ283" i="3"/>
  <c r="BP283" i="3"/>
  <c r="BO283" i="3"/>
  <c r="BN283" i="3"/>
  <c r="BM283" i="3"/>
  <c r="BL283" i="3" s="1"/>
  <c r="BK283" i="3"/>
  <c r="BJ283" i="3"/>
  <c r="BI283" i="3"/>
  <c r="BH283" i="3"/>
  <c r="BG283" i="3"/>
  <c r="BF283" i="3"/>
  <c r="BE283" i="3"/>
  <c r="BA283" i="3" s="1"/>
  <c r="AZ283" i="3" s="1"/>
  <c r="BD283" i="3"/>
  <c r="BC283" i="3"/>
  <c r="BB283" i="3"/>
  <c r="AX283" i="3"/>
  <c r="AW283" i="3"/>
  <c r="AV283" i="3"/>
  <c r="AC283" i="3"/>
  <c r="G283" i="3" s="1"/>
  <c r="H283" i="3"/>
  <c r="BT282" i="3"/>
  <c r="BS282" i="3"/>
  <c r="BR282" i="3"/>
  <c r="BQ282" i="3"/>
  <c r="BP282" i="3"/>
  <c r="BO282" i="3"/>
  <c r="BN282" i="3"/>
  <c r="BM282" i="3"/>
  <c r="BK282" i="3"/>
  <c r="BJ282" i="3"/>
  <c r="BI282" i="3"/>
  <c r="BH282" i="3"/>
  <c r="BG282" i="3"/>
  <c r="BA282" i="3" s="1"/>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A281" i="3" s="1"/>
  <c r="AZ281" i="3" s="1"/>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A280" i="3"/>
  <c r="AZ280" i="3" s="1"/>
  <c r="BC280" i="3"/>
  <c r="BB280" i="3"/>
  <c r="AX280" i="3"/>
  <c r="AW280" i="3"/>
  <c r="AV280" i="3"/>
  <c r="AC280" i="3"/>
  <c r="H280" i="3"/>
  <c r="BT279" i="3"/>
  <c r="BS279" i="3"/>
  <c r="BR279" i="3"/>
  <c r="BQ279" i="3"/>
  <c r="BL279" i="3" s="1"/>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L277" i="3" s="1"/>
  <c r="BP277" i="3"/>
  <c r="BO277" i="3"/>
  <c r="BN277" i="3"/>
  <c r="BM277" i="3"/>
  <c r="BK277" i="3"/>
  <c r="BJ277" i="3"/>
  <c r="BI277" i="3"/>
  <c r="BH277" i="3"/>
  <c r="BG277" i="3"/>
  <c r="BF277" i="3"/>
  <c r="BE277" i="3"/>
  <c r="BA277" i="3" s="1"/>
  <c r="AZ277" i="3" s="1"/>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Z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L271" i="3" s="1"/>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A267" i="3" s="1"/>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A263" i="3" s="1"/>
  <c r="BC263" i="3"/>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L256" i="3" s="1"/>
  <c r="BQ256" i="3"/>
  <c r="BP256" i="3"/>
  <c r="BO256" i="3"/>
  <c r="BN256" i="3"/>
  <c r="BM256" i="3"/>
  <c r="BK256" i="3"/>
  <c r="BJ256" i="3"/>
  <c r="BI256" i="3"/>
  <c r="BH256" i="3"/>
  <c r="BG256" i="3"/>
  <c r="BF256" i="3"/>
  <c r="BE256" i="3"/>
  <c r="BD256" i="3"/>
  <c r="BC256" i="3"/>
  <c r="BB256" i="3"/>
  <c r="BA256" i="3" s="1"/>
  <c r="AZ256" i="3" s="1"/>
  <c r="AX256" i="3"/>
  <c r="AW256" i="3"/>
  <c r="AV256" i="3"/>
  <c r="AC256" i="3"/>
  <c r="H256" i="3"/>
  <c r="BT255" i="3"/>
  <c r="BL255" i="3" s="1"/>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L253" i="3" s="1"/>
  <c r="AZ253" i="3" s="1"/>
  <c r="BN253" i="3"/>
  <c r="BM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A252" i="3" s="1"/>
  <c r="BD252" i="3"/>
  <c r="AZ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L250" i="3" s="1"/>
  <c r="BR250" i="3"/>
  <c r="BQ250" i="3"/>
  <c r="BP250" i="3"/>
  <c r="BO250" i="3"/>
  <c r="BN250" i="3"/>
  <c r="BM250" i="3"/>
  <c r="BK250" i="3"/>
  <c r="BJ250" i="3"/>
  <c r="BI250" i="3"/>
  <c r="BH250" i="3"/>
  <c r="BG250" i="3"/>
  <c r="BA250" i="3" s="1"/>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A249" i="3" s="1"/>
  <c r="AZ249" i="3" s="1"/>
  <c r="BB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A248" i="3"/>
  <c r="BC248" i="3"/>
  <c r="BB248" i="3"/>
  <c r="AX248" i="3"/>
  <c r="AW248" i="3"/>
  <c r="AV248" i="3"/>
  <c r="AC248" i="3"/>
  <c r="H248" i="3"/>
  <c r="BT247" i="3"/>
  <c r="BS247" i="3"/>
  <c r="BR247" i="3"/>
  <c r="BQ247" i="3"/>
  <c r="BL247" i="3" s="1"/>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A238" i="3" s="1"/>
  <c r="AZ238" i="3" s="1"/>
  <c r="BF238" i="3"/>
  <c r="BE238" i="3"/>
  <c r="BD238" i="3"/>
  <c r="BC238" i="3"/>
  <c r="BB238" i="3"/>
  <c r="AX238" i="3"/>
  <c r="AW238" i="3"/>
  <c r="AV238" i="3"/>
  <c r="AC238" i="3"/>
  <c r="H238" i="3"/>
  <c r="G238" i="3" s="1"/>
  <c r="BT237" i="3"/>
  <c r="BS237" i="3"/>
  <c r="BR237" i="3"/>
  <c r="BQ237" i="3"/>
  <c r="BP237" i="3"/>
  <c r="BO237" i="3"/>
  <c r="BN237" i="3"/>
  <c r="BM237" i="3"/>
  <c r="BL237" i="3" s="1"/>
  <c r="BK237" i="3"/>
  <c r="BJ237" i="3"/>
  <c r="BA237" i="3" s="1"/>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A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A234" i="3" s="1"/>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A230" i="3" s="1"/>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G226" i="3" s="1"/>
  <c r="H226" i="3"/>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A219" i="3" s="1"/>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G213" i="3"/>
  <c r="BT212" i="3"/>
  <c r="BS212" i="3"/>
  <c r="BR212" i="3"/>
  <c r="BQ212" i="3"/>
  <c r="BP212" i="3"/>
  <c r="BO212" i="3"/>
  <c r="BN212" i="3"/>
  <c r="BM212" i="3"/>
  <c r="BK212" i="3"/>
  <c r="BJ212" i="3"/>
  <c r="BI212" i="3"/>
  <c r="BH212" i="3"/>
  <c r="BG212" i="3"/>
  <c r="BF212" i="3"/>
  <c r="BA212" i="3" s="1"/>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A211" i="3" s="1"/>
  <c r="BD211" i="3"/>
  <c r="BC211" i="3"/>
  <c r="BB211" i="3"/>
  <c r="AX211" i="3"/>
  <c r="AW211" i="3"/>
  <c r="AV211" i="3"/>
  <c r="AC211" i="3"/>
  <c r="G211" i="3" s="1"/>
  <c r="H211" i="3"/>
  <c r="BT210" i="3"/>
  <c r="BS210" i="3"/>
  <c r="BR210" i="3"/>
  <c r="BQ210" i="3"/>
  <c r="BP210" i="3"/>
  <c r="BO210" i="3"/>
  <c r="BN210" i="3"/>
  <c r="BM210" i="3"/>
  <c r="BK210" i="3"/>
  <c r="BJ210" i="3"/>
  <c r="BI210" i="3"/>
  <c r="BH210" i="3"/>
  <c r="BG210" i="3"/>
  <c r="BA210" i="3" s="1"/>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207" i="3"/>
  <c r="BS207" i="3"/>
  <c r="BR207" i="3"/>
  <c r="BQ207" i="3"/>
  <c r="BP207" i="3"/>
  <c r="BO207" i="3"/>
  <c r="BL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G204" i="3" s="1"/>
  <c r="H204" i="3"/>
  <c r="BT203" i="3"/>
  <c r="BS203" i="3"/>
  <c r="BR203" i="3"/>
  <c r="BQ203" i="3"/>
  <c r="BP203" i="3"/>
  <c r="BO203" i="3"/>
  <c r="BL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A188" i="3" s="1"/>
  <c r="AZ188" i="3" s="1"/>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A180" i="3"/>
  <c r="BC180" i="3"/>
  <c r="BB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s="1"/>
  <c r="BT168" i="3"/>
  <c r="BS168" i="3"/>
  <c r="BR168" i="3"/>
  <c r="BQ168" i="3"/>
  <c r="BP168" i="3"/>
  <c r="BL168" i="3" s="1"/>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L164" i="3" s="1"/>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c r="BK160" i="3"/>
  <c r="BJ160" i="3"/>
  <c r="BI160" i="3"/>
  <c r="BH160" i="3"/>
  <c r="BG160" i="3"/>
  <c r="BF160" i="3"/>
  <c r="BE160" i="3"/>
  <c r="BA160" i="3" s="1"/>
  <c r="AZ160" i="3" s="1"/>
  <c r="BD160" i="3"/>
  <c r="BC160" i="3"/>
  <c r="BB160" i="3"/>
  <c r="AX160" i="3"/>
  <c r="AW160" i="3"/>
  <c r="AV160" i="3"/>
  <c r="AC160" i="3"/>
  <c r="H160" i="3"/>
  <c r="BT159" i="3"/>
  <c r="BS159" i="3"/>
  <c r="BR159" i="3"/>
  <c r="BQ159" i="3"/>
  <c r="BP159" i="3"/>
  <c r="BO159" i="3"/>
  <c r="BL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L155" i="3" s="1"/>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A154" i="3" s="1"/>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A152" i="3" s="1"/>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A150" i="3" s="1"/>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L147" i="3" s="1"/>
  <c r="BO147" i="3"/>
  <c r="BN147" i="3"/>
  <c r="BM147" i="3"/>
  <c r="BK147" i="3"/>
  <c r="BJ147" i="3"/>
  <c r="BI147" i="3"/>
  <c r="BH147" i="3"/>
  <c r="BG147" i="3"/>
  <c r="BF147" i="3"/>
  <c r="BE147" i="3"/>
  <c r="BD147" i="3"/>
  <c r="BC147" i="3"/>
  <c r="BB147" i="3"/>
  <c r="BA147" i="3" s="1"/>
  <c r="AZ147" i="3" s="1"/>
  <c r="AX147" i="3"/>
  <c r="AW147" i="3"/>
  <c r="AV147" i="3"/>
  <c r="AC147" i="3"/>
  <c r="H147" i="3"/>
  <c r="BT146" i="3"/>
  <c r="BS146" i="3"/>
  <c r="BR146" i="3"/>
  <c r="BQ146" i="3"/>
  <c r="BL146" i="3" s="1"/>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L145" i="3" s="1"/>
  <c r="BK145" i="3"/>
  <c r="BJ145" i="3"/>
  <c r="BI145" i="3"/>
  <c r="BH145" i="3"/>
  <c r="BG145" i="3"/>
  <c r="BF145" i="3"/>
  <c r="BE145" i="3"/>
  <c r="BA145" i="3" s="1"/>
  <c r="BD145" i="3"/>
  <c r="BC145" i="3"/>
  <c r="BB145" i="3"/>
  <c r="AX145" i="3"/>
  <c r="AW145" i="3"/>
  <c r="AV145" i="3"/>
  <c r="AC145" i="3"/>
  <c r="G145" i="3" s="1"/>
  <c r="H145" i="3"/>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L142" i="3" s="1"/>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L140" i="3" s="1"/>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L139" i="3" s="1"/>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L137" i="3" s="1"/>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L136" i="3" s="1"/>
  <c r="BM136" i="3"/>
  <c r="BK136" i="3"/>
  <c r="BJ136" i="3"/>
  <c r="BI136" i="3"/>
  <c r="BH136" i="3"/>
  <c r="BA136" i="3" s="1"/>
  <c r="AZ136" i="3" s="1"/>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A133" i="3" s="1"/>
  <c r="BG133" i="3"/>
  <c r="BF133" i="3"/>
  <c r="BE133" i="3"/>
  <c r="BD133" i="3"/>
  <c r="BC133" i="3"/>
  <c r="BB133" i="3"/>
  <c r="AX133" i="3"/>
  <c r="AW133" i="3"/>
  <c r="AV133" i="3"/>
  <c r="AC133" i="3"/>
  <c r="H133" i="3"/>
  <c r="G133" i="3" s="1"/>
  <c r="BT132" i="3"/>
  <c r="BS132" i="3"/>
  <c r="BR132" i="3"/>
  <c r="BQ132" i="3"/>
  <c r="BP132" i="3"/>
  <c r="BO132" i="3"/>
  <c r="BL132" i="3" s="1"/>
  <c r="BN132" i="3"/>
  <c r="BM132" i="3"/>
  <c r="BK132" i="3"/>
  <c r="BJ132" i="3"/>
  <c r="BA132" i="3" s="1"/>
  <c r="AZ132" i="3" s="1"/>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L129" i="3" s="1"/>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A128" i="3" s="1"/>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c r="AZ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L117" i="3" s="1"/>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L116" i="3" s="1"/>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G113" i="3" s="1"/>
  <c r="H113" i="3"/>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L109" i="3" s="1"/>
  <c r="AZ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c r="AZ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A103" i="3" s="1"/>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A102" i="3" s="1"/>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G100" i="3" s="1"/>
  <c r="H100" i="3"/>
  <c r="BT99" i="3"/>
  <c r="BS99" i="3"/>
  <c r="BL99" i="3" s="1"/>
  <c r="BR99" i="3"/>
  <c r="BQ99" i="3"/>
  <c r="BP99" i="3"/>
  <c r="BO99" i="3"/>
  <c r="BN99" i="3"/>
  <c r="BM99" i="3"/>
  <c r="BK99" i="3"/>
  <c r="BJ99" i="3"/>
  <c r="BI99" i="3"/>
  <c r="BH99" i="3"/>
  <c r="BG99" i="3"/>
  <c r="BF99" i="3"/>
  <c r="BE99" i="3"/>
  <c r="BD99" i="3"/>
  <c r="BC99" i="3"/>
  <c r="BA99" i="3" s="1"/>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L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L91" i="3" s="1"/>
  <c r="BO91" i="3"/>
  <c r="BN91" i="3"/>
  <c r="BM91" i="3"/>
  <c r="BK91" i="3"/>
  <c r="BJ91" i="3"/>
  <c r="BI91" i="3"/>
  <c r="BH91" i="3"/>
  <c r="BG91" i="3"/>
  <c r="BF91" i="3"/>
  <c r="BE91" i="3"/>
  <c r="BD91" i="3"/>
  <c r="BC91" i="3"/>
  <c r="BB91" i="3"/>
  <c r="BA91" i="3" s="1"/>
  <c r="AZ91" i="3" s="1"/>
  <c r="AX91" i="3"/>
  <c r="AW91" i="3"/>
  <c r="AV91" i="3"/>
  <c r="AC91" i="3"/>
  <c r="H91" i="3"/>
  <c r="BT90" i="3"/>
  <c r="BS90" i="3"/>
  <c r="BR90" i="3"/>
  <c r="BL90" i="3" s="1"/>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A84" i="3" s="1"/>
  <c r="BG84" i="3"/>
  <c r="BF84" i="3"/>
  <c r="BE84" i="3"/>
  <c r="BD84" i="3"/>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L82" i="3" s="1"/>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L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A77" i="3" s="1"/>
  <c r="AZ77" i="3" s="1"/>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L74" i="3" s="1"/>
  <c r="BR74" i="3"/>
  <c r="BQ74" i="3"/>
  <c r="BP74" i="3"/>
  <c r="BO74" i="3"/>
  <c r="BN74" i="3"/>
  <c r="BM74" i="3"/>
  <c r="BK74" i="3"/>
  <c r="BJ74" i="3"/>
  <c r="BI74" i="3"/>
  <c r="BH74" i="3"/>
  <c r="BG74" i="3"/>
  <c r="BF74" i="3"/>
  <c r="BA74" i="3" s="1"/>
  <c r="AZ74" i="3" s="1"/>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A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L70" i="3" s="1"/>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G69" i="3"/>
  <c r="H69" i="3"/>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L67" i="3" s="1"/>
  <c r="BK67" i="3"/>
  <c r="BJ67" i="3"/>
  <c r="BI67" i="3"/>
  <c r="BH67" i="3"/>
  <c r="BA67" i="3" s="1"/>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A64" i="3" s="1"/>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L61" i="3" s="1"/>
  <c r="BN61" i="3"/>
  <c r="BM61" i="3"/>
  <c r="BK61" i="3"/>
  <c r="BJ61" i="3"/>
  <c r="BI61" i="3"/>
  <c r="BH61" i="3"/>
  <c r="BG61" i="3"/>
  <c r="BF61" i="3"/>
  <c r="BE61" i="3"/>
  <c r="BD61" i="3"/>
  <c r="BA61" i="3" s="1"/>
  <c r="BC61" i="3"/>
  <c r="BB61" i="3"/>
  <c r="AX61" i="3"/>
  <c r="AW61" i="3"/>
  <c r="AV61" i="3"/>
  <c r="AC61" i="3"/>
  <c r="G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c r="BK58" i="3"/>
  <c r="BJ58" i="3"/>
  <c r="BI58" i="3"/>
  <c r="BA58" i="3" s="1"/>
  <c r="AZ58" i="3" s="1"/>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A57" i="3" s="1"/>
  <c r="BC57" i="3"/>
  <c r="BB57" i="3"/>
  <c r="AX57" i="3"/>
  <c r="AW57" i="3"/>
  <c r="AV57" i="3"/>
  <c r="AC57" i="3"/>
  <c r="H57" i="3"/>
  <c r="G57" i="3" s="1"/>
  <c r="BT56" i="3"/>
  <c r="BS56" i="3"/>
  <c r="BR56" i="3"/>
  <c r="BL56" i="3" s="1"/>
  <c r="BQ56" i="3"/>
  <c r="BP56" i="3"/>
  <c r="BO56" i="3"/>
  <c r="BN56" i="3"/>
  <c r="BM56" i="3"/>
  <c r="BK56" i="3"/>
  <c r="BJ56" i="3"/>
  <c r="BI56" i="3"/>
  <c r="BH56" i="3"/>
  <c r="BG56" i="3"/>
  <c r="BF56" i="3"/>
  <c r="BA56" i="3" s="1"/>
  <c r="AZ56" i="3" s="1"/>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AZ53" i="3" s="1"/>
  <c r="BB53" i="3"/>
  <c r="AX53" i="3"/>
  <c r="AW53" i="3"/>
  <c r="AV53" i="3"/>
  <c r="AC53" i="3"/>
  <c r="G53" i="3" s="1"/>
  <c r="H53" i="3"/>
  <c r="BT52" i="3"/>
  <c r="BS52" i="3"/>
  <c r="BR52" i="3"/>
  <c r="BQ52" i="3"/>
  <c r="BP52" i="3"/>
  <c r="BO52" i="3"/>
  <c r="BN52" i="3"/>
  <c r="BL52" i="3" s="1"/>
  <c r="AZ52" i="3" s="1"/>
  <c r="BM52" i="3"/>
  <c r="BK52" i="3"/>
  <c r="BJ52" i="3"/>
  <c r="BI52" i="3"/>
  <c r="BH52" i="3"/>
  <c r="BG52" i="3"/>
  <c r="BF52" i="3"/>
  <c r="BE52" i="3"/>
  <c r="BD52" i="3"/>
  <c r="BA52" i="3" s="1"/>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X49" i="3"/>
  <c r="AW49" i="3"/>
  <c r="AV49" i="3"/>
  <c r="AC49" i="3"/>
  <c r="G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A44" i="3" s="1"/>
  <c r="AZ44" i="3" s="1"/>
  <c r="BB44" i="3"/>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G41" i="3"/>
  <c r="H41" i="3"/>
  <c r="BT40" i="3"/>
  <c r="BS40" i="3"/>
  <c r="BR40" i="3"/>
  <c r="BQ40" i="3"/>
  <c r="BP40" i="3"/>
  <c r="BO40" i="3"/>
  <c r="BN40" i="3"/>
  <c r="BL40" i="3" s="1"/>
  <c r="BM40" i="3"/>
  <c r="BK40" i="3"/>
  <c r="BJ40" i="3"/>
  <c r="BI40" i="3"/>
  <c r="BH40" i="3"/>
  <c r="BG40" i="3"/>
  <c r="BF40" i="3"/>
  <c r="BE40" i="3"/>
  <c r="BD40" i="3"/>
  <c r="BC40" i="3"/>
  <c r="BA40" i="3"/>
  <c r="AZ40" i="3"/>
  <c r="BB40" i="3"/>
  <c r="AX40" i="3"/>
  <c r="AW40" i="3"/>
  <c r="AV40" i="3"/>
  <c r="AC40" i="3"/>
  <c r="H40" i="3"/>
  <c r="G40" i="3" s="1"/>
  <c r="BT39" i="3"/>
  <c r="BS39" i="3"/>
  <c r="BR39" i="3"/>
  <c r="BQ39" i="3"/>
  <c r="BP39" i="3"/>
  <c r="BO39" i="3"/>
  <c r="BN39" i="3"/>
  <c r="BL39" i="3"/>
  <c r="BM39" i="3"/>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A37" i="3" s="1"/>
  <c r="BC37" i="3"/>
  <c r="BB37" i="3"/>
  <c r="AX37" i="3"/>
  <c r="AW37" i="3"/>
  <c r="AV37" i="3"/>
  <c r="AC37" i="3"/>
  <c r="H37" i="3"/>
  <c r="G37" i="3" s="1"/>
  <c r="BT36" i="3"/>
  <c r="BS36" i="3"/>
  <c r="BR36" i="3"/>
  <c r="BQ36" i="3"/>
  <c r="BP36" i="3"/>
  <c r="BO36" i="3"/>
  <c r="BL36" i="3"/>
  <c r="BN36" i="3"/>
  <c r="BM36" i="3"/>
  <c r="BK36" i="3"/>
  <c r="BJ36" i="3"/>
  <c r="BI36" i="3"/>
  <c r="BH36" i="3"/>
  <c r="BG36" i="3"/>
  <c r="BF36" i="3"/>
  <c r="BE36" i="3"/>
  <c r="BD36" i="3"/>
  <c r="BC36" i="3"/>
  <c r="BA36" i="3"/>
  <c r="AZ36" i="3" s="1"/>
  <c r="BB36" i="3"/>
  <c r="AX36" i="3"/>
  <c r="AW36" i="3"/>
  <c r="AV36" i="3"/>
  <c r="AC36" i="3"/>
  <c r="H36" i="3"/>
  <c r="G36" i="3" s="1"/>
  <c r="BT35" i="3"/>
  <c r="BS35" i="3"/>
  <c r="BR35" i="3"/>
  <c r="BQ35" i="3"/>
  <c r="BP35" i="3"/>
  <c r="BO35" i="3"/>
  <c r="BN35" i="3"/>
  <c r="BM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K33" i="3"/>
  <c r="BJ33" i="3"/>
  <c r="BI33" i="3"/>
  <c r="BH33" i="3"/>
  <c r="BG33" i="3"/>
  <c r="BF33" i="3"/>
  <c r="BE33" i="3"/>
  <c r="BA33" i="3" s="1"/>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L30" i="3" s="1"/>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A29" i="3" s="1"/>
  <c r="BB29" i="3"/>
  <c r="AX29" i="3"/>
  <c r="AW29" i="3"/>
  <c r="AV29" i="3"/>
  <c r="AC29" i="3"/>
  <c r="G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L27" i="3"/>
  <c r="BM27" i="3"/>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A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L22" i="3" s="1"/>
  <c r="BO22" i="3"/>
  <c r="BN22" i="3"/>
  <c r="BM22" i="3"/>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AC5" i="3" s="1"/>
  <c r="H18" i="3"/>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G16" i="3" s="1"/>
  <c r="H16" i="3"/>
  <c r="BT15" i="3"/>
  <c r="BS15" i="3"/>
  <c r="BR15" i="3"/>
  <c r="BQ15" i="3"/>
  <c r="BP15" i="3"/>
  <c r="BO15" i="3"/>
  <c r="BN15" i="3"/>
  <c r="BM15" i="3"/>
  <c r="BK15" i="3"/>
  <c r="BJ15" i="3"/>
  <c r="BI15" i="3"/>
  <c r="BH15" i="3"/>
  <c r="BG15" i="3"/>
  <c r="BF15" i="3"/>
  <c r="BE15" i="3"/>
  <c r="BD15" i="3"/>
  <c r="BC15" i="3"/>
  <c r="BB15" i="3"/>
  <c r="BA15" i="3"/>
  <c r="AX15" i="3"/>
  <c r="AW15" i="3"/>
  <c r="AV15" i="3"/>
  <c r="AC15" i="3"/>
  <c r="H15" i="3"/>
  <c r="G15" i="3"/>
  <c r="BT14" i="3"/>
  <c r="BS14" i="3"/>
  <c r="BR14" i="3"/>
  <c r="BQ14" i="3"/>
  <c r="BP14" i="3"/>
  <c r="BO14" i="3"/>
  <c r="BO5" i="3" s="1"/>
  <c r="BN14" i="3"/>
  <c r="BM14" i="3"/>
  <c r="BK14" i="3"/>
  <c r="BJ14" i="3"/>
  <c r="BI14" i="3"/>
  <c r="BH14" i="3"/>
  <c r="BG14" i="3"/>
  <c r="BF14" i="3"/>
  <c r="BE14" i="3"/>
  <c r="BD14" i="3"/>
  <c r="BC14" i="3"/>
  <c r="BB14" i="3"/>
  <c r="BA14" i="3" s="1"/>
  <c r="AX14" i="3"/>
  <c r="AW14" i="3"/>
  <c r="AV14" i="3"/>
  <c r="AC14" i="3"/>
  <c r="H14" i="3"/>
  <c r="BT13" i="3"/>
  <c r="BS13" i="3"/>
  <c r="BR13" i="3"/>
  <c r="BQ13" i="3"/>
  <c r="BP13" i="3"/>
  <c r="BO13" i="3"/>
  <c r="BN13" i="3"/>
  <c r="BM13" i="3"/>
  <c r="BK13" i="3"/>
  <c r="BK5" i="3" s="1"/>
  <c r="BJ13" i="3"/>
  <c r="BI13" i="3"/>
  <c r="BH13" i="3"/>
  <c r="BG13" i="3"/>
  <c r="BG5" i="3" s="1"/>
  <c r="BF13" i="3"/>
  <c r="BE13" i="3"/>
  <c r="BD13"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c r="C33" i="4"/>
  <c r="C32" i="4"/>
  <c r="C31" i="4"/>
  <c r="L22" i="4"/>
  <c r="L21" i="4"/>
  <c r="L20" i="4"/>
  <c r="A15" i="62"/>
  <c r="B61" i="72" s="1"/>
  <c r="F19" i="4"/>
  <c r="I15" i="4"/>
  <c r="H15" i="4"/>
  <c r="G15" i="4"/>
  <c r="F15" i="4"/>
  <c r="C15" i="4"/>
  <c r="K6" i="4"/>
  <c r="K56" i="9" s="1"/>
  <c r="I4" i="4"/>
  <c r="G4" i="4"/>
  <c r="E4" i="4"/>
  <c r="B5" i="62"/>
  <c r="B73" i="72" s="1"/>
  <c r="C4" i="4"/>
  <c r="K4" i="4"/>
  <c r="B46" i="48" s="1"/>
  <c r="B4" i="72" s="1"/>
  <c r="S2" i="4"/>
  <c r="A4" i="52"/>
  <c r="B41" i="72" s="1"/>
  <c r="S1" i="4"/>
  <c r="A4" i="51" s="1"/>
  <c r="B6" i="72" s="1"/>
  <c r="B1" i="4"/>
  <c r="X8" i="71" s="1"/>
  <c r="C60" i="78"/>
  <c r="D60" i="78"/>
  <c r="B56" i="78"/>
  <c r="D53" i="78"/>
  <c r="D52" i="78"/>
  <c r="D51" i="78"/>
  <c r="B51" i="78"/>
  <c r="B54" i="78" s="1"/>
  <c r="D54" i="78" s="1"/>
  <c r="B62" i="78"/>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E22" i="78"/>
  <c r="G22" i="78" s="1"/>
  <c r="F12" i="78"/>
  <c r="F11" i="78"/>
  <c r="C15" i="78" s="1"/>
  <c r="B18" i="78"/>
  <c r="B3" i="78"/>
  <c r="C6" i="78" s="1"/>
  <c r="D6" i="78" s="1"/>
  <c r="C53" i="10"/>
  <c r="C51" i="10"/>
  <c r="A13" i="51"/>
  <c r="B11" i="72" s="1"/>
  <c r="B51" i="10"/>
  <c r="H16" i="49"/>
  <c r="D16" i="49"/>
  <c r="D15" i="49"/>
  <c r="B2" i="49"/>
  <c r="F12" i="49" s="1"/>
  <c r="H12" i="49" s="1"/>
  <c r="A21" i="62"/>
  <c r="B67" i="72"/>
  <c r="A20" i="62"/>
  <c r="B66" i="72" s="1"/>
  <c r="A19" i="62"/>
  <c r="B65" i="72"/>
  <c r="A14" i="62"/>
  <c r="A13" i="62"/>
  <c r="B59" i="72"/>
  <c r="A12" i="62"/>
  <c r="A5" i="62"/>
  <c r="B4" i="62"/>
  <c r="B71" i="72" s="1"/>
  <c r="A4" i="62"/>
  <c r="B70" i="72" s="1"/>
  <c r="A10" i="52"/>
  <c r="B55" i="72"/>
  <c r="A8" i="52"/>
  <c r="B54" i="72" s="1"/>
  <c r="D6" i="52"/>
  <c r="A6" i="52"/>
  <c r="H2" i="52"/>
  <c r="F2" i="52"/>
  <c r="B50" i="72" s="1"/>
  <c r="D2" i="52"/>
  <c r="A1" i="52"/>
  <c r="D21" i="53"/>
  <c r="B39" i="72" s="1"/>
  <c r="B19" i="53"/>
  <c r="B37" i="72" s="1"/>
  <c r="B16" i="53"/>
  <c r="B13" i="53"/>
  <c r="D12" i="53"/>
  <c r="D11" i="53"/>
  <c r="B27" i="72" s="1"/>
  <c r="D10" i="53"/>
  <c r="B26" i="72" s="1"/>
  <c r="D8" i="53"/>
  <c r="D9" i="53" s="1"/>
  <c r="B25" i="72" s="1"/>
  <c r="B8" i="53"/>
  <c r="A3" i="53"/>
  <c r="A2" i="53"/>
  <c r="A24" i="51"/>
  <c r="B18" i="72" s="1"/>
  <c r="A22" i="51"/>
  <c r="B17" i="72" s="1"/>
  <c r="A21" i="51"/>
  <c r="B16" i="72"/>
  <c r="A20" i="51"/>
  <c r="A18" i="51"/>
  <c r="B13" i="72" s="1"/>
  <c r="A15" i="51"/>
  <c r="B12" i="72" s="1"/>
  <c r="A3" i="51"/>
  <c r="B49" i="48"/>
  <c r="B5" i="72" s="1"/>
  <c r="B40" i="48"/>
  <c r="B37" i="48"/>
  <c r="B2" i="72" s="1"/>
  <c r="B74" i="72"/>
  <c r="B72" i="72"/>
  <c r="B69" i="72"/>
  <c r="B68" i="72"/>
  <c r="B63" i="72"/>
  <c r="B62" i="72"/>
  <c r="B60" i="72"/>
  <c r="B58" i="72"/>
  <c r="B57" i="72"/>
  <c r="B46" i="72"/>
  <c r="B44" i="72"/>
  <c r="B42" i="72"/>
  <c r="B33" i="72"/>
  <c r="B29" i="72"/>
  <c r="B28" i="72"/>
  <c r="B24" i="72"/>
  <c r="B23" i="72"/>
  <c r="B19" i="72"/>
  <c r="B15" i="72"/>
  <c r="B10" i="72"/>
  <c r="B8" i="72"/>
  <c r="B3" i="72"/>
  <c r="W8" i="34"/>
  <c r="D24" i="15"/>
  <c r="G13" i="1"/>
  <c r="AA9" i="34"/>
  <c r="G27" i="12"/>
  <c r="G41" i="68"/>
  <c r="G22" i="69"/>
  <c r="AZ54" i="3"/>
  <c r="T35" i="4"/>
  <c r="A19" i="51"/>
  <c r="B14" i="72" s="1"/>
  <c r="BL78" i="3"/>
  <c r="C18" i="78"/>
  <c r="A118" i="9"/>
  <c r="A2" i="9"/>
  <c r="J55" i="39"/>
  <c r="J50" i="40"/>
  <c r="B15" i="78"/>
  <c r="Y8" i="71"/>
  <c r="Z8" i="71" s="1"/>
  <c r="AB8" i="71"/>
  <c r="N56" i="9"/>
  <c r="M56" i="9"/>
  <c r="J56" i="9"/>
  <c r="BL81" i="3"/>
  <c r="G83" i="3"/>
  <c r="BL85" i="3"/>
  <c r="BL86" i="3"/>
  <c r="AZ86" i="3" s="1"/>
  <c r="G87" i="3"/>
  <c r="BL89" i="3"/>
  <c r="G91" i="3"/>
  <c r="BL93" i="3"/>
  <c r="BL94" i="3"/>
  <c r="G95" i="3"/>
  <c r="BL97" i="3"/>
  <c r="BL98" i="3"/>
  <c r="G99" i="3"/>
  <c r="BL101" i="3"/>
  <c r="BL102" i="3"/>
  <c r="BL106" i="3"/>
  <c r="G107" i="3"/>
  <c r="BL110" i="3"/>
  <c r="AZ110" i="3" s="1"/>
  <c r="G111" i="3"/>
  <c r="BL114" i="3"/>
  <c r="G115" i="3"/>
  <c r="BL118" i="3"/>
  <c r="BL121" i="3"/>
  <c r="BL122" i="3"/>
  <c r="G123" i="3"/>
  <c r="BL125" i="3"/>
  <c r="BL126" i="3"/>
  <c r="G127" i="3"/>
  <c r="G128" i="3"/>
  <c r="BA135" i="3"/>
  <c r="AZ135" i="3" s="1"/>
  <c r="BL138" i="3"/>
  <c r="G144" i="3"/>
  <c r="BA151" i="3"/>
  <c r="BL154" i="3"/>
  <c r="G160" i="3"/>
  <c r="BA167" i="3"/>
  <c r="BL170" i="3"/>
  <c r="AZ170" i="3" s="1"/>
  <c r="G176" i="3"/>
  <c r="AZ181" i="3"/>
  <c r="BA183" i="3"/>
  <c r="BL186" i="3"/>
  <c r="AZ186" i="3" s="1"/>
  <c r="G192" i="3"/>
  <c r="AZ197" i="3"/>
  <c r="BA199" i="3"/>
  <c r="BL202" i="3"/>
  <c r="AZ202" i="3" s="1"/>
  <c r="G208" i="3"/>
  <c r="BA215" i="3"/>
  <c r="AZ215" i="3" s="1"/>
  <c r="BL218" i="3"/>
  <c r="G224" i="3"/>
  <c r="BA231" i="3"/>
  <c r="BL234" i="3"/>
  <c r="AZ234" i="3" s="1"/>
  <c r="G240" i="3"/>
  <c r="BA247" i="3"/>
  <c r="AZ247" i="3" s="1"/>
  <c r="G256" i="3"/>
  <c r="AZ261" i="3"/>
  <c r="BL266" i="3"/>
  <c r="BA279" i="3"/>
  <c r="AZ279" i="3" s="1"/>
  <c r="BL282" i="3"/>
  <c r="G288" i="3"/>
  <c r="BA295" i="3"/>
  <c r="G304" i="3"/>
  <c r="AZ402" i="3"/>
  <c r="AZ421" i="3"/>
  <c r="AZ81" i="3"/>
  <c r="AZ85" i="3"/>
  <c r="AZ105" i="3"/>
  <c r="AZ113" i="3"/>
  <c r="AZ150" i="3"/>
  <c r="G212" i="3"/>
  <c r="AZ214" i="3"/>
  <c r="G228" i="3"/>
  <c r="G244" i="3"/>
  <c r="G260" i="3"/>
  <c r="G276" i="3"/>
  <c r="G292" i="3"/>
  <c r="AZ294" i="3"/>
  <c r="G308" i="3"/>
  <c r="AZ106" i="3"/>
  <c r="BA122" i="3"/>
  <c r="AZ122" i="3" s="1"/>
  <c r="BA123" i="3"/>
  <c r="AZ123" i="3" s="1"/>
  <c r="BA126" i="3"/>
  <c r="AZ126" i="3"/>
  <c r="BA127" i="3"/>
  <c r="AZ127" i="3"/>
  <c r="BL130" i="3"/>
  <c r="G136" i="3"/>
  <c r="BA143" i="3"/>
  <c r="G152" i="3"/>
  <c r="AZ154" i="3"/>
  <c r="BA159" i="3"/>
  <c r="AZ159" i="3" s="1"/>
  <c r="BL162" i="3"/>
  <c r="G168" i="3"/>
  <c r="BA175" i="3"/>
  <c r="AZ175" i="3"/>
  <c r="BL178" i="3"/>
  <c r="G184" i="3"/>
  <c r="BA191" i="3"/>
  <c r="BL194" i="3"/>
  <c r="G200" i="3"/>
  <c r="BA207" i="3"/>
  <c r="AZ207" i="3" s="1"/>
  <c r="BL210" i="3"/>
  <c r="AZ210" i="3"/>
  <c r="G216" i="3"/>
  <c r="BA223" i="3"/>
  <c r="BL226" i="3"/>
  <c r="AZ226" i="3" s="1"/>
  <c r="G232" i="3"/>
  <c r="AZ237" i="3"/>
  <c r="BA239" i="3"/>
  <c r="AZ239" i="3"/>
  <c r="BL242" i="3"/>
  <c r="AZ242" i="3" s="1"/>
  <c r="G248" i="3"/>
  <c r="AZ250" i="3"/>
  <c r="AZ251" i="3"/>
  <c r="BA255" i="3"/>
  <c r="AZ255" i="3" s="1"/>
  <c r="BL258" i="3"/>
  <c r="AZ258" i="3" s="1"/>
  <c r="G264" i="3"/>
  <c r="G280" i="3"/>
  <c r="AZ282" i="3"/>
  <c r="AZ285" i="3"/>
  <c r="BA287" i="3"/>
  <c r="AZ287" i="3" s="1"/>
  <c r="BL290" i="3"/>
  <c r="AZ290" i="3" s="1"/>
  <c r="G296" i="3"/>
  <c r="BA303" i="3"/>
  <c r="AZ303" i="3"/>
  <c r="BL306" i="3"/>
  <c r="AZ306" i="3" s="1"/>
  <c r="AZ482" i="3"/>
  <c r="AZ483" i="3"/>
  <c r="AZ490" i="3"/>
  <c r="AZ498" i="3"/>
  <c r="AZ503" i="3"/>
  <c r="AZ507" i="3"/>
  <c r="AZ510" i="3"/>
  <c r="AZ582" i="3"/>
  <c r="D121" i="9"/>
  <c r="D7" i="52" s="1"/>
  <c r="K120" i="9"/>
  <c r="A18" i="62" s="1"/>
  <c r="B64" i="72" s="1"/>
  <c r="U44" i="34"/>
  <c r="AB44" i="34"/>
  <c r="H15" i="34"/>
  <c r="AB15" i="34" s="1"/>
  <c r="E78" i="34"/>
  <c r="J15" i="34" s="1"/>
  <c r="F15" i="34"/>
  <c r="J28" i="34"/>
  <c r="H28" i="34"/>
  <c r="W15" i="21"/>
  <c r="AC15" i="21"/>
  <c r="W23" i="21"/>
  <c r="AC23" i="21"/>
  <c r="S35" i="21"/>
  <c r="S43" i="21"/>
  <c r="F12" i="33"/>
  <c r="H12" i="33"/>
  <c r="J12" i="33"/>
  <c r="F79" i="33"/>
  <c r="G79" i="33" s="1"/>
  <c r="AC33" i="35"/>
  <c r="W33" i="35"/>
  <c r="U32" i="34"/>
  <c r="AB32" i="34"/>
  <c r="S36" i="34"/>
  <c r="S38" i="34"/>
  <c r="U40" i="34"/>
  <c r="AB40" i="34"/>
  <c r="J23" i="34"/>
  <c r="H23" i="34"/>
  <c r="E86" i="34"/>
  <c r="F86" i="34"/>
  <c r="G86" i="34" s="1"/>
  <c r="F23" i="34"/>
  <c r="J32" i="34"/>
  <c r="F32" i="34"/>
  <c r="H45" i="34"/>
  <c r="J45" i="34"/>
  <c r="U17" i="21"/>
  <c r="AB17" i="21"/>
  <c r="AB12" i="37"/>
  <c r="S14" i="37"/>
  <c r="U15" i="40"/>
  <c r="AB15" i="40"/>
  <c r="BA513" i="3"/>
  <c r="BA517" i="3"/>
  <c r="BA521" i="3"/>
  <c r="AZ521" i="3"/>
  <c r="BA525" i="3"/>
  <c r="BA529" i="3"/>
  <c r="AZ529" i="3" s="1"/>
  <c r="BA533" i="3"/>
  <c r="BA537" i="3"/>
  <c r="BA541" i="3"/>
  <c r="BA545" i="3"/>
  <c r="AZ545" i="3"/>
  <c r="BA549" i="3"/>
  <c r="BA553" i="3"/>
  <c r="AZ553" i="3" s="1"/>
  <c r="BA557" i="3"/>
  <c r="AZ557" i="3"/>
  <c r="BA561" i="3"/>
  <c r="BA565" i="3"/>
  <c r="AZ565" i="3" s="1"/>
  <c r="BA569" i="3"/>
  <c r="AZ569" i="3"/>
  <c r="BA573" i="3"/>
  <c r="BA577" i="3"/>
  <c r="AZ577" i="3" s="1"/>
  <c r="G9" i="1"/>
  <c r="F34" i="11"/>
  <c r="F11" i="12"/>
  <c r="C23" i="12" s="1"/>
  <c r="F34" i="68"/>
  <c r="C15" i="39"/>
  <c r="B72" i="43"/>
  <c r="B61" i="43"/>
  <c r="C19" i="39"/>
  <c r="B79" i="43"/>
  <c r="B58" i="43"/>
  <c r="B69" i="43"/>
  <c r="B101" i="43"/>
  <c r="C25" i="39"/>
  <c r="B65" i="43"/>
  <c r="B97" i="43"/>
  <c r="B54" i="43"/>
  <c r="B75" i="43"/>
  <c r="W10" i="34"/>
  <c r="W21" i="34"/>
  <c r="S29" i="34"/>
  <c r="W31" i="34"/>
  <c r="AC31" i="34"/>
  <c r="S41" i="34"/>
  <c r="S46" i="34"/>
  <c r="AA46" i="34"/>
  <c r="E90" i="34"/>
  <c r="J27" i="34"/>
  <c r="D23" i="77"/>
  <c r="S27" i="21"/>
  <c r="W32" i="21"/>
  <c r="AC32" i="21"/>
  <c r="W40" i="21"/>
  <c r="AC40" i="21"/>
  <c r="U44" i="21"/>
  <c r="AB44" i="21"/>
  <c r="S21" i="37"/>
  <c r="AB23" i="35"/>
  <c r="U23" i="35"/>
  <c r="BL512" i="3"/>
  <c r="BL516" i="3"/>
  <c r="BL520" i="3"/>
  <c r="AZ520" i="3" s="1"/>
  <c r="BL524" i="3"/>
  <c r="BL528" i="3"/>
  <c r="AZ528" i="3"/>
  <c r="BL532" i="3"/>
  <c r="BL536" i="3"/>
  <c r="AZ536" i="3" s="1"/>
  <c r="BL540" i="3"/>
  <c r="BL544" i="3"/>
  <c r="AZ544" i="3" s="1"/>
  <c r="BL548" i="3"/>
  <c r="BL552" i="3"/>
  <c r="AZ552" i="3"/>
  <c r="BL556" i="3"/>
  <c r="BL560" i="3"/>
  <c r="BL564" i="3"/>
  <c r="BL568" i="3"/>
  <c r="BL572" i="3"/>
  <c r="BL576" i="3"/>
  <c r="AZ576" i="3"/>
  <c r="BA581" i="3"/>
  <c r="G586" i="3"/>
  <c r="S7" i="1"/>
  <c r="AQ7" i="1" s="1"/>
  <c r="M7" i="1"/>
  <c r="B7" i="1"/>
  <c r="E7" i="1"/>
  <c r="R7" i="1"/>
  <c r="J57" i="9"/>
  <c r="J59" i="9" s="1"/>
  <c r="J61" i="9" s="1"/>
  <c r="F40" i="69"/>
  <c r="U19" i="34"/>
  <c r="U25" i="34"/>
  <c r="AB25" i="34"/>
  <c r="F28" i="34"/>
  <c r="F45" i="34"/>
  <c r="C29" i="77"/>
  <c r="S46" i="21"/>
  <c r="AB44" i="33"/>
  <c r="F13" i="35"/>
  <c r="H13" i="35"/>
  <c r="J13" i="35"/>
  <c r="BL580" i="3"/>
  <c r="BL584" i="3"/>
  <c r="E19" i="11"/>
  <c r="E19" i="68"/>
  <c r="B83" i="43"/>
  <c r="C15" i="40"/>
  <c r="B51" i="43"/>
  <c r="B62" i="43"/>
  <c r="B94" i="43"/>
  <c r="B73" i="43"/>
  <c r="C21" i="39"/>
  <c r="C8" i="74"/>
  <c r="A126" i="9"/>
  <c r="A12" i="52" s="1"/>
  <c r="B56" i="72" s="1"/>
  <c r="AA10" i="34"/>
  <c r="AB13" i="34"/>
  <c r="H17" i="34"/>
  <c r="AA21" i="34"/>
  <c r="AC29" i="34"/>
  <c r="AC30" i="34"/>
  <c r="AA31" i="34"/>
  <c r="AC36" i="34"/>
  <c r="AB39" i="34"/>
  <c r="AB42" i="34"/>
  <c r="J44" i="34"/>
  <c r="AC44" i="34" s="1"/>
  <c r="AC9" i="34"/>
  <c r="W9" i="34"/>
  <c r="AB12" i="34"/>
  <c r="U12" i="34"/>
  <c r="AC46" i="34"/>
  <c r="W46" i="34"/>
  <c r="R35" i="77"/>
  <c r="U34" i="77" s="1"/>
  <c r="W11" i="21"/>
  <c r="AB31" i="21"/>
  <c r="AA38" i="21"/>
  <c r="AB39" i="21"/>
  <c r="J44" i="21"/>
  <c r="W45" i="21"/>
  <c r="S31" i="33"/>
  <c r="AC46" i="33"/>
  <c r="E115" i="33"/>
  <c r="F115" i="33" s="1"/>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S13" i="39"/>
  <c r="AC21" i="39"/>
  <c r="W21" i="39"/>
  <c r="AA36" i="39"/>
  <c r="S36" i="39"/>
  <c r="S11" i="1"/>
  <c r="AR11" i="1" s="1"/>
  <c r="M11" i="1"/>
  <c r="B11" i="1"/>
  <c r="E11" i="1"/>
  <c r="C94" i="9"/>
  <c r="AB10" i="34"/>
  <c r="AA19" i="34"/>
  <c r="AB21" i="34"/>
  <c r="AA33" i="34"/>
  <c r="AA35" i="34"/>
  <c r="AC39" i="34"/>
  <c r="D22" i="67"/>
  <c r="D23" i="67"/>
  <c r="D7" i="77"/>
  <c r="C26" i="77"/>
  <c r="C32" i="77" s="1"/>
  <c r="C38" i="77" s="1"/>
  <c r="C39" i="77" s="1"/>
  <c r="AB8" i="21"/>
  <c r="U8" i="21"/>
  <c r="F29" i="21"/>
  <c r="H29" i="21"/>
  <c r="AA44" i="21"/>
  <c r="S44" i="21"/>
  <c r="AC13" i="33"/>
  <c r="W13" i="33"/>
  <c r="AC26" i="33"/>
  <c r="W26" i="33"/>
  <c r="AC37" i="33"/>
  <c r="W37" i="33"/>
  <c r="S11" i="37"/>
  <c r="S17" i="37"/>
  <c r="S29" i="37"/>
  <c r="U35" i="37"/>
  <c r="AB35" i="37"/>
  <c r="S36" i="37"/>
  <c r="S37" i="37"/>
  <c r="AB14" i="35"/>
  <c r="U14" i="35"/>
  <c r="AB36" i="35"/>
  <c r="U36" i="35"/>
  <c r="F23" i="36"/>
  <c r="H23" i="36"/>
  <c r="H36" i="39"/>
  <c r="J36" i="39"/>
  <c r="AB13" i="40"/>
  <c r="U13" i="40"/>
  <c r="C25" i="40"/>
  <c r="H30" i="40"/>
  <c r="J30" i="40"/>
  <c r="F30" i="40"/>
  <c r="AC34" i="40"/>
  <c r="W34" i="40"/>
  <c r="M20" i="15"/>
  <c r="F62" i="67"/>
  <c r="B84" i="43"/>
  <c r="C17" i="40"/>
  <c r="B87" i="43"/>
  <c r="C23" i="40"/>
  <c r="B68" i="43"/>
  <c r="B100" i="43"/>
  <c r="B57" i="43"/>
  <c r="B77" i="43"/>
  <c r="C29" i="39"/>
  <c r="F34" i="15"/>
  <c r="F62" i="15" s="1"/>
  <c r="H12" i="21"/>
  <c r="J12" i="21"/>
  <c r="H30" i="21"/>
  <c r="AB30" i="21" s="1"/>
  <c r="J30" i="21"/>
  <c r="F45" i="21"/>
  <c r="H45" i="21"/>
  <c r="S40" i="33"/>
  <c r="AA44" i="33"/>
  <c r="H31" i="33"/>
  <c r="J31" i="33"/>
  <c r="AA8" i="37"/>
  <c r="S8" i="37"/>
  <c r="U11" i="37"/>
  <c r="S15" i="37"/>
  <c r="S23" i="37"/>
  <c r="AC35" i="37"/>
  <c r="W35" i="37"/>
  <c r="F26" i="37"/>
  <c r="H26" i="37"/>
  <c r="S24" i="35"/>
  <c r="AC27" i="35"/>
  <c r="W27" i="35"/>
  <c r="S31" i="36"/>
  <c r="F11" i="36"/>
  <c r="J11" i="36"/>
  <c r="H11" i="36"/>
  <c r="U17" i="39"/>
  <c r="AB17" i="39"/>
  <c r="S38" i="39"/>
  <c r="AC11" i="40"/>
  <c r="W11" i="40"/>
  <c r="S10" i="21"/>
  <c r="U11" i="21"/>
  <c r="S15" i="21"/>
  <c r="S17" i="21"/>
  <c r="S19" i="21"/>
  <c r="S21" i="21"/>
  <c r="S23" i="21"/>
  <c r="U25" i="21"/>
  <c r="W26" i="21"/>
  <c r="S28" i="21"/>
  <c r="S32" i="21"/>
  <c r="U33" i="21"/>
  <c r="W34" i="21"/>
  <c r="S36" i="21"/>
  <c r="U37" i="21"/>
  <c r="W38" i="21"/>
  <c r="S40" i="21"/>
  <c r="U41" i="21"/>
  <c r="W42" i="21"/>
  <c r="W46" i="21"/>
  <c r="S14" i="33"/>
  <c r="H19" i="33"/>
  <c r="AB19" i="33"/>
  <c r="E81" i="33"/>
  <c r="F81" i="33"/>
  <c r="G81" i="33" s="1"/>
  <c r="H23" i="33"/>
  <c r="AB23" i="33"/>
  <c r="E85" i="33"/>
  <c r="F85" i="33" s="1"/>
  <c r="G85" i="33" s="1"/>
  <c r="W31" i="37"/>
  <c r="AC31" i="37"/>
  <c r="S33" i="37"/>
  <c r="U38" i="37"/>
  <c r="AB38" i="37"/>
  <c r="W10" i="35"/>
  <c r="W20" i="35"/>
  <c r="AC20" i="35"/>
  <c r="S23" i="35"/>
  <c r="AA23" i="35"/>
  <c r="S31" i="35"/>
  <c r="S36" i="35"/>
  <c r="AA36" i="35"/>
  <c r="W14" i="36"/>
  <c r="H9" i="36"/>
  <c r="J9" i="36"/>
  <c r="F9" i="36"/>
  <c r="H33" i="36"/>
  <c r="J33" i="36"/>
  <c r="F33" i="36"/>
  <c r="W17" i="39"/>
  <c r="U21" i="39"/>
  <c r="AB21" i="39"/>
  <c r="U43" i="39"/>
  <c r="AB43" i="39"/>
  <c r="W44" i="39"/>
  <c r="S12" i="40"/>
  <c r="AA12" i="40"/>
  <c r="H31" i="40"/>
  <c r="S35" i="40"/>
  <c r="AC37" i="40"/>
  <c r="W37" i="40"/>
  <c r="J12" i="40"/>
  <c r="H12" i="40"/>
  <c r="AB12" i="40" s="1"/>
  <c r="H27" i="37"/>
  <c r="F27" i="37"/>
  <c r="S27" i="37" s="1"/>
  <c r="S28" i="35"/>
  <c r="S29" i="35"/>
  <c r="U34" i="35"/>
  <c r="AB34" i="35"/>
  <c r="F9" i="35"/>
  <c r="H9" i="35"/>
  <c r="AA34" i="35"/>
  <c r="S34" i="35"/>
  <c r="W29" i="36"/>
  <c r="AC29" i="36"/>
  <c r="U31" i="36"/>
  <c r="U14" i="39"/>
  <c r="AB14" i="39"/>
  <c r="U29" i="39"/>
  <c r="AB29" i="39"/>
  <c r="U39" i="39"/>
  <c r="AB39" i="39"/>
  <c r="S42" i="39"/>
  <c r="J37" i="39"/>
  <c r="H37" i="39"/>
  <c r="S9" i="40"/>
  <c r="AB14" i="40"/>
  <c r="AC23" i="40"/>
  <c r="W23" i="40"/>
  <c r="AC31" i="40"/>
  <c r="W31" i="40"/>
  <c r="H38" i="40"/>
  <c r="J38" i="40"/>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J23" i="33"/>
  <c r="AC23" i="33" s="1"/>
  <c r="H30" i="33"/>
  <c r="AB30" i="33" s="1"/>
  <c r="AB13" i="33"/>
  <c r="U13" i="33"/>
  <c r="F43" i="33"/>
  <c r="AA43" i="33" s="1"/>
  <c r="E125" i="33"/>
  <c r="F125" i="33"/>
  <c r="G125" i="33"/>
  <c r="J27" i="37"/>
  <c r="S40" i="37"/>
  <c r="H9" i="37"/>
  <c r="F9" i="37"/>
  <c r="H13" i="37"/>
  <c r="F13" i="37"/>
  <c r="AC28" i="37"/>
  <c r="W28" i="37"/>
  <c r="W8" i="35"/>
  <c r="AC8" i="35"/>
  <c r="S11" i="35"/>
  <c r="W16" i="35"/>
  <c r="AC16" i="35"/>
  <c r="U30" i="35"/>
  <c r="AB30" i="35"/>
  <c r="J34" i="35"/>
  <c r="S35" i="35"/>
  <c r="AA35" i="35"/>
  <c r="S11" i="39"/>
  <c r="U25" i="39"/>
  <c r="AB25" i="39"/>
  <c r="S31" i="39"/>
  <c r="F37" i="39"/>
  <c r="S40" i="39"/>
  <c r="AB45" i="39"/>
  <c r="J12" i="39"/>
  <c r="H12" i="39"/>
  <c r="U9" i="40"/>
  <c r="C21" i="40"/>
  <c r="F31" i="40"/>
  <c r="AB32" i="40"/>
  <c r="S36" i="40"/>
  <c r="F38" i="40"/>
  <c r="AB39" i="40"/>
  <c r="U39" i="40"/>
  <c r="J39" i="40"/>
  <c r="AC39" i="40" s="1"/>
  <c r="F39" i="40"/>
  <c r="R10" i="79"/>
  <c r="AF10" i="79"/>
  <c r="R7" i="79"/>
  <c r="AF7" i="79" s="1"/>
  <c r="R8" i="79"/>
  <c r="AF8" i="79"/>
  <c r="V10" i="79"/>
  <c r="AJ10" i="79"/>
  <c r="V7" i="79"/>
  <c r="AJ7" i="79" s="1"/>
  <c r="V8" i="79"/>
  <c r="AJ8" i="79"/>
  <c r="O3" i="79"/>
  <c r="U19" i="79"/>
  <c r="AI19" i="79" s="1"/>
  <c r="U10" i="79"/>
  <c r="AI10" i="79"/>
  <c r="U11" i="79"/>
  <c r="AI11" i="79" s="1"/>
  <c r="U17" i="79"/>
  <c r="AI17" i="79" s="1"/>
  <c r="W40" i="33"/>
  <c r="S46" i="33"/>
  <c r="U10" i="37"/>
  <c r="W11" i="37"/>
  <c r="U14" i="37"/>
  <c r="U15" i="37"/>
  <c r="U17" i="37"/>
  <c r="U19" i="37"/>
  <c r="U21" i="37"/>
  <c r="U23" i="37"/>
  <c r="W25" i="37"/>
  <c r="U28" i="37"/>
  <c r="W29" i="37"/>
  <c r="AA31" i="37"/>
  <c r="S31" i="37"/>
  <c r="T12" i="79"/>
  <c r="P12" i="79"/>
  <c r="T9" i="79"/>
  <c r="T6" i="79"/>
  <c r="W6" i="79" s="1"/>
  <c r="AK6" i="79" s="1"/>
  <c r="T10" i="79"/>
  <c r="T3" i="79"/>
  <c r="W3" i="79" s="1"/>
  <c r="R17" i="79"/>
  <c r="AF17" i="79" s="1"/>
  <c r="R16" i="79"/>
  <c r="AF16" i="79" s="1"/>
  <c r="R13" i="79"/>
  <c r="AF13" i="79"/>
  <c r="R11" i="79"/>
  <c r="AF11" i="79" s="1"/>
  <c r="R12" i="79"/>
  <c r="AF12" i="79" s="1"/>
  <c r="R15" i="79"/>
  <c r="AF15" i="79" s="1"/>
  <c r="V17" i="79"/>
  <c r="AJ17" i="79" s="1"/>
  <c r="V11" i="79"/>
  <c r="AJ11" i="79" s="1"/>
  <c r="V13" i="79"/>
  <c r="AJ13" i="79"/>
  <c r="AR35" i="79"/>
  <c r="AR36" i="79" s="1"/>
  <c r="AR37" i="79" s="1"/>
  <c r="AR38" i="79" s="1"/>
  <c r="AR39" i="79" s="1"/>
  <c r="AR40" i="79" s="1"/>
  <c r="AR41" i="79" s="1"/>
  <c r="AR42" i="79" s="1"/>
  <c r="AR43" i="79" s="1"/>
  <c r="AR44" i="79" s="1"/>
  <c r="AR45" i="79" s="1"/>
  <c r="AR46" i="79" s="1"/>
  <c r="AR47" i="79" s="1"/>
  <c r="AR48" i="79" s="1"/>
  <c r="AR49" i="79" s="1"/>
  <c r="AR50" i="79" s="1"/>
  <c r="AR51" i="79" s="1"/>
  <c r="AR52" i="79" s="1"/>
  <c r="U35" i="79"/>
  <c r="AI35" i="79" s="1"/>
  <c r="U31" i="79"/>
  <c r="N31" i="79"/>
  <c r="S10" i="33"/>
  <c r="W14" i="33"/>
  <c r="S25" i="33"/>
  <c r="U26" i="33"/>
  <c r="S37" i="33"/>
  <c r="S41" i="33"/>
  <c r="U46" i="33"/>
  <c r="W10" i="37"/>
  <c r="W14" i="37"/>
  <c r="W15" i="37"/>
  <c r="W17" i="37"/>
  <c r="W19" i="37"/>
  <c r="W21" i="37"/>
  <c r="W23" i="37"/>
  <c r="S30" i="37"/>
  <c r="AA39" i="37"/>
  <c r="S39" i="37"/>
  <c r="J25" i="35"/>
  <c r="C79" i="35"/>
  <c r="J26" i="35" s="1"/>
  <c r="AC36" i="35"/>
  <c r="W36" i="35"/>
  <c r="AB13" i="36"/>
  <c r="U13" i="36"/>
  <c r="AA8" i="39"/>
  <c r="J43" i="39"/>
  <c r="F43" i="39"/>
  <c r="AA8" i="40"/>
  <c r="S13" i="40"/>
  <c r="AB19" i="40"/>
  <c r="F32" i="40"/>
  <c r="H27" i="40"/>
  <c r="U27" i="40" s="1"/>
  <c r="J27" i="40"/>
  <c r="V15" i="79"/>
  <c r="AJ15" i="79" s="1"/>
  <c r="Y3" i="79"/>
  <c r="P41" i="79"/>
  <c r="T41" i="79"/>
  <c r="T37" i="79"/>
  <c r="T33" i="79"/>
  <c r="T31" i="79"/>
  <c r="W31" i="79" s="1"/>
  <c r="T36" i="79"/>
  <c r="E44" i="43"/>
  <c r="C44" i="43" s="1"/>
  <c r="I18" i="43"/>
  <c r="G18" i="43"/>
  <c r="N3" i="79"/>
  <c r="R6" i="79"/>
  <c r="AF6" i="79"/>
  <c r="R3" i="79"/>
  <c r="R5" i="79"/>
  <c r="AF5" i="79"/>
  <c r="V6" i="79"/>
  <c r="AJ6" i="79"/>
  <c r="V3" i="79"/>
  <c r="V5" i="79"/>
  <c r="AJ5" i="79"/>
  <c r="U9" i="79"/>
  <c r="AI9" i="79" s="1"/>
  <c r="U6" i="79"/>
  <c r="AI6" i="79"/>
  <c r="U3" i="79"/>
  <c r="S10" i="79"/>
  <c r="AG10" i="79"/>
  <c r="U12" i="79"/>
  <c r="AI12" i="79"/>
  <c r="S13" i="79"/>
  <c r="AG13" i="79" s="1"/>
  <c r="S12" i="79"/>
  <c r="AG12" i="79" s="1"/>
  <c r="U14" i="79"/>
  <c r="AI14" i="79" s="1"/>
  <c r="U16" i="79"/>
  <c r="AI16" i="79" s="1"/>
  <c r="R23" i="79"/>
  <c r="AF23" i="79"/>
  <c r="R21" i="79"/>
  <c r="AF21" i="79"/>
  <c r="V23" i="79"/>
  <c r="AJ23" i="79" s="1"/>
  <c r="V22" i="79"/>
  <c r="AJ22" i="79" s="1"/>
  <c r="V21" i="79"/>
  <c r="AJ21" i="79" s="1"/>
  <c r="AD35" i="79"/>
  <c r="S38" i="79"/>
  <c r="AG38" i="79"/>
  <c r="AD45" i="79"/>
  <c r="S49" i="79"/>
  <c r="AG49" i="79"/>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4" i="39"/>
  <c r="S15" i="39"/>
  <c r="S17" i="39"/>
  <c r="S19" i="39"/>
  <c r="S21" i="39"/>
  <c r="S23" i="39"/>
  <c r="S25" i="39"/>
  <c r="S27" i="39"/>
  <c r="S29" i="39"/>
  <c r="U31" i="39"/>
  <c r="W32" i="39"/>
  <c r="S35" i="39"/>
  <c r="S39" i="39"/>
  <c r="U40" i="39"/>
  <c r="AA14" i="40"/>
  <c r="S14" i="40"/>
  <c r="E83" i="43"/>
  <c r="B81" i="43" s="1"/>
  <c r="E93" i="43"/>
  <c r="B91" i="43"/>
  <c r="R9" i="79"/>
  <c r="AF9" i="79"/>
  <c r="V9" i="79"/>
  <c r="AJ9" i="79" s="1"/>
  <c r="S11" i="79"/>
  <c r="AG11" i="79"/>
  <c r="S8" i="79"/>
  <c r="AG8" i="79"/>
  <c r="V12" i="79"/>
  <c r="AJ12" i="79" s="1"/>
  <c r="T18" i="79"/>
  <c r="P18" i="79"/>
  <c r="T38" i="79"/>
  <c r="U39" i="79"/>
  <c r="AI39" i="79"/>
  <c r="U36" i="79"/>
  <c r="AI36" i="79"/>
  <c r="P44" i="79"/>
  <c r="T44" i="79"/>
  <c r="AA28" i="71"/>
  <c r="AA25" i="71"/>
  <c r="E11" i="43"/>
  <c r="E10" i="43"/>
  <c r="S3" i="79"/>
  <c r="S5" i="79"/>
  <c r="AG5" i="79"/>
  <c r="L3" i="79"/>
  <c r="P8" i="79"/>
  <c r="T8" i="79"/>
  <c r="T11" i="79"/>
  <c r="S16" i="79"/>
  <c r="AG16" i="79"/>
  <c r="S15" i="79"/>
  <c r="AG15" i="79" s="1"/>
  <c r="U18" i="79"/>
  <c r="AI18" i="79"/>
  <c r="U37" i="79"/>
  <c r="AI37" i="79"/>
  <c r="U47" i="79"/>
  <c r="AI47" i="79" s="1"/>
  <c r="U46" i="79"/>
  <c r="AI46" i="79"/>
  <c r="U40" i="79"/>
  <c r="AI40" i="79"/>
  <c r="AD46" i="79"/>
  <c r="AD48" i="79"/>
  <c r="S51" i="79"/>
  <c r="AG51" i="79"/>
  <c r="S47" i="79"/>
  <c r="AG47" i="79"/>
  <c r="S37" i="79"/>
  <c r="AG37" i="79" s="1"/>
  <c r="S33" i="79"/>
  <c r="AG33" i="79"/>
  <c r="AA16" i="71"/>
  <c r="AA10" i="71"/>
  <c r="AA9" i="71"/>
  <c r="AA22" i="71"/>
  <c r="AA19" i="71"/>
  <c r="AA21" i="71"/>
  <c r="AA18" i="71"/>
  <c r="AB23" i="71"/>
  <c r="AB22" i="71"/>
  <c r="T16" i="79"/>
  <c r="V19" i="79"/>
  <c r="AJ19" i="79" s="1"/>
  <c r="P22" i="79"/>
  <c r="T22" i="79"/>
  <c r="S36" i="79"/>
  <c r="AG36" i="79" s="1"/>
  <c r="AD37" i="79"/>
  <c r="U38" i="79"/>
  <c r="AI38" i="79" s="1"/>
  <c r="S40" i="79"/>
  <c r="AG40" i="79"/>
  <c r="U41" i="79"/>
  <c r="AI41" i="79"/>
  <c r="S42" i="79"/>
  <c r="AG42" i="79" s="1"/>
  <c r="T43" i="79"/>
  <c r="AD47" i="79"/>
  <c r="S48" i="79"/>
  <c r="AG48" i="79"/>
  <c r="P51" i="79"/>
  <c r="T50" i="79"/>
  <c r="T47" i="79"/>
  <c r="AB11" i="71"/>
  <c r="AB16" i="71"/>
  <c r="AB20" i="71"/>
  <c r="AB21" i="71"/>
  <c r="AB14" i="71"/>
  <c r="Y27" i="71"/>
  <c r="Z27" i="71"/>
  <c r="Y26" i="71"/>
  <c r="Z26" i="71"/>
  <c r="Y25" i="71"/>
  <c r="Z25" i="71" s="1"/>
  <c r="D75" i="71"/>
  <c r="C74" i="71"/>
  <c r="D74" i="71" s="1"/>
  <c r="T80" i="71"/>
  <c r="D80" i="71"/>
  <c r="C79" i="71"/>
  <c r="S41" i="39"/>
  <c r="U42" i="39"/>
  <c r="S45" i="39"/>
  <c r="W9" i="40"/>
  <c r="U11" i="40"/>
  <c r="S15" i="40"/>
  <c r="S17" i="40"/>
  <c r="S19" i="40"/>
  <c r="S21" i="40"/>
  <c r="S23" i="40"/>
  <c r="S25" i="40"/>
  <c r="U28" i="40"/>
  <c r="U34" i="40"/>
  <c r="W35" i="40"/>
  <c r="S37" i="40"/>
  <c r="M3" i="79"/>
  <c r="P3" i="79"/>
  <c r="T14" i="79"/>
  <c r="U15" i="79"/>
  <c r="AI15" i="79" s="1"/>
  <c r="T15" i="79"/>
  <c r="R20" i="79"/>
  <c r="AF20" i="79"/>
  <c r="V20" i="79"/>
  <c r="AJ20" i="79"/>
  <c r="AH20" i="79"/>
  <c r="AH23" i="79"/>
  <c r="S31" i="79"/>
  <c r="L31" i="79"/>
  <c r="T34" i="79"/>
  <c r="S35" i="79"/>
  <c r="AG35" i="79" s="1"/>
  <c r="S39" i="79"/>
  <c r="AG39" i="79" s="1"/>
  <c r="T42" i="79"/>
  <c r="AH45" i="79"/>
  <c r="S46" i="79"/>
  <c r="AG46" i="79"/>
  <c r="T48" i="79"/>
  <c r="AB3" i="71"/>
  <c r="AA11" i="71"/>
  <c r="AA12" i="71"/>
  <c r="AA15" i="71"/>
  <c r="AA17" i="71"/>
  <c r="Y18" i="71"/>
  <c r="Z18" i="71" s="1"/>
  <c r="AB18" i="71"/>
  <c r="C31" i="71"/>
  <c r="D30" i="71"/>
  <c r="X36" i="71"/>
  <c r="X32" i="71"/>
  <c r="X24" i="71"/>
  <c r="X20" i="71"/>
  <c r="F38" i="71"/>
  <c r="F39" i="71"/>
  <c r="F40" i="71" s="1"/>
  <c r="V40" i="71" s="1"/>
  <c r="AB34" i="71"/>
  <c r="AB36" i="71"/>
  <c r="AB37" i="71"/>
  <c r="C44" i="71"/>
  <c r="D43" i="71"/>
  <c r="D42" i="71"/>
  <c r="U13" i="79"/>
  <c r="AI13" i="79"/>
  <c r="R14" i="79"/>
  <c r="AF14" i="79"/>
  <c r="V14" i="79"/>
  <c r="AJ14" i="79" s="1"/>
  <c r="S19" i="79"/>
  <c r="AG19" i="79"/>
  <c r="T21" i="79"/>
  <c r="M31" i="79"/>
  <c r="P31" i="79"/>
  <c r="Z31" i="79"/>
  <c r="U34" i="79"/>
  <c r="AI34" i="79"/>
  <c r="T35" i="79"/>
  <c r="T39" i="79"/>
  <c r="AH39" i="79" s="1"/>
  <c r="U42" i="79"/>
  <c r="AI42" i="79" s="1"/>
  <c r="S44" i="79"/>
  <c r="AG44" i="79"/>
  <c r="U45" i="79"/>
  <c r="AI45" i="79"/>
  <c r="U48" i="79"/>
  <c r="AI48" i="79" s="1"/>
  <c r="T49" i="79"/>
  <c r="W49" i="79" s="1"/>
  <c r="AK49" i="79" s="1"/>
  <c r="U49" i="79"/>
  <c r="AI49" i="79" s="1"/>
  <c r="AD50" i="79"/>
  <c r="T51" i="79"/>
  <c r="AB9" i="71"/>
  <c r="Y11" i="71"/>
  <c r="Z11" i="71"/>
  <c r="Y16" i="71"/>
  <c r="Z16" i="71"/>
  <c r="AA23" i="71"/>
  <c r="AA24" i="71"/>
  <c r="AB30" i="71"/>
  <c r="AB32" i="71"/>
  <c r="AB26" i="71"/>
  <c r="X37" i="71"/>
  <c r="D58" i="71"/>
  <c r="C59" i="71"/>
  <c r="O67" i="71"/>
  <c r="C66" i="71"/>
  <c r="O65" i="71" s="1"/>
  <c r="D67" i="71"/>
  <c r="S50" i="79"/>
  <c r="AG50" i="79"/>
  <c r="AB10" i="71"/>
  <c r="AB12" i="71"/>
  <c r="AA13" i="71"/>
  <c r="AB17" i="71"/>
  <c r="AB19" i="71"/>
  <c r="Y21" i="71"/>
  <c r="Z21" i="71"/>
  <c r="X22" i="71"/>
  <c r="X25" i="71"/>
  <c r="X26" i="71"/>
  <c r="X34" i="71"/>
  <c r="AB39" i="71"/>
  <c r="AB38" i="71"/>
  <c r="C51" i="71"/>
  <c r="D50" i="71"/>
  <c r="AB13" i="71"/>
  <c r="Y15" i="71"/>
  <c r="Z15" i="71" s="1"/>
  <c r="AB15" i="71"/>
  <c r="X17" i="71"/>
  <c r="AA20" i="71"/>
  <c r="Y23" i="71"/>
  <c r="Z23" i="71" s="1"/>
  <c r="Y19" i="71"/>
  <c r="Z19" i="71"/>
  <c r="B30" i="71"/>
  <c r="B31" i="71"/>
  <c r="B32" i="71" s="1"/>
  <c r="S32" i="71" s="1"/>
  <c r="X28" i="71"/>
  <c r="X29" i="71"/>
  <c r="AA29" i="71"/>
  <c r="AA32" i="71"/>
  <c r="AA31" i="71"/>
  <c r="E36" i="71"/>
  <c r="U36" i="71"/>
  <c r="F67" i="71"/>
  <c r="Q68" i="71"/>
  <c r="V68" i="71"/>
  <c r="X33" i="71"/>
  <c r="C39" i="71"/>
  <c r="D38" i="71"/>
  <c r="T72" i="71"/>
  <c r="D72" i="71"/>
  <c r="S76" i="71"/>
  <c r="E79" i="71"/>
  <c r="E78" i="71"/>
  <c r="U80" i="71"/>
  <c r="X12" i="71"/>
  <c r="Y13" i="71"/>
  <c r="Z13" i="71" s="1"/>
  <c r="X16" i="71"/>
  <c r="Y17" i="71"/>
  <c r="Z17" i="71"/>
  <c r="Y22" i="71"/>
  <c r="Z22" i="71"/>
  <c r="AB25" i="71"/>
  <c r="AA26" i="71"/>
  <c r="T28" i="71"/>
  <c r="D28" i="71"/>
  <c r="U28" i="71" s="1"/>
  <c r="C27" i="71"/>
  <c r="D27" i="71" s="1"/>
  <c r="Y28" i="71"/>
  <c r="Z28" i="71" s="1"/>
  <c r="Y38" i="71"/>
  <c r="Z38" i="71"/>
  <c r="C63" i="71"/>
  <c r="C71" i="71"/>
  <c r="T76" i="71"/>
  <c r="D76" i="71"/>
  <c r="X19" i="71"/>
  <c r="B22" i="71"/>
  <c r="B21" i="71" s="1"/>
  <c r="B20" i="71"/>
  <c r="X23" i="71"/>
  <c r="AB27" i="71"/>
  <c r="AA30" i="71"/>
  <c r="E31" i="71"/>
  <c r="E32" i="71" s="1"/>
  <c r="U32" i="71" s="1"/>
  <c r="AA34" i="71"/>
  <c r="X35" i="71"/>
  <c r="Y36" i="71"/>
  <c r="Z36" i="71"/>
  <c r="Y37" i="71"/>
  <c r="Z37" i="71"/>
  <c r="T68" i="71"/>
  <c r="O68" i="71"/>
  <c r="D68" i="71"/>
  <c r="Y20" i="71"/>
  <c r="Z20" i="71" s="1"/>
  <c r="T24" i="71"/>
  <c r="D24" i="71"/>
  <c r="U24" i="71" s="1"/>
  <c r="C23" i="71"/>
  <c r="C22" i="71" s="1"/>
  <c r="Y24" i="71"/>
  <c r="Z24" i="71" s="1"/>
  <c r="B26" i="71"/>
  <c r="X27" i="71"/>
  <c r="AB29" i="71"/>
  <c r="AB31" i="71"/>
  <c r="Y32" i="71"/>
  <c r="Z32" i="71" s="1"/>
  <c r="AA33" i="71"/>
  <c r="E59" i="71"/>
  <c r="E60" i="71" s="1"/>
  <c r="U60" i="71" s="1"/>
  <c r="E67" i="71"/>
  <c r="P67" i="71" s="1"/>
  <c r="U68" i="71"/>
  <c r="X31" i="71"/>
  <c r="AB33" i="71"/>
  <c r="AB35" i="71"/>
  <c r="E8" i="43"/>
  <c r="E9" i="43"/>
  <c r="C7" i="43"/>
  <c r="H76" i="43"/>
  <c r="M1" i="43"/>
  <c r="N3" i="43"/>
  <c r="N5" i="43"/>
  <c r="N8" i="43"/>
  <c r="N9" i="43"/>
  <c r="M12" i="43"/>
  <c r="H83" i="43"/>
  <c r="N1" i="43"/>
  <c r="M4" i="43"/>
  <c r="N12" i="43"/>
  <c r="H79" i="43"/>
  <c r="H87" i="43"/>
  <c r="N4" i="43"/>
  <c r="F50" i="43" s="1"/>
  <c r="H52" i="43" s="1"/>
  <c r="G52" i="43" s="1"/>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F27" i="33"/>
  <c r="S27" i="33" s="1"/>
  <c r="AA27" i="33"/>
  <c r="E91" i="33"/>
  <c r="U43" i="33"/>
  <c r="W43" i="33"/>
  <c r="S43" i="33"/>
  <c r="U23" i="33"/>
  <c r="W23" i="33"/>
  <c r="S23" i="33"/>
  <c r="U21" i="33"/>
  <c r="W21" i="33"/>
  <c r="S21" i="33"/>
  <c r="U19" i="33"/>
  <c r="W19" i="33"/>
  <c r="S42" i="33"/>
  <c r="U42" i="33"/>
  <c r="W42" i="33"/>
  <c r="W39" i="33"/>
  <c r="U35" i="33"/>
  <c r="W35" i="33"/>
  <c r="S35" i="33"/>
  <c r="S34" i="33"/>
  <c r="U34" i="33"/>
  <c r="W34" i="33"/>
  <c r="S32" i="33"/>
  <c r="U32" i="33"/>
  <c r="W32" i="33"/>
  <c r="U11" i="33"/>
  <c r="W11" i="33"/>
  <c r="S11" i="33"/>
  <c r="S38" i="33"/>
  <c r="W30" i="33"/>
  <c r="S30" i="33"/>
  <c r="U30" i="33"/>
  <c r="U29" i="33"/>
  <c r="W29" i="33"/>
  <c r="S29" i="33"/>
  <c r="W27" i="33"/>
  <c r="S9" i="33"/>
  <c r="U9" i="33"/>
  <c r="W9" i="33"/>
  <c r="AB8" i="33"/>
  <c r="D93" i="9"/>
  <c r="G1" i="69"/>
  <c r="B6" i="1"/>
  <c r="E6" i="1" s="1"/>
  <c r="K1" i="12"/>
  <c r="F3" i="35"/>
  <c r="G1" i="68"/>
  <c r="G1" i="15"/>
  <c r="D3" i="34"/>
  <c r="C34" i="34"/>
  <c r="J34" i="34" s="1"/>
  <c r="B14" i="74"/>
  <c r="B1" i="74" s="1"/>
  <c r="T7" i="1"/>
  <c r="Z7" i="43"/>
  <c r="N370" i="46"/>
  <c r="B116" i="43"/>
  <c r="D118" i="43" s="1"/>
  <c r="N94" i="46"/>
  <c r="G8" i="1"/>
  <c r="G12" i="1"/>
  <c r="K1" i="73"/>
  <c r="E66" i="71"/>
  <c r="S20" i="71"/>
  <c r="B19" i="71"/>
  <c r="B18" i="71" s="1"/>
  <c r="B17" i="71" s="1"/>
  <c r="B16" i="71" s="1"/>
  <c r="D71" i="71"/>
  <c r="C70" i="71"/>
  <c r="D70" i="71"/>
  <c r="C26" i="71"/>
  <c r="D26" i="71" s="1"/>
  <c r="C40" i="71"/>
  <c r="D40" i="71" s="1"/>
  <c r="D39" i="71"/>
  <c r="F66" i="71"/>
  <c r="Q65" i="71" s="1"/>
  <c r="Q67" i="71"/>
  <c r="D66" i="71"/>
  <c r="O66" i="71"/>
  <c r="AH35" i="79"/>
  <c r="W35" i="79"/>
  <c r="AK35" i="79"/>
  <c r="AH21" i="79"/>
  <c r="W21" i="79"/>
  <c r="AK21" i="79"/>
  <c r="AH42" i="79"/>
  <c r="W42" i="79"/>
  <c r="AK42" i="79" s="1"/>
  <c r="AH14" i="79"/>
  <c r="W14" i="79"/>
  <c r="AK14" i="79"/>
  <c r="AH22" i="79"/>
  <c r="W22" i="79"/>
  <c r="AK22" i="79" s="1"/>
  <c r="AH8" i="79"/>
  <c r="W8" i="79"/>
  <c r="AK8" i="79"/>
  <c r="E17" i="43"/>
  <c r="AC43" i="39"/>
  <c r="W43" i="39"/>
  <c r="W25" i="35"/>
  <c r="AC25" i="35"/>
  <c r="W10" i="79"/>
  <c r="AK10" i="79" s="1"/>
  <c r="AH10" i="79"/>
  <c r="AH12" i="79"/>
  <c r="W12" i="79"/>
  <c r="AK12" i="79" s="1"/>
  <c r="U12" i="39"/>
  <c r="AB12" i="39"/>
  <c r="AA37" i="39"/>
  <c r="S37" i="39"/>
  <c r="AB13" i="37"/>
  <c r="U13" i="37"/>
  <c r="AC27" i="37"/>
  <c r="W27" i="37"/>
  <c r="AC37" i="39"/>
  <c r="W37" i="39"/>
  <c r="AA27" i="37"/>
  <c r="AA33" i="36"/>
  <c r="S33" i="36"/>
  <c r="W9" i="36"/>
  <c r="AC9" i="36"/>
  <c r="U26" i="37"/>
  <c r="AB26" i="37"/>
  <c r="AB31" i="33"/>
  <c r="U31" i="33"/>
  <c r="AA45" i="21"/>
  <c r="S45" i="21"/>
  <c r="AB12" i="21"/>
  <c r="U12" i="21"/>
  <c r="AB36" i="39"/>
  <c r="U36" i="39"/>
  <c r="AB29" i="21"/>
  <c r="U29" i="21"/>
  <c r="S28" i="34"/>
  <c r="AA28" i="34"/>
  <c r="H27" i="34"/>
  <c r="U27" i="34" s="1"/>
  <c r="F90" i="34"/>
  <c r="G90" i="34"/>
  <c r="H90" i="34" s="1"/>
  <c r="I90" i="34" s="1"/>
  <c r="J90" i="34" s="1"/>
  <c r="K90" i="34" s="1"/>
  <c r="L90" i="34" s="1"/>
  <c r="M90" i="34" s="1"/>
  <c r="F27" i="34"/>
  <c r="AA27" i="34" s="1"/>
  <c r="AC45" i="34"/>
  <c r="W45" i="34"/>
  <c r="AC12" i="33"/>
  <c r="W12" i="33"/>
  <c r="D23" i="71"/>
  <c r="C64" i="71"/>
  <c r="D64" i="71" s="1"/>
  <c r="D63" i="71"/>
  <c r="C52" i="71"/>
  <c r="D52" i="71" s="1"/>
  <c r="D51" i="71"/>
  <c r="C32" i="71"/>
  <c r="D32" i="71" s="1"/>
  <c r="D31" i="71"/>
  <c r="AH48" i="79"/>
  <c r="W48" i="79"/>
  <c r="AK48" i="79" s="1"/>
  <c r="D79" i="71"/>
  <c r="C78" i="71"/>
  <c r="D78" i="71" s="1"/>
  <c r="AH43" i="79"/>
  <c r="W43" i="79"/>
  <c r="AK43" i="79"/>
  <c r="W33" i="79"/>
  <c r="AK33" i="79"/>
  <c r="AH33" i="79"/>
  <c r="AC27" i="40"/>
  <c r="W27" i="40"/>
  <c r="F26" i="35"/>
  <c r="S26" i="35" s="1"/>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s="1"/>
  <c r="C40" i="77" s="1"/>
  <c r="D29" i="77"/>
  <c r="D26" i="77"/>
  <c r="D32" i="77" s="1"/>
  <c r="AB45" i="34"/>
  <c r="U45" i="34"/>
  <c r="S32" i="34"/>
  <c r="AA32" i="34"/>
  <c r="U23" i="34"/>
  <c r="AB23" i="34"/>
  <c r="U12" i="33"/>
  <c r="AB12" i="33"/>
  <c r="AB28" i="34"/>
  <c r="U28" i="34"/>
  <c r="C60" i="71"/>
  <c r="D60" i="71" s="1"/>
  <c r="D59" i="71"/>
  <c r="AH49" i="79"/>
  <c r="AH15" i="79"/>
  <c r="W15" i="79"/>
  <c r="AK15" i="79" s="1"/>
  <c r="W47" i="79"/>
  <c r="AK47" i="79" s="1"/>
  <c r="AH47" i="79"/>
  <c r="W37" i="79"/>
  <c r="AK37" i="79" s="1"/>
  <c r="AH37" i="79"/>
  <c r="AB27" i="40"/>
  <c r="W26" i="35"/>
  <c r="AC26" i="35"/>
  <c r="AH9" i="79"/>
  <c r="W9" i="79"/>
  <c r="AK9" i="79"/>
  <c r="S39" i="40"/>
  <c r="AA39" i="40"/>
  <c r="S38" i="40"/>
  <c r="AA38" i="40"/>
  <c r="AB9" i="37"/>
  <c r="U9" i="37"/>
  <c r="AB38" i="40"/>
  <c r="U38" i="40"/>
  <c r="AA9" i="35"/>
  <c r="S9" i="35"/>
  <c r="U12" i="40"/>
  <c r="AB33" i="36"/>
  <c r="U33" i="36"/>
  <c r="AC11" i="36"/>
  <c r="W11" i="36"/>
  <c r="AC30" i="40"/>
  <c r="W30" i="40"/>
  <c r="S23" i="36"/>
  <c r="AA23" i="36"/>
  <c r="W44" i="34"/>
  <c r="U17" i="34"/>
  <c r="AB17" i="34"/>
  <c r="U13" i="35"/>
  <c r="AB13" i="35"/>
  <c r="S45" i="34"/>
  <c r="AA45" i="34"/>
  <c r="AC32" i="34"/>
  <c r="W32" i="34"/>
  <c r="W23" i="34"/>
  <c r="AC23" i="34"/>
  <c r="AA12" i="33"/>
  <c r="S12" i="33"/>
  <c r="AC28" i="34"/>
  <c r="W28" i="34"/>
  <c r="W15" i="34"/>
  <c r="AC15" i="34"/>
  <c r="W51" i="79"/>
  <c r="AK51" i="79" s="1"/>
  <c r="AH51" i="79"/>
  <c r="W39" i="79"/>
  <c r="AK39" i="79"/>
  <c r="D44" i="71"/>
  <c r="T44" i="71"/>
  <c r="AH34" i="79"/>
  <c r="W34" i="79"/>
  <c r="AK34" i="79"/>
  <c r="W50" i="79"/>
  <c r="AK50" i="79"/>
  <c r="AH50" i="79"/>
  <c r="AH16" i="79"/>
  <c r="W16" i="79"/>
  <c r="AK16" i="79"/>
  <c r="AH11" i="79"/>
  <c r="W11" i="79"/>
  <c r="AK11" i="79"/>
  <c r="W44" i="79"/>
  <c r="AK44" i="79"/>
  <c r="AH44" i="79"/>
  <c r="AH38" i="79"/>
  <c r="W38" i="79"/>
  <c r="AK38" i="79"/>
  <c r="AH18" i="79"/>
  <c r="W18" i="79"/>
  <c r="AK18" i="79" s="1"/>
  <c r="W36" i="79"/>
  <c r="AK36" i="79"/>
  <c r="AH36" i="79"/>
  <c r="W41" i="79"/>
  <c r="AK41" i="79" s="1"/>
  <c r="AH41" i="79"/>
  <c r="S32" i="40"/>
  <c r="AA32" i="40"/>
  <c r="S43" i="39"/>
  <c r="AA43" i="39"/>
  <c r="H26" i="35"/>
  <c r="U26" i="35" s="1"/>
  <c r="AA13" i="37"/>
  <c r="S13" i="37"/>
  <c r="U37" i="39"/>
  <c r="AB37" i="39"/>
  <c r="AC12" i="40"/>
  <c r="W12" i="40"/>
  <c r="AB31" i="40"/>
  <c r="U31" i="40"/>
  <c r="S9" i="36"/>
  <c r="AA9" i="36"/>
  <c r="S11" i="36"/>
  <c r="AA11" i="36"/>
  <c r="AC31" i="33"/>
  <c r="W31" i="33"/>
  <c r="AB45" i="21"/>
  <c r="U45" i="21"/>
  <c r="AC12" i="21"/>
  <c r="W12" i="21"/>
  <c r="AB30" i="40"/>
  <c r="U30" i="40"/>
  <c r="AC36" i="39"/>
  <c r="W36" i="39"/>
  <c r="AA13" i="35"/>
  <c r="S13" i="35"/>
  <c r="AC27" i="34"/>
  <c r="W27" i="34"/>
  <c r="S23" i="34"/>
  <c r="AA23" i="34"/>
  <c r="S15" i="34"/>
  <c r="AA15" i="34"/>
  <c r="F91" i="33"/>
  <c r="G91" i="33" s="1"/>
  <c r="H91" i="33" s="1"/>
  <c r="I91" i="33" s="1"/>
  <c r="J91" i="33" s="1"/>
  <c r="K91" i="33" s="1"/>
  <c r="L91" i="33" s="1"/>
  <c r="M91" i="33" s="1"/>
  <c r="H27" i="33"/>
  <c r="AB27" i="33" s="1"/>
  <c r="F28" i="15"/>
  <c r="F30" i="68"/>
  <c r="D68" i="9"/>
  <c r="F48" i="9"/>
  <c r="O52" i="9"/>
  <c r="F60" i="67"/>
  <c r="M18" i="15"/>
  <c r="F31" i="12"/>
  <c r="F30" i="11"/>
  <c r="C48" i="11" s="1"/>
  <c r="F53" i="9"/>
  <c r="F52" i="9"/>
  <c r="M18" i="67"/>
  <c r="F32" i="15"/>
  <c r="F60" i="15" s="1"/>
  <c r="F30" i="69"/>
  <c r="F48" i="69" s="1"/>
  <c r="F54" i="9"/>
  <c r="D122" i="43"/>
  <c r="E122" i="43" s="1"/>
  <c r="F122" i="43" s="1"/>
  <c r="G122" i="43" s="1"/>
  <c r="H122" i="43" s="1"/>
  <c r="D121" i="43"/>
  <c r="E121" i="43"/>
  <c r="F121" i="43" s="1"/>
  <c r="D120" i="43"/>
  <c r="E120" i="43" s="1"/>
  <c r="F120" i="43" s="1"/>
  <c r="G120" i="43" s="1"/>
  <c r="H120" i="43" s="1"/>
  <c r="D119" i="43"/>
  <c r="E119" i="43" s="1"/>
  <c r="F119" i="43" s="1"/>
  <c r="G119" i="43" s="1"/>
  <c r="H119" i="43" s="1"/>
  <c r="E118" i="43"/>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c r="K118" i="43" s="1"/>
  <c r="L118" i="43" s="1"/>
  <c r="M118" i="43" s="1"/>
  <c r="C7" i="39"/>
  <c r="C67" i="39" s="1"/>
  <c r="D67" i="39" s="1"/>
  <c r="E67" i="39" s="1"/>
  <c r="E69" i="39" s="1"/>
  <c r="C7" i="36"/>
  <c r="C46" i="36" s="1"/>
  <c r="C7" i="40"/>
  <c r="C63" i="40" s="1"/>
  <c r="C7" i="21"/>
  <c r="C58" i="21" s="1"/>
  <c r="C7" i="37"/>
  <c r="C52" i="37" s="1"/>
  <c r="M47" i="9"/>
  <c r="C7" i="35"/>
  <c r="C48" i="35" s="1"/>
  <c r="D48" i="35" s="1"/>
  <c r="C7" i="33"/>
  <c r="C58" i="33" s="1"/>
  <c r="D58" i="33" s="1"/>
  <c r="E58" i="33" s="1"/>
  <c r="C7" i="34"/>
  <c r="C59" i="34" s="1"/>
  <c r="T32" i="71"/>
  <c r="Q66" i="71"/>
  <c r="P66" i="71"/>
  <c r="P65" i="71"/>
  <c r="T60" i="71"/>
  <c r="AA26" i="35"/>
  <c r="T52" i="71"/>
  <c r="T64" i="71"/>
  <c r="T40" i="71"/>
  <c r="E38" i="77"/>
  <c r="E39" i="77"/>
  <c r="C21" i="71"/>
  <c r="D21" i="71" s="1"/>
  <c r="D22" i="71"/>
  <c r="D58" i="21"/>
  <c r="E58" i="21" s="1"/>
  <c r="F58" i="21" s="1"/>
  <c r="G58" i="21" s="1"/>
  <c r="H58" i="21" s="1"/>
  <c r="I58" i="21" s="1"/>
  <c r="J58" i="21" s="1"/>
  <c r="K58" i="21" s="1"/>
  <c r="L58" i="21" s="1"/>
  <c r="M58" i="21" s="1"/>
  <c r="N58" i="21" s="1"/>
  <c r="O58" i="21" s="1"/>
  <c r="C69" i="39"/>
  <c r="C20" i="71"/>
  <c r="C19" i="71" s="1"/>
  <c r="C19" i="69"/>
  <c r="R26" i="31"/>
  <c r="S26" i="31" s="1"/>
  <c r="R27" i="31"/>
  <c r="S27" i="31" s="1"/>
  <c r="D2" i="34"/>
  <c r="B9" i="76"/>
  <c r="E2" i="69"/>
  <c r="F38" i="15"/>
  <c r="F40" i="15"/>
  <c r="M28" i="67"/>
  <c r="M29" i="15"/>
  <c r="M24" i="67"/>
  <c r="D34" i="9"/>
  <c r="F40" i="67"/>
  <c r="F41" i="15"/>
  <c r="E10" i="76"/>
  <c r="C14" i="15"/>
  <c r="M26" i="15"/>
  <c r="M9" i="67"/>
  <c r="F26" i="15"/>
  <c r="J15" i="67"/>
  <c r="F42" i="15"/>
  <c r="M9" i="15"/>
  <c r="D2" i="33"/>
  <c r="B13" i="76"/>
  <c r="AO12" i="1"/>
  <c r="F8" i="15"/>
  <c r="AO13" i="1"/>
  <c r="F7" i="73"/>
  <c r="M21" i="15"/>
  <c r="M27" i="67"/>
  <c r="F43" i="15"/>
  <c r="B10" i="76"/>
  <c r="M28" i="15"/>
  <c r="D35" i="9"/>
  <c r="M26" i="67"/>
  <c r="F26" i="67"/>
  <c r="E11" i="76"/>
  <c r="D2" i="35"/>
  <c r="F5" i="73"/>
  <c r="F8" i="67"/>
  <c r="D2" i="21"/>
  <c r="F6" i="73"/>
  <c r="C76" i="15"/>
  <c r="F37" i="67"/>
  <c r="F3" i="73"/>
  <c r="M22" i="15"/>
  <c r="F6" i="67"/>
  <c r="M8" i="15"/>
  <c r="F36" i="15"/>
  <c r="E7" i="76"/>
  <c r="L47" i="15"/>
  <c r="F37" i="15"/>
  <c r="B12" i="76"/>
  <c r="F36" i="67"/>
  <c r="C76" i="67"/>
  <c r="F35" i="15"/>
  <c r="AO7" i="1"/>
  <c r="E12" i="76"/>
  <c r="AO11" i="1"/>
  <c r="M23" i="67"/>
  <c r="D2" i="36"/>
  <c r="E8" i="76"/>
  <c r="F13" i="15"/>
  <c r="F38" i="67"/>
  <c r="M23" i="15"/>
  <c r="F6" i="15"/>
  <c r="E13" i="76"/>
  <c r="L47" i="67"/>
  <c r="B7" i="76"/>
  <c r="F9" i="67"/>
  <c r="M22" i="67"/>
  <c r="M6" i="67"/>
  <c r="F9" i="15"/>
  <c r="M6" i="15"/>
  <c r="F16" i="67"/>
  <c r="M27" i="15"/>
  <c r="F20" i="31"/>
  <c r="F7" i="15"/>
  <c r="AO9" i="1"/>
  <c r="L48" i="15"/>
  <c r="B11" i="76"/>
  <c r="E9" i="76"/>
  <c r="B8" i="76"/>
  <c r="E2" i="68"/>
  <c r="M8" i="67"/>
  <c r="AO10" i="1"/>
  <c r="J15" i="15"/>
  <c r="F4" i="73"/>
  <c r="M24" i="15"/>
  <c r="F16" i="15"/>
  <c r="AO8" i="1"/>
  <c r="D2" i="37"/>
  <c r="F42" i="67"/>
  <c r="B3" i="36" l="1"/>
  <c r="T11" i="1"/>
  <c r="J1" i="73"/>
  <c r="D69" i="39"/>
  <c r="F67" i="39"/>
  <c r="C5" i="78"/>
  <c r="D5" i="78" s="1"/>
  <c r="C7" i="78"/>
  <c r="D7" i="78" s="1"/>
  <c r="B15" i="71"/>
  <c r="B14" i="71" s="1"/>
  <c r="B13" i="71" s="1"/>
  <c r="B12" i="71" s="1"/>
  <c r="S16" i="71"/>
  <c r="D19" i="71"/>
  <c r="C18" i="71"/>
  <c r="B2" i="77"/>
  <c r="B3" i="77" s="1"/>
  <c r="C41" i="77"/>
  <c r="D59" i="34"/>
  <c r="E59" i="34" s="1"/>
  <c r="F59" i="34" s="1"/>
  <c r="G59" i="34" s="1"/>
  <c r="H59" i="34" s="1"/>
  <c r="I59" i="34" s="1"/>
  <c r="J59" i="34" s="1"/>
  <c r="K59" i="34" s="1"/>
  <c r="L59" i="34" s="1"/>
  <c r="M59" i="34" s="1"/>
  <c r="N59" i="34" s="1"/>
  <c r="O59" i="34" s="1"/>
  <c r="D20" i="71"/>
  <c r="U20" i="71" s="1"/>
  <c r="U27" i="33"/>
  <c r="E26" i="77"/>
  <c r="E32" i="77" s="1"/>
  <c r="AH6" i="79"/>
  <c r="BF5" i="3"/>
  <c r="BR5" i="3"/>
  <c r="G28" i="6" s="1"/>
  <c r="BA19" i="3"/>
  <c r="AZ19" i="3" s="1"/>
  <c r="BA38" i="3"/>
  <c r="AZ38" i="3" s="1"/>
  <c r="C30" i="11"/>
  <c r="T20" i="71"/>
  <c r="F48" i="68"/>
  <c r="BA16" i="3"/>
  <c r="G17" i="3"/>
  <c r="H5" i="3"/>
  <c r="AZ23" i="3"/>
  <c r="G24" i="78"/>
  <c r="F25" i="78"/>
  <c r="G25" i="78" s="1"/>
  <c r="BJ5" i="3"/>
  <c r="AZ25" i="3"/>
  <c r="BL19" i="3"/>
  <c r="W39" i="40"/>
  <c r="BM5" i="3"/>
  <c r="F29" i="6" s="1"/>
  <c r="BL15" i="3"/>
  <c r="AZ15" i="3" s="1"/>
  <c r="BL21" i="3"/>
  <c r="BQ5" i="3"/>
  <c r="AZ64" i="3"/>
  <c r="AZ102" i="3"/>
  <c r="AZ112" i="3"/>
  <c r="E29" i="77"/>
  <c r="AB26" i="35"/>
  <c r="F34" i="34"/>
  <c r="S34" i="34" s="1"/>
  <c r="U30" i="21"/>
  <c r="U15" i="34"/>
  <c r="BL16" i="3"/>
  <c r="AZ59" i="3"/>
  <c r="AZ61" i="3"/>
  <c r="AZ67" i="3"/>
  <c r="AA19" i="33"/>
  <c r="S19" i="33"/>
  <c r="BP5" i="3"/>
  <c r="AZ49" i="3"/>
  <c r="BH5" i="3"/>
  <c r="AZ88" i="3"/>
  <c r="BI5" i="3"/>
  <c r="BA41" i="3"/>
  <c r="AZ41" i="3" s="1"/>
  <c r="BA42" i="3"/>
  <c r="AZ42" i="3" s="1"/>
  <c r="BA43" i="3"/>
  <c r="AZ43" i="3" s="1"/>
  <c r="BA45" i="3"/>
  <c r="AZ45" i="3" s="1"/>
  <c r="BL47" i="3"/>
  <c r="AZ47" i="3" s="1"/>
  <c r="BL51" i="3"/>
  <c r="BL84" i="3"/>
  <c r="AZ84" i="3" s="1"/>
  <c r="AZ87" i="3"/>
  <c r="BL103" i="3"/>
  <c r="AZ103" i="3" s="1"/>
  <c r="BA108" i="3"/>
  <c r="AZ108" i="3" s="1"/>
  <c r="BA111" i="3"/>
  <c r="AZ111" i="3" s="1"/>
  <c r="BL246" i="3"/>
  <c r="AZ246" i="3" s="1"/>
  <c r="K5" i="4"/>
  <c r="B47" i="48" s="1"/>
  <c r="BL18" i="3"/>
  <c r="BA46" i="3"/>
  <c r="AZ46" i="3" s="1"/>
  <c r="BA50" i="3"/>
  <c r="AZ50" i="3" s="1"/>
  <c r="BA51" i="3"/>
  <c r="BL55" i="3"/>
  <c r="BA104" i="3"/>
  <c r="AZ104" i="3" s="1"/>
  <c r="AZ128" i="3"/>
  <c r="C51" i="78"/>
  <c r="C56" i="78" s="1"/>
  <c r="C58" i="78" s="1"/>
  <c r="BA18" i="3"/>
  <c r="AZ101" i="3"/>
  <c r="AZ248" i="3"/>
  <c r="BS5" i="3"/>
  <c r="BE5" i="3"/>
  <c r="BA55" i="3"/>
  <c r="AZ55" i="3" s="1"/>
  <c r="G64" i="3"/>
  <c r="BA79" i="3"/>
  <c r="AZ79" i="3" s="1"/>
  <c r="BA80" i="3"/>
  <c r="AZ80" i="3" s="1"/>
  <c r="BA82" i="3"/>
  <c r="AZ82" i="3" s="1"/>
  <c r="BA100" i="3"/>
  <c r="AZ100" i="3" s="1"/>
  <c r="BA144" i="3"/>
  <c r="AZ144" i="3" s="1"/>
  <c r="AZ145" i="3"/>
  <c r="AZ152" i="3"/>
  <c r="BL163" i="3"/>
  <c r="BA166" i="3"/>
  <c r="AZ166" i="3" s="1"/>
  <c r="BT5" i="3"/>
  <c r="BA17" i="3"/>
  <c r="AZ17" i="3" s="1"/>
  <c r="BA21" i="3"/>
  <c r="BL76" i="3"/>
  <c r="AZ99" i="3"/>
  <c r="BL119" i="3"/>
  <c r="BA121" i="3"/>
  <c r="AZ121" i="3" s="1"/>
  <c r="BA292" i="3"/>
  <c r="AZ292" i="3" s="1"/>
  <c r="AA8" i="71"/>
  <c r="BC5" i="3"/>
  <c r="BL13" i="3"/>
  <c r="G14" i="3"/>
  <c r="BA20" i="3"/>
  <c r="AZ20" i="3" s="1"/>
  <c r="BL34" i="3"/>
  <c r="AZ34" i="3" s="1"/>
  <c r="BL35" i="3"/>
  <c r="AZ35" i="3" s="1"/>
  <c r="BL57" i="3"/>
  <c r="AZ57" i="3" s="1"/>
  <c r="BL60" i="3"/>
  <c r="BL65" i="3"/>
  <c r="BL66" i="3"/>
  <c r="BL72" i="3"/>
  <c r="BL73" i="3"/>
  <c r="AZ73" i="3" s="1"/>
  <c r="BA76" i="3"/>
  <c r="BA78" i="3"/>
  <c r="AZ78" i="3" s="1"/>
  <c r="BA97" i="3"/>
  <c r="AZ97" i="3" s="1"/>
  <c r="BA98" i="3"/>
  <c r="AZ98" i="3" s="1"/>
  <c r="BA119" i="3"/>
  <c r="AZ119" i="3" s="1"/>
  <c r="BA139" i="3"/>
  <c r="AZ139" i="3" s="1"/>
  <c r="F78" i="34"/>
  <c r="G78" i="34" s="1"/>
  <c r="BD5" i="3"/>
  <c r="BA22" i="3"/>
  <c r="AZ22" i="3" s="1"/>
  <c r="BL31" i="3"/>
  <c r="AZ31" i="3" s="1"/>
  <c r="BL32" i="3"/>
  <c r="BL33" i="3"/>
  <c r="AZ33" i="3" s="1"/>
  <c r="BL37" i="3"/>
  <c r="AZ37" i="3" s="1"/>
  <c r="BL38" i="3"/>
  <c r="BA66" i="3"/>
  <c r="BL92" i="3"/>
  <c r="BA95" i="3"/>
  <c r="AZ95" i="3" s="1"/>
  <c r="BA118" i="3"/>
  <c r="AZ118" i="3" s="1"/>
  <c r="BL134" i="3"/>
  <c r="AZ134" i="3" s="1"/>
  <c r="BN5" i="3"/>
  <c r="G29" i="6" s="1"/>
  <c r="BL24" i="3"/>
  <c r="BL25" i="3"/>
  <c r="BL26" i="3"/>
  <c r="AZ26" i="3" s="1"/>
  <c r="BL28" i="3"/>
  <c r="BL29" i="3"/>
  <c r="AZ29" i="3" s="1"/>
  <c r="BA32" i="3"/>
  <c r="G42" i="3"/>
  <c r="G45" i="3"/>
  <c r="BL59" i="3"/>
  <c r="BA60" i="3"/>
  <c r="AZ60" i="3" s="1"/>
  <c r="BL62" i="3"/>
  <c r="AZ62" i="3" s="1"/>
  <c r="BL63" i="3"/>
  <c r="BL68" i="3"/>
  <c r="BA69" i="3"/>
  <c r="BL69" i="3"/>
  <c r="BA71" i="3"/>
  <c r="AZ71" i="3" s="1"/>
  <c r="BA72" i="3"/>
  <c r="AZ72" i="3" s="1"/>
  <c r="BA75" i="3"/>
  <c r="AZ75" i="3" s="1"/>
  <c r="BA93" i="3"/>
  <c r="AZ93" i="3" s="1"/>
  <c r="BA94" i="3"/>
  <c r="AZ94" i="3" s="1"/>
  <c r="BA116" i="3"/>
  <c r="AZ116" i="3" s="1"/>
  <c r="BA117" i="3"/>
  <c r="AZ117" i="3" s="1"/>
  <c r="BA65" i="3"/>
  <c r="AZ65" i="3" s="1"/>
  <c r="BA68" i="3"/>
  <c r="BA70" i="3"/>
  <c r="AZ70" i="3" s="1"/>
  <c r="BA96" i="3"/>
  <c r="AZ96" i="3" s="1"/>
  <c r="BA115" i="3"/>
  <c r="AZ115" i="3" s="1"/>
  <c r="AZ195" i="3"/>
  <c r="B55" i="78"/>
  <c r="D55" i="78" s="1"/>
  <c r="D56" i="78" s="1"/>
  <c r="BL14" i="3"/>
  <c r="AZ14" i="3" s="1"/>
  <c r="G18" i="3"/>
  <c r="BA24" i="3"/>
  <c r="AZ24" i="3" s="1"/>
  <c r="BA28" i="3"/>
  <c r="BA30" i="3"/>
  <c r="AZ30" i="3" s="1"/>
  <c r="BL48" i="3"/>
  <c r="AZ48" i="3" s="1"/>
  <c r="BA63" i="3"/>
  <c r="BL64" i="3"/>
  <c r="BL88" i="3"/>
  <c r="BA90" i="3"/>
  <c r="AZ90" i="3" s="1"/>
  <c r="BA92" i="3"/>
  <c r="BA114" i="3"/>
  <c r="AZ114" i="3" s="1"/>
  <c r="BA131" i="3"/>
  <c r="AZ131" i="3" s="1"/>
  <c r="AZ179" i="3"/>
  <c r="AZ180" i="3"/>
  <c r="AZ359" i="3"/>
  <c r="BA125" i="3"/>
  <c r="AZ125" i="3" s="1"/>
  <c r="BA162" i="3"/>
  <c r="AZ162" i="3" s="1"/>
  <c r="BL191" i="3"/>
  <c r="AZ191" i="3" s="1"/>
  <c r="BA192" i="3"/>
  <c r="AZ192" i="3" s="1"/>
  <c r="BA264" i="3"/>
  <c r="BA297" i="3"/>
  <c r="AZ297" i="3" s="1"/>
  <c r="BA344" i="3"/>
  <c r="AZ344" i="3" s="1"/>
  <c r="BL363" i="3"/>
  <c r="AZ363" i="3" s="1"/>
  <c r="BL133" i="3"/>
  <c r="AZ133" i="3" s="1"/>
  <c r="G147" i="3"/>
  <c r="BA165" i="3"/>
  <c r="AZ165" i="3" s="1"/>
  <c r="BL190" i="3"/>
  <c r="AZ190" i="3" s="1"/>
  <c r="AZ241" i="3"/>
  <c r="AZ276" i="3"/>
  <c r="AZ296" i="3"/>
  <c r="AZ318" i="3"/>
  <c r="AZ342" i="3"/>
  <c r="AZ361" i="3"/>
  <c r="AZ362" i="3"/>
  <c r="AZ375" i="3"/>
  <c r="AZ453" i="3"/>
  <c r="AZ492" i="3"/>
  <c r="I4" i="6"/>
  <c r="G120" i="3"/>
  <c r="BL141" i="3"/>
  <c r="BL143" i="3"/>
  <c r="AZ143" i="3" s="1"/>
  <c r="G153" i="3"/>
  <c r="BL167" i="3"/>
  <c r="AZ167" i="3" s="1"/>
  <c r="BL187" i="3"/>
  <c r="BL206" i="3"/>
  <c r="BL217" i="3"/>
  <c r="BL219" i="3"/>
  <c r="AZ219" i="3" s="1"/>
  <c r="BA221" i="3"/>
  <c r="AZ221" i="3" s="1"/>
  <c r="BL233" i="3"/>
  <c r="BL235" i="3"/>
  <c r="BA240" i="3"/>
  <c r="AZ240" i="3" s="1"/>
  <c r="BL240" i="3"/>
  <c r="BA243" i="3"/>
  <c r="AZ243" i="3" s="1"/>
  <c r="BA245" i="3"/>
  <c r="AZ245" i="3" s="1"/>
  <c r="BL270" i="3"/>
  <c r="BA272" i="3"/>
  <c r="AZ272" i="3" s="1"/>
  <c r="BA299" i="3"/>
  <c r="AZ299" i="3" s="1"/>
  <c r="BL307" i="3"/>
  <c r="AZ307" i="3" s="1"/>
  <c r="BA308" i="3"/>
  <c r="AZ308" i="3" s="1"/>
  <c r="BA340" i="3"/>
  <c r="BA358" i="3"/>
  <c r="AZ358" i="3" s="1"/>
  <c r="BA385" i="3"/>
  <c r="BA137" i="3"/>
  <c r="AZ137" i="3" s="1"/>
  <c r="BA140" i="3"/>
  <c r="AZ140" i="3" s="1"/>
  <c r="BA141" i="3"/>
  <c r="AZ141" i="3" s="1"/>
  <c r="AZ187" i="3"/>
  <c r="BL216" i="3"/>
  <c r="BA220" i="3"/>
  <c r="AZ220" i="3" s="1"/>
  <c r="BA262" i="3"/>
  <c r="AZ262" i="3" s="1"/>
  <c r="BA309" i="3"/>
  <c r="AZ309" i="3" s="1"/>
  <c r="AZ311" i="3"/>
  <c r="BL333" i="3"/>
  <c r="AZ333" i="3" s="1"/>
  <c r="BL340" i="3"/>
  <c r="BA353" i="3"/>
  <c r="AZ448" i="3"/>
  <c r="G124" i="3"/>
  <c r="BA138" i="3"/>
  <c r="AZ138" i="3" s="1"/>
  <c r="BA142" i="3"/>
  <c r="AZ142" i="3" s="1"/>
  <c r="BA185" i="3"/>
  <c r="AZ185" i="3" s="1"/>
  <c r="BL200" i="3"/>
  <c r="BL201" i="3"/>
  <c r="BA205" i="3"/>
  <c r="AZ205" i="3" s="1"/>
  <c r="BL211" i="3"/>
  <c r="AZ211" i="3" s="1"/>
  <c r="BL212" i="3"/>
  <c r="AZ212" i="3" s="1"/>
  <c r="BA218" i="3"/>
  <c r="AZ218" i="3" s="1"/>
  <c r="BA222" i="3"/>
  <c r="AZ222" i="3" s="1"/>
  <c r="BL229" i="3"/>
  <c r="BL230" i="3"/>
  <c r="AZ230" i="3" s="1"/>
  <c r="BL231" i="3"/>
  <c r="AZ231" i="3" s="1"/>
  <c r="BA235" i="3"/>
  <c r="AZ236" i="3"/>
  <c r="BA270" i="3"/>
  <c r="AZ270" i="3" s="1"/>
  <c r="BL304" i="3"/>
  <c r="BL314" i="3"/>
  <c r="BL315" i="3"/>
  <c r="BL331" i="3"/>
  <c r="AZ331" i="3" s="1"/>
  <c r="BL351" i="3"/>
  <c r="AZ351" i="3" s="1"/>
  <c r="AZ356" i="3"/>
  <c r="G122" i="3"/>
  <c r="G130" i="3"/>
  <c r="BL148" i="3"/>
  <c r="BL149" i="3"/>
  <c r="BL179" i="3"/>
  <c r="BL182" i="3"/>
  <c r="BL183" i="3"/>
  <c r="AZ183" i="3" s="1"/>
  <c r="BA184" i="3"/>
  <c r="AZ184" i="3" s="1"/>
  <c r="BA189" i="3"/>
  <c r="AZ189" i="3" s="1"/>
  <c r="BL196" i="3"/>
  <c r="AZ196" i="3" s="1"/>
  <c r="BA203" i="3"/>
  <c r="AZ203" i="3" s="1"/>
  <c r="BA206" i="3"/>
  <c r="BL213" i="3"/>
  <c r="AZ213" i="3" s="1"/>
  <c r="BL228" i="3"/>
  <c r="BA232" i="3"/>
  <c r="AZ232" i="3" s="1"/>
  <c r="BA233" i="3"/>
  <c r="BA244" i="3"/>
  <c r="AZ244" i="3" s="1"/>
  <c r="BA269" i="3"/>
  <c r="AZ269" i="3" s="1"/>
  <c r="BL330" i="3"/>
  <c r="BA336" i="3"/>
  <c r="BL350" i="3"/>
  <c r="BA149" i="3"/>
  <c r="AZ149" i="3" s="1"/>
  <c r="BL151" i="3"/>
  <c r="AZ151" i="3" s="1"/>
  <c r="BL152" i="3"/>
  <c r="BL157" i="3"/>
  <c r="AZ157" i="3" s="1"/>
  <c r="BL177" i="3"/>
  <c r="BL195" i="3"/>
  <c r="BA198" i="3"/>
  <c r="AZ198" i="3" s="1"/>
  <c r="BA200" i="3"/>
  <c r="BA209" i="3"/>
  <c r="AZ209" i="3" s="1"/>
  <c r="BA216" i="3"/>
  <c r="AZ216" i="3" s="1"/>
  <c r="BL267" i="3"/>
  <c r="AZ267" i="3" s="1"/>
  <c r="BA268" i="3"/>
  <c r="AZ268" i="3" s="1"/>
  <c r="BL301" i="3"/>
  <c r="BA304" i="3"/>
  <c r="BL305" i="3"/>
  <c r="BA313" i="3"/>
  <c r="AZ313" i="3" s="1"/>
  <c r="BA315" i="3"/>
  <c r="BA330" i="3"/>
  <c r="BA350" i="3"/>
  <c r="BA383" i="3"/>
  <c r="AZ383" i="3" s="1"/>
  <c r="BA146" i="3"/>
  <c r="AZ146" i="3" s="1"/>
  <c r="BA148" i="3"/>
  <c r="AZ148" i="3" s="1"/>
  <c r="BL156" i="3"/>
  <c r="BA182" i="3"/>
  <c r="AZ182" i="3" s="1"/>
  <c r="BL199" i="3"/>
  <c r="AZ199" i="3" s="1"/>
  <c r="BA201" i="3"/>
  <c r="BA204" i="3"/>
  <c r="AZ204" i="3" s="1"/>
  <c r="BA217" i="3"/>
  <c r="AZ217" i="3" s="1"/>
  <c r="BL227" i="3"/>
  <c r="BA228" i="3"/>
  <c r="BA229" i="3"/>
  <c r="AZ229" i="3" s="1"/>
  <c r="BL268" i="3"/>
  <c r="BL278" i="3"/>
  <c r="BA293" i="3"/>
  <c r="AZ293" i="3" s="1"/>
  <c r="BA301" i="3"/>
  <c r="AZ301" i="3" s="1"/>
  <c r="BA302" i="3"/>
  <c r="AZ302" i="3" s="1"/>
  <c r="BA305" i="3"/>
  <c r="AZ305" i="3" s="1"/>
  <c r="BA310" i="3"/>
  <c r="AZ310" i="3" s="1"/>
  <c r="AZ316" i="3"/>
  <c r="BL319" i="3"/>
  <c r="BL324" i="3"/>
  <c r="BA349" i="3"/>
  <c r="BL378" i="3"/>
  <c r="AZ378" i="3" s="1"/>
  <c r="BL382" i="3"/>
  <c r="AZ382" i="3" s="1"/>
  <c r="AZ467" i="3"/>
  <c r="G135" i="3"/>
  <c r="G139" i="3"/>
  <c r="G5" i="3" s="1"/>
  <c r="B3" i="3" s="1"/>
  <c r="BA155" i="3"/>
  <c r="AZ155" i="3" s="1"/>
  <c r="BA156" i="3"/>
  <c r="AZ169" i="3"/>
  <c r="BL172" i="3"/>
  <c r="AZ174" i="3"/>
  <c r="BA177" i="3"/>
  <c r="BL193" i="3"/>
  <c r="AZ193" i="3" s="1"/>
  <c r="BA194" i="3"/>
  <c r="AZ194" i="3" s="1"/>
  <c r="BA227" i="3"/>
  <c r="AZ227" i="3" s="1"/>
  <c r="BL245" i="3"/>
  <c r="BL263" i="3"/>
  <c r="AZ263" i="3" s="1"/>
  <c r="BL264" i="3"/>
  <c r="BA265" i="3"/>
  <c r="AZ265" i="3" s="1"/>
  <c r="BA266" i="3"/>
  <c r="AZ266" i="3" s="1"/>
  <c r="BA271" i="3"/>
  <c r="AZ271" i="3" s="1"/>
  <c r="G272" i="3"/>
  <c r="BL276" i="3"/>
  <c r="BL300" i="3"/>
  <c r="AZ300" i="3" s="1"/>
  <c r="BA319" i="3"/>
  <c r="BA325" i="3"/>
  <c r="AZ325" i="3" s="1"/>
  <c r="AZ326" i="3"/>
  <c r="AZ346" i="3"/>
  <c r="BL379" i="3"/>
  <c r="BA381" i="3"/>
  <c r="AZ381" i="3" s="1"/>
  <c r="BL493" i="3"/>
  <c r="BA129" i="3"/>
  <c r="AZ129" i="3" s="1"/>
  <c r="BA130" i="3"/>
  <c r="AZ130" i="3" s="1"/>
  <c r="BL131" i="3"/>
  <c r="G141" i="3"/>
  <c r="BL161" i="3"/>
  <c r="AZ161" i="3" s="1"/>
  <c r="BA163" i="3"/>
  <c r="AZ163" i="3" s="1"/>
  <c r="BA164" i="3"/>
  <c r="AZ164" i="3" s="1"/>
  <c r="BA168" i="3"/>
  <c r="AZ168" i="3" s="1"/>
  <c r="AZ172" i="3"/>
  <c r="BA173" i="3"/>
  <c r="AZ173" i="3" s="1"/>
  <c r="BA178" i="3"/>
  <c r="AZ178" i="3" s="1"/>
  <c r="BL223" i="3"/>
  <c r="AZ223" i="3" s="1"/>
  <c r="BL224" i="3"/>
  <c r="AZ224" i="3" s="1"/>
  <c r="BL257" i="3"/>
  <c r="AZ257" i="3" s="1"/>
  <c r="BL274" i="3"/>
  <c r="AZ274" i="3" s="1"/>
  <c r="BA278" i="3"/>
  <c r="BL289" i="3"/>
  <c r="AZ289" i="3" s="1"/>
  <c r="BL295" i="3"/>
  <c r="AZ295" i="3" s="1"/>
  <c r="BL296" i="3"/>
  <c r="BA314" i="3"/>
  <c r="AZ314" i="3" s="1"/>
  <c r="AZ321" i="3"/>
  <c r="AZ324" i="3"/>
  <c r="BL325" i="3"/>
  <c r="BL364" i="3"/>
  <c r="BL366" i="3"/>
  <c r="BA379" i="3"/>
  <c r="BL409" i="3"/>
  <c r="AZ409" i="3" s="1"/>
  <c r="BL410" i="3"/>
  <c r="BL411" i="3"/>
  <c r="AZ411" i="3" s="1"/>
  <c r="BA423" i="3"/>
  <c r="AZ423" i="3" s="1"/>
  <c r="BL438" i="3"/>
  <c r="BL463" i="3"/>
  <c r="AZ463" i="3" s="1"/>
  <c r="AZ471" i="3"/>
  <c r="AZ475" i="3"/>
  <c r="AZ488" i="3"/>
  <c r="BA322" i="3"/>
  <c r="AZ322" i="3" s="1"/>
  <c r="BA323" i="3"/>
  <c r="AZ323" i="3" s="1"/>
  <c r="BL336" i="3"/>
  <c r="BL348" i="3"/>
  <c r="BL349" i="3"/>
  <c r="BL403" i="3"/>
  <c r="AZ403" i="3" s="1"/>
  <c r="BA410" i="3"/>
  <c r="BA412" i="3"/>
  <c r="AZ412" i="3" s="1"/>
  <c r="G428" i="3"/>
  <c r="AZ438" i="3"/>
  <c r="BA441" i="3"/>
  <c r="BA443" i="3"/>
  <c r="AZ443" i="3" s="1"/>
  <c r="G333" i="3"/>
  <c r="BL338" i="3"/>
  <c r="BL339" i="3"/>
  <c r="G342" i="3"/>
  <c r="BA376" i="3"/>
  <c r="AZ376" i="3" s="1"/>
  <c r="BL435" i="3"/>
  <c r="BA437" i="3"/>
  <c r="AZ437" i="3" s="1"/>
  <c r="BA348" i="3"/>
  <c r="BL354" i="3"/>
  <c r="BL355" i="3"/>
  <c r="G362" i="3"/>
  <c r="BL380" i="3"/>
  <c r="BL381" i="3"/>
  <c r="BL388" i="3"/>
  <c r="BL389" i="3"/>
  <c r="BL393" i="3"/>
  <c r="BL397" i="3"/>
  <c r="BL401" i="3"/>
  <c r="BL405" i="3"/>
  <c r="BL406" i="3"/>
  <c r="BA408" i="3"/>
  <c r="AZ408" i="3" s="1"/>
  <c r="BL432" i="3"/>
  <c r="AZ466" i="3"/>
  <c r="BA338" i="3"/>
  <c r="AZ338" i="3" s="1"/>
  <c r="BA339" i="3"/>
  <c r="AZ339" i="3" s="1"/>
  <c r="BL352" i="3"/>
  <c r="BL353" i="3"/>
  <c r="BL384" i="3"/>
  <c r="BL385" i="3"/>
  <c r="BL392" i="3"/>
  <c r="BL396" i="3"/>
  <c r="BL400" i="3"/>
  <c r="BA404" i="3"/>
  <c r="AZ404" i="3" s="1"/>
  <c r="BA406" i="3"/>
  <c r="AZ406" i="3" s="1"/>
  <c r="BA435" i="3"/>
  <c r="BL455" i="3"/>
  <c r="AZ459" i="3"/>
  <c r="AZ465" i="3"/>
  <c r="G321" i="3"/>
  <c r="G345" i="3"/>
  <c r="G346" i="3"/>
  <c r="BA354" i="3"/>
  <c r="BA355" i="3"/>
  <c r="BA380" i="3"/>
  <c r="AZ380" i="3" s="1"/>
  <c r="BA386" i="3"/>
  <c r="AZ386" i="3" s="1"/>
  <c r="BA387" i="3"/>
  <c r="AZ387" i="3" s="1"/>
  <c r="BA389" i="3"/>
  <c r="BA393" i="3"/>
  <c r="AZ393" i="3" s="1"/>
  <c r="BA397" i="3"/>
  <c r="BA401" i="3"/>
  <c r="BA405" i="3"/>
  <c r="AZ405" i="3" s="1"/>
  <c r="BL418" i="3"/>
  <c r="BL419" i="3"/>
  <c r="BL427" i="3"/>
  <c r="BA429" i="3"/>
  <c r="BA458" i="3"/>
  <c r="AZ458" i="3" s="1"/>
  <c r="BL332" i="3"/>
  <c r="AZ332" i="3" s="1"/>
  <c r="BL341" i="3"/>
  <c r="AZ341" i="3" s="1"/>
  <c r="BA352" i="3"/>
  <c r="BA384" i="3"/>
  <c r="AZ384" i="3" s="1"/>
  <c r="BA392" i="3"/>
  <c r="AZ392" i="3" s="1"/>
  <c r="BA400" i="3"/>
  <c r="AZ400" i="3" s="1"/>
  <c r="BA455" i="3"/>
  <c r="AZ455" i="3" s="1"/>
  <c r="BA457" i="3"/>
  <c r="BL357" i="3"/>
  <c r="AZ357" i="3" s="1"/>
  <c r="BL358" i="3"/>
  <c r="BL360" i="3"/>
  <c r="BL361" i="3"/>
  <c r="BL362" i="3"/>
  <c r="BL370" i="3"/>
  <c r="AZ370" i="3" s="1"/>
  <c r="BL371" i="3"/>
  <c r="G375" i="3"/>
  <c r="BL383" i="3"/>
  <c r="BA388" i="3"/>
  <c r="AZ388" i="3" s="1"/>
  <c r="BA396" i="3"/>
  <c r="AZ396" i="3" s="1"/>
  <c r="BA418" i="3"/>
  <c r="BA419" i="3"/>
  <c r="BL425" i="3"/>
  <c r="AZ425" i="3" s="1"/>
  <c r="BA427" i="3"/>
  <c r="AZ427" i="3" s="1"/>
  <c r="BL449" i="3"/>
  <c r="BA451" i="3"/>
  <c r="AZ451" i="3" s="1"/>
  <c r="BA454" i="3"/>
  <c r="AZ454" i="3" s="1"/>
  <c r="AZ461" i="3"/>
  <c r="BL478" i="3"/>
  <c r="AZ478" i="3" s="1"/>
  <c r="BA360" i="3"/>
  <c r="AZ365" i="3"/>
  <c r="BA366" i="3"/>
  <c r="AZ366" i="3" s="1"/>
  <c r="AZ369" i="3"/>
  <c r="BA371" i="3"/>
  <c r="BL414" i="3"/>
  <c r="BL415" i="3"/>
  <c r="AZ415" i="3" s="1"/>
  <c r="AZ450" i="3"/>
  <c r="AZ493" i="3"/>
  <c r="W25" i="33"/>
  <c r="AC25" i="33"/>
  <c r="U37" i="33"/>
  <c r="AB37" i="33"/>
  <c r="BL328" i="3"/>
  <c r="AZ328" i="3" s="1"/>
  <c r="G351" i="3"/>
  <c r="BA364" i="3"/>
  <c r="AZ364" i="3" s="1"/>
  <c r="BA368" i="3"/>
  <c r="AZ368" i="3" s="1"/>
  <c r="BL373" i="3"/>
  <c r="AZ373" i="3" s="1"/>
  <c r="AZ414" i="3"/>
  <c r="G436" i="3"/>
  <c r="AZ446" i="3"/>
  <c r="BA432" i="3"/>
  <c r="AZ432" i="3" s="1"/>
  <c r="BA440" i="3"/>
  <c r="AZ440" i="3" s="1"/>
  <c r="BA468" i="3"/>
  <c r="BA484" i="3"/>
  <c r="AZ484" i="3" s="1"/>
  <c r="AZ527" i="3"/>
  <c r="BL452" i="3"/>
  <c r="BL453" i="3"/>
  <c r="BL487" i="3"/>
  <c r="BL491" i="3"/>
  <c r="BL492" i="3"/>
  <c r="BA504" i="3"/>
  <c r="AZ504" i="3" s="1"/>
  <c r="BA524" i="3"/>
  <c r="AZ524" i="3" s="1"/>
  <c r="AZ526" i="3"/>
  <c r="AZ531" i="3"/>
  <c r="BL541" i="3"/>
  <c r="AZ541" i="3" s="1"/>
  <c r="K8" i="1"/>
  <c r="M8" i="1" s="1"/>
  <c r="B8" i="1"/>
  <c r="E8" i="1" s="1"/>
  <c r="R8" i="1"/>
  <c r="S8" i="1"/>
  <c r="T8" i="1" s="1"/>
  <c r="J47" i="34"/>
  <c r="H47" i="34"/>
  <c r="F47" i="34"/>
  <c r="W8" i="21"/>
  <c r="AC8" i="21"/>
  <c r="BL428" i="3"/>
  <c r="BA460" i="3"/>
  <c r="AZ460" i="3" s="1"/>
  <c r="BL472" i="3"/>
  <c r="BL473" i="3"/>
  <c r="AZ473" i="3" s="1"/>
  <c r="BA480" i="3"/>
  <c r="AZ480" i="3" s="1"/>
  <c r="BA481" i="3"/>
  <c r="BL486" i="3"/>
  <c r="BA487" i="3"/>
  <c r="AZ487" i="3" s="1"/>
  <c r="BA489" i="3"/>
  <c r="AZ489" i="3" s="1"/>
  <c r="BA523" i="3"/>
  <c r="AZ523" i="3" s="1"/>
  <c r="BA542" i="3"/>
  <c r="BL542" i="3"/>
  <c r="BL547" i="3"/>
  <c r="W9" i="37"/>
  <c r="AC9" i="37"/>
  <c r="BL429" i="3"/>
  <c r="BL436" i="3"/>
  <c r="BL437" i="3"/>
  <c r="BL444" i="3"/>
  <c r="BL445" i="3"/>
  <c r="AZ445" i="3" s="1"/>
  <c r="BA486" i="3"/>
  <c r="BA491" i="3"/>
  <c r="BL494" i="3"/>
  <c r="AZ494" i="3" s="1"/>
  <c r="BL495" i="3"/>
  <c r="BA497" i="3"/>
  <c r="AZ497" i="3" s="1"/>
  <c r="BL502" i="3"/>
  <c r="AZ502" i="3" s="1"/>
  <c r="BL514" i="3"/>
  <c r="AZ514" i="3" s="1"/>
  <c r="BL519" i="3"/>
  <c r="AZ519" i="3" s="1"/>
  <c r="AZ546" i="3"/>
  <c r="W25" i="21"/>
  <c r="AC25" i="21"/>
  <c r="G426" i="3"/>
  <c r="BA428" i="3"/>
  <c r="BA452" i="3"/>
  <c r="AZ452" i="3" s="1"/>
  <c r="BL464" i="3"/>
  <c r="BL465" i="3"/>
  <c r="BA495" i="3"/>
  <c r="AZ495" i="3" s="1"/>
  <c r="BL496" i="3"/>
  <c r="BA499" i="3"/>
  <c r="AZ499" i="3" s="1"/>
  <c r="BA500" i="3"/>
  <c r="AZ500" i="3" s="1"/>
  <c r="BL501" i="3"/>
  <c r="BL511" i="3"/>
  <c r="AZ511" i="3" s="1"/>
  <c r="BL513" i="3"/>
  <c r="AZ513" i="3" s="1"/>
  <c r="AZ518" i="3"/>
  <c r="BL518" i="3"/>
  <c r="BA540" i="3"/>
  <c r="AZ540" i="3" s="1"/>
  <c r="BA570" i="3"/>
  <c r="AZ570" i="3" s="1"/>
  <c r="P74" i="67"/>
  <c r="P61" i="67"/>
  <c r="BL424" i="3"/>
  <c r="AZ424" i="3" s="1"/>
  <c r="G434" i="3"/>
  <c r="G451" i="3"/>
  <c r="BA472" i="3"/>
  <c r="BA501" i="3"/>
  <c r="AZ501" i="3" s="1"/>
  <c r="BL506" i="3"/>
  <c r="BL517" i="3"/>
  <c r="AZ517" i="3" s="1"/>
  <c r="BL535" i="3"/>
  <c r="BA568" i="3"/>
  <c r="AZ568" i="3" s="1"/>
  <c r="BA436" i="3"/>
  <c r="AZ436" i="3" s="1"/>
  <c r="BA444" i="3"/>
  <c r="BL456" i="3"/>
  <c r="AZ456" i="3" s="1"/>
  <c r="BL457" i="3"/>
  <c r="BL477" i="3"/>
  <c r="BL508" i="3"/>
  <c r="AZ508" i="3" s="1"/>
  <c r="BA539" i="3"/>
  <c r="BL563" i="3"/>
  <c r="AZ587" i="3"/>
  <c r="G422" i="3"/>
  <c r="G435" i="3"/>
  <c r="G443" i="3"/>
  <c r="BA464" i="3"/>
  <c r="AZ464" i="3" s="1"/>
  <c r="BL476" i="3"/>
  <c r="BA496" i="3"/>
  <c r="AZ496" i="3" s="1"/>
  <c r="BA506" i="3"/>
  <c r="AZ506" i="3" s="1"/>
  <c r="BA512" i="3"/>
  <c r="AZ512" i="3" s="1"/>
  <c r="BA516" i="3"/>
  <c r="AZ516" i="3" s="1"/>
  <c r="BL534" i="3"/>
  <c r="BA535" i="3"/>
  <c r="AZ535" i="3" s="1"/>
  <c r="BA558" i="3"/>
  <c r="AZ558" i="3" s="1"/>
  <c r="BA564" i="3"/>
  <c r="AZ564" i="3" s="1"/>
  <c r="BL433" i="3"/>
  <c r="AZ433" i="3" s="1"/>
  <c r="BL440" i="3"/>
  <c r="BL441" i="3"/>
  <c r="AZ449" i="3"/>
  <c r="BL468" i="3"/>
  <c r="BL505" i="3"/>
  <c r="BL533" i="3"/>
  <c r="AZ533" i="3" s="1"/>
  <c r="AZ534" i="3"/>
  <c r="AZ563" i="3"/>
  <c r="W31" i="35"/>
  <c r="AC31" i="35"/>
  <c r="U30" i="36"/>
  <c r="AB30" i="36"/>
  <c r="AC23" i="39"/>
  <c r="W23" i="39"/>
  <c r="G455" i="3"/>
  <c r="BA476" i="3"/>
  <c r="AZ476" i="3" s="1"/>
  <c r="BA477" i="3"/>
  <c r="AZ477" i="3" s="1"/>
  <c r="BL481" i="3"/>
  <c r="BA505" i="3"/>
  <c r="BA530" i="3"/>
  <c r="AZ530" i="3" s="1"/>
  <c r="BL531" i="3"/>
  <c r="BA532" i="3"/>
  <c r="AZ532" i="3" s="1"/>
  <c r="BL550" i="3"/>
  <c r="AZ550" i="3" s="1"/>
  <c r="BA551" i="3"/>
  <c r="BA556" i="3"/>
  <c r="AZ556" i="3" s="1"/>
  <c r="BL575" i="3"/>
  <c r="AZ575" i="3" s="1"/>
  <c r="BA583" i="3"/>
  <c r="AZ583" i="3" s="1"/>
  <c r="BA566" i="3"/>
  <c r="BL567" i="3"/>
  <c r="AZ567" i="3" s="1"/>
  <c r="BA580" i="3"/>
  <c r="AZ580" i="3" s="1"/>
  <c r="BA584" i="3"/>
  <c r="AZ584" i="3" s="1"/>
  <c r="BL585" i="3"/>
  <c r="AC29" i="21"/>
  <c r="AA12" i="21"/>
  <c r="S12" i="21"/>
  <c r="J45" i="33"/>
  <c r="F45" i="33"/>
  <c r="H45" i="33"/>
  <c r="U22" i="36"/>
  <c r="AB22" i="36"/>
  <c r="BA585" i="3"/>
  <c r="AZ585" i="3" s="1"/>
  <c r="BL586" i="3"/>
  <c r="AZ586" i="3" s="1"/>
  <c r="U29" i="34"/>
  <c r="AB29" i="34"/>
  <c r="AB19" i="21"/>
  <c r="U19" i="21"/>
  <c r="BL525" i="3"/>
  <c r="AZ525" i="3" s="1"/>
  <c r="BL539" i="3"/>
  <c r="BL549" i="3"/>
  <c r="AZ549" i="3" s="1"/>
  <c r="AA12" i="34"/>
  <c r="S12" i="34"/>
  <c r="W14" i="34"/>
  <c r="W19" i="34"/>
  <c r="U38" i="34"/>
  <c r="AB38" i="34"/>
  <c r="BA547" i="3"/>
  <c r="BL561" i="3"/>
  <c r="AZ561" i="3" s="1"/>
  <c r="AA32" i="37"/>
  <c r="S32" i="37"/>
  <c r="BA559" i="3"/>
  <c r="AZ559" i="3" s="1"/>
  <c r="BL573" i="3"/>
  <c r="AZ573" i="3" s="1"/>
  <c r="BA548" i="3"/>
  <c r="AZ548" i="3" s="1"/>
  <c r="BA571" i="3"/>
  <c r="AZ571" i="3" s="1"/>
  <c r="R14" i="77"/>
  <c r="K145" i="21"/>
  <c r="W30" i="37"/>
  <c r="AC30" i="37"/>
  <c r="BA560" i="3"/>
  <c r="AZ560" i="3" s="1"/>
  <c r="AC33" i="34"/>
  <c r="W33" i="34"/>
  <c r="BL527" i="3"/>
  <c r="BL551" i="3"/>
  <c r="BA572" i="3"/>
  <c r="AZ572" i="3" s="1"/>
  <c r="G584" i="3"/>
  <c r="K9" i="1"/>
  <c r="M9" i="1" s="1"/>
  <c r="S9" i="1"/>
  <c r="R9" i="1"/>
  <c r="H109" i="9"/>
  <c r="G26" i="12"/>
  <c r="G41" i="69"/>
  <c r="AB46" i="34"/>
  <c r="U46" i="34"/>
  <c r="R19" i="77"/>
  <c r="AB28" i="21"/>
  <c r="U28" i="21"/>
  <c r="BL537" i="3"/>
  <c r="AZ537" i="3" s="1"/>
  <c r="BL554" i="3"/>
  <c r="AZ554" i="3" s="1"/>
  <c r="BL578" i="3"/>
  <c r="AZ578" i="3" s="1"/>
  <c r="BL581" i="3"/>
  <c r="AZ581" i="3" s="1"/>
  <c r="AC25" i="34"/>
  <c r="U21" i="21"/>
  <c r="AB21" i="21"/>
  <c r="J9" i="21"/>
  <c r="H9" i="21"/>
  <c r="F9" i="21"/>
  <c r="BL566" i="3"/>
  <c r="BL579" i="3"/>
  <c r="AZ579" i="3" s="1"/>
  <c r="D8" i="74"/>
  <c r="H14" i="34"/>
  <c r="F14" i="34"/>
  <c r="U33" i="37"/>
  <c r="AB33" i="37"/>
  <c r="F28" i="33"/>
  <c r="H28" i="33"/>
  <c r="J28" i="33"/>
  <c r="AC28" i="33" s="1"/>
  <c r="W8" i="36"/>
  <c r="AC8" i="36"/>
  <c r="S29" i="36"/>
  <c r="AA29" i="36"/>
  <c r="AC13" i="40"/>
  <c r="W13" i="40"/>
  <c r="G7" i="1"/>
  <c r="H9" i="34"/>
  <c r="J17" i="34"/>
  <c r="U32" i="21"/>
  <c r="W36" i="21"/>
  <c r="S39" i="21"/>
  <c r="AC41" i="21"/>
  <c r="U43" i="21"/>
  <c r="W10" i="33"/>
  <c r="S16" i="36"/>
  <c r="AA16" i="36"/>
  <c r="J51" i="67"/>
  <c r="M59" i="67" s="1"/>
  <c r="S10" i="1"/>
  <c r="B13" i="1"/>
  <c r="E13" i="1" s="1"/>
  <c r="H111" i="9"/>
  <c r="W11" i="34"/>
  <c r="F30" i="34"/>
  <c r="AB10" i="21"/>
  <c r="AC28" i="21"/>
  <c r="U35" i="21"/>
  <c r="AB8" i="37"/>
  <c r="H12" i="35"/>
  <c r="AA32" i="35"/>
  <c r="S32" i="35"/>
  <c r="AA26" i="36"/>
  <c r="S26" i="36"/>
  <c r="AC36" i="37"/>
  <c r="W36" i="37"/>
  <c r="H24" i="35"/>
  <c r="J24" i="35"/>
  <c r="F17" i="34"/>
  <c r="H30" i="34"/>
  <c r="W40" i="34"/>
  <c r="F14" i="21"/>
  <c r="U36" i="21"/>
  <c r="U10" i="33"/>
  <c r="AC13" i="37"/>
  <c r="H39" i="37"/>
  <c r="F12" i="37"/>
  <c r="J12" i="37"/>
  <c r="J12" i="35"/>
  <c r="W17" i="21"/>
  <c r="AC39" i="37"/>
  <c r="W39" i="37"/>
  <c r="U10" i="36"/>
  <c r="AB10" i="36"/>
  <c r="S9" i="39"/>
  <c r="AA9" i="39"/>
  <c r="W25" i="39"/>
  <c r="AC25" i="39"/>
  <c r="F13" i="34"/>
  <c r="H14" i="21"/>
  <c r="K141" i="21"/>
  <c r="AB34" i="37"/>
  <c r="AA12" i="35"/>
  <c r="AB20" i="35"/>
  <c r="U20" i="35"/>
  <c r="R13" i="1"/>
  <c r="AA13" i="33"/>
  <c r="AA34" i="36"/>
  <c r="S34" i="36"/>
  <c r="S8" i="36"/>
  <c r="AA8" i="36"/>
  <c r="W18" i="36"/>
  <c r="AC18" i="36"/>
  <c r="J32" i="36"/>
  <c r="H32" i="36"/>
  <c r="F32" i="36"/>
  <c r="U21" i="40"/>
  <c r="AB21" i="40"/>
  <c r="F25" i="35"/>
  <c r="H25" i="35"/>
  <c r="H35" i="35"/>
  <c r="W16" i="36"/>
  <c r="AC14" i="39"/>
  <c r="AB19" i="39"/>
  <c r="S34" i="40"/>
  <c r="U28" i="35"/>
  <c r="AB28" i="35"/>
  <c r="U34" i="36"/>
  <c r="AB34" i="36"/>
  <c r="H40" i="40"/>
  <c r="F40" i="40"/>
  <c r="J40" i="40"/>
  <c r="AB11" i="35"/>
  <c r="W18" i="35"/>
  <c r="J35" i="35"/>
  <c r="U35" i="39"/>
  <c r="AB35" i="39"/>
  <c r="H44" i="39"/>
  <c r="F44" i="39"/>
  <c r="Y31" i="71"/>
  <c r="Z31" i="71" s="1"/>
  <c r="Y9" i="71"/>
  <c r="Z9" i="71" s="1"/>
  <c r="Y33" i="71"/>
  <c r="Z33" i="71" s="1"/>
  <c r="C34" i="71"/>
  <c r="Y29" i="71"/>
  <c r="Z29" i="71" s="1"/>
  <c r="AA14" i="36"/>
  <c r="J24" i="36"/>
  <c r="H24" i="36"/>
  <c r="H25" i="36"/>
  <c r="J25" i="36"/>
  <c r="W8" i="39"/>
  <c r="AC31" i="39"/>
  <c r="W31" i="39"/>
  <c r="AC41" i="39"/>
  <c r="W13" i="39"/>
  <c r="AC13" i="39"/>
  <c r="U34" i="39"/>
  <c r="J33" i="40"/>
  <c r="F33" i="40"/>
  <c r="H33" i="40"/>
  <c r="AC32" i="40"/>
  <c r="G13" i="3"/>
  <c r="W30" i="35"/>
  <c r="J23" i="35"/>
  <c r="AC27" i="36"/>
  <c r="AB35" i="40"/>
  <c r="U35" i="40"/>
  <c r="U37" i="40"/>
  <c r="AB37" i="40"/>
  <c r="AC11" i="39"/>
  <c r="AB15" i="39"/>
  <c r="AB23" i="39"/>
  <c r="U23" i="39"/>
  <c r="AA11" i="40"/>
  <c r="E5" i="6"/>
  <c r="U8" i="79"/>
  <c r="AI8" i="79" s="1"/>
  <c r="U7" i="79"/>
  <c r="AI7" i="79" s="1"/>
  <c r="X14" i="71"/>
  <c r="X21" i="71"/>
  <c r="X13" i="71"/>
  <c r="G23" i="43"/>
  <c r="A1" i="79" s="1"/>
  <c r="C42" i="1"/>
  <c r="C36" i="11" s="1"/>
  <c r="AR11" i="79"/>
  <c r="AR12" i="79" s="1"/>
  <c r="AR13" i="79" s="1"/>
  <c r="AR14" i="79" s="1"/>
  <c r="AR15" i="79" s="1"/>
  <c r="AR16" i="79" s="1"/>
  <c r="AR17" i="79" s="1"/>
  <c r="AR18" i="79" s="1"/>
  <c r="AR19" i="79" s="1"/>
  <c r="AR20" i="79" s="1"/>
  <c r="AR21" i="79" s="1"/>
  <c r="AR22" i="79" s="1"/>
  <c r="AR23" i="79" s="1"/>
  <c r="AR24" i="79" s="1"/>
  <c r="Z3" i="79"/>
  <c r="Y14" i="71"/>
  <c r="Z14" i="71" s="1"/>
  <c r="C47" i="71"/>
  <c r="D47" i="71" s="1"/>
  <c r="D46" i="71"/>
  <c r="X10" i="71"/>
  <c r="T7" i="79"/>
  <c r="T5" i="79"/>
  <c r="AB31" i="79"/>
  <c r="C82" i="71"/>
  <c r="D82" i="71" s="1"/>
  <c r="D83" i="71"/>
  <c r="AB36" i="40"/>
  <c r="U5" i="79"/>
  <c r="AI5" i="79" s="1"/>
  <c r="X15" i="71"/>
  <c r="Y30" i="71"/>
  <c r="Z30" i="71" s="1"/>
  <c r="N67" i="71"/>
  <c r="B66" i="71"/>
  <c r="AA31" i="79"/>
  <c r="AD31" i="79" s="1"/>
  <c r="T40" i="79"/>
  <c r="T46" i="79"/>
  <c r="P46" i="79"/>
  <c r="D54" i="71"/>
  <c r="C55" i="71"/>
  <c r="AD39" i="79"/>
  <c r="X3" i="71"/>
  <c r="Y10" i="71"/>
  <c r="Z10" i="71" s="1"/>
  <c r="E23" i="71"/>
  <c r="E22" i="71" s="1"/>
  <c r="E21" i="71" s="1"/>
  <c r="E20" i="71" s="1"/>
  <c r="V24" i="71"/>
  <c r="P21" i="79"/>
  <c r="T17" i="79"/>
  <c r="U33" i="79"/>
  <c r="AI33" i="79" s="1"/>
  <c r="Y3" i="71"/>
  <c r="Z3" i="71" s="1"/>
  <c r="AA3" i="71"/>
  <c r="F22" i="71"/>
  <c r="F21" i="71" s="1"/>
  <c r="F20" i="71" s="1"/>
  <c r="F19" i="71" s="1"/>
  <c r="F18" i="71" s="1"/>
  <c r="F17" i="71" s="1"/>
  <c r="F16" i="71" s="1"/>
  <c r="F15" i="71" s="1"/>
  <c r="F14" i="71" s="1"/>
  <c r="F13" i="71" s="1"/>
  <c r="F12" i="71" s="1"/>
  <c r="F11" i="71" s="1"/>
  <c r="F10" i="71" s="1"/>
  <c r="F9" i="71" s="1"/>
  <c r="F8" i="71" s="1"/>
  <c r="F7" i="71" s="1"/>
  <c r="F6" i="71" s="1"/>
  <c r="F5" i="71" s="1"/>
  <c r="V80" i="71"/>
  <c r="F79" i="71"/>
  <c r="F78" i="71" s="1"/>
  <c r="AD33" i="79"/>
  <c r="Y12" i="71"/>
  <c r="Z12" i="71" s="1"/>
  <c r="V18" i="79"/>
  <c r="AJ18" i="79" s="1"/>
  <c r="U76" i="71"/>
  <c r="T19" i="79"/>
  <c r="E28" i="71"/>
  <c r="F28" i="71"/>
  <c r="F27" i="71" s="1"/>
  <c r="F26" i="71" s="1"/>
  <c r="C87" i="71"/>
  <c r="H26" i="43"/>
  <c r="E21" i="43"/>
  <c r="E15" i="4"/>
  <c r="F6" i="1" s="1"/>
  <c r="T13" i="79"/>
  <c r="J26" i="43"/>
  <c r="O21" i="43"/>
  <c r="X11" i="71"/>
  <c r="X18" i="71"/>
  <c r="X30" i="71"/>
  <c r="BA13" i="3"/>
  <c r="AZ13" i="3" s="1"/>
  <c r="C5" i="11"/>
  <c r="X9" i="71"/>
  <c r="N6" i="43"/>
  <c r="C118" i="43"/>
  <c r="D116" i="43" s="1"/>
  <c r="B3" i="35"/>
  <c r="C18" i="9"/>
  <c r="D18" i="9" s="1"/>
  <c r="S44" i="34"/>
  <c r="H43" i="34"/>
  <c r="F124" i="34"/>
  <c r="G124" i="34" s="1"/>
  <c r="H124" i="34" s="1"/>
  <c r="I124" i="34" s="1"/>
  <c r="J124" i="34" s="1"/>
  <c r="K124" i="34" s="1"/>
  <c r="L124" i="34" s="1"/>
  <c r="M124" i="34" s="1"/>
  <c r="J43" i="34"/>
  <c r="F43" i="34"/>
  <c r="AA8" i="34"/>
  <c r="U8" i="34"/>
  <c r="S27" i="34"/>
  <c r="AB27" i="34"/>
  <c r="C21" i="69"/>
  <c r="AR7" i="1"/>
  <c r="L27" i="6"/>
  <c r="P16" i="1"/>
  <c r="C11" i="12" s="1"/>
  <c r="C15" i="12" s="1"/>
  <c r="AC34" i="34"/>
  <c r="W34" i="34"/>
  <c r="AQ12" i="1"/>
  <c r="AA34" i="34"/>
  <c r="H34" i="34"/>
  <c r="AQ13" i="1"/>
  <c r="T13" i="1"/>
  <c r="T12" i="1"/>
  <c r="BB5" i="3"/>
  <c r="E14" i="6" s="1"/>
  <c r="O16" i="1"/>
  <c r="G11" i="1"/>
  <c r="F39" i="33"/>
  <c r="H39" i="33"/>
  <c r="AC44" i="33"/>
  <c r="W44" i="33"/>
  <c r="C36" i="69"/>
  <c r="C21" i="11"/>
  <c r="N20" i="1"/>
  <c r="N6" i="1" s="1"/>
  <c r="AA17" i="33"/>
  <c r="S17" i="33"/>
  <c r="H17" i="33"/>
  <c r="J17" i="33"/>
  <c r="H15" i="33"/>
  <c r="F77" i="33"/>
  <c r="G77" i="33" s="1"/>
  <c r="F15" i="33"/>
  <c r="J15" i="33"/>
  <c r="AC15" i="33" s="1"/>
  <c r="AC8" i="33"/>
  <c r="S8" i="33"/>
  <c r="W38" i="33"/>
  <c r="U38" i="33"/>
  <c r="F11" i="49"/>
  <c r="H11" i="49" s="1"/>
  <c r="W28" i="33"/>
  <c r="F31" i="15"/>
  <c r="B13" i="49"/>
  <c r="D13" i="49" s="1"/>
  <c r="B6" i="49"/>
  <c r="D6" i="49" s="1"/>
  <c r="F5" i="49"/>
  <c r="H5" i="49" s="1"/>
  <c r="B7" i="49"/>
  <c r="D7" i="49" s="1"/>
  <c r="F6" i="49"/>
  <c r="H6" i="49" s="1"/>
  <c r="B11" i="49"/>
  <c r="D11" i="49" s="1"/>
  <c r="F10" i="49"/>
  <c r="H10" i="49" s="1"/>
  <c r="B9" i="49"/>
  <c r="D9" i="49" s="1"/>
  <c r="B14" i="49"/>
  <c r="D14" i="49" s="1"/>
  <c r="F7" i="49"/>
  <c r="H7" i="49" s="1"/>
  <c r="F13" i="49"/>
  <c r="H13" i="49" s="1"/>
  <c r="B5" i="49"/>
  <c r="D5" i="49" s="1"/>
  <c r="B10" i="49"/>
  <c r="D10" i="49" s="1"/>
  <c r="F15" i="49"/>
  <c r="H15" i="49" s="1"/>
  <c r="F9" i="49"/>
  <c r="H9" i="49" s="1"/>
  <c r="F14" i="49"/>
  <c r="H14" i="49" s="1"/>
  <c r="W33" i="33"/>
  <c r="AC33" i="33"/>
  <c r="K6" i="1"/>
  <c r="D3" i="33"/>
  <c r="F33" i="33"/>
  <c r="AQ11" i="1"/>
  <c r="T18" i="1"/>
  <c r="H33" i="33"/>
  <c r="H66" i="43"/>
  <c r="G66" i="43" s="1"/>
  <c r="M66" i="43" s="1"/>
  <c r="N66" i="43" s="1"/>
  <c r="H69" i="43"/>
  <c r="G69" i="43" s="1"/>
  <c r="K52" i="43"/>
  <c r="J52" i="43" s="1"/>
  <c r="M52" i="43"/>
  <c r="N52" i="43" s="1"/>
  <c r="B4" i="49"/>
  <c r="D4" i="49" s="1"/>
  <c r="B8" i="49"/>
  <c r="D8" i="49" s="1"/>
  <c r="B12" i="49"/>
  <c r="D12" i="49" s="1"/>
  <c r="F4" i="49"/>
  <c r="H4" i="49" s="1"/>
  <c r="F8" i="49"/>
  <c r="H8" i="49" s="1"/>
  <c r="H51" i="43"/>
  <c r="G51" i="43" s="1"/>
  <c r="S2" i="43"/>
  <c r="H57" i="43"/>
  <c r="G57" i="43" s="1"/>
  <c r="H55" i="43"/>
  <c r="G55" i="43" s="1"/>
  <c r="H53" i="43"/>
  <c r="G53" i="43" s="1"/>
  <c r="M53" i="43" s="1"/>
  <c r="H68" i="43"/>
  <c r="G68" i="43" s="1"/>
  <c r="K68" i="43" s="1"/>
  <c r="J68" i="43" s="1"/>
  <c r="D68" i="43" s="1"/>
  <c r="H64" i="43"/>
  <c r="G64" i="43" s="1"/>
  <c r="N21" i="43"/>
  <c r="J21" i="43"/>
  <c r="H67" i="43"/>
  <c r="G67" i="43" s="1"/>
  <c r="K67" i="43" s="1"/>
  <c r="H63" i="43"/>
  <c r="G63" i="43" s="1"/>
  <c r="M63" i="43" s="1"/>
  <c r="N63" i="43" s="1"/>
  <c r="C21" i="43"/>
  <c r="M21" i="43"/>
  <c r="I21" i="43"/>
  <c r="H50" i="43"/>
  <c r="G50" i="43" s="1"/>
  <c r="H58" i="43"/>
  <c r="G58" i="43" s="1"/>
  <c r="M58" i="43" s="1"/>
  <c r="N58" i="43" s="1"/>
  <c r="H56" i="43"/>
  <c r="G56" i="43" s="1"/>
  <c r="H54" i="43"/>
  <c r="G54" i="43" s="1"/>
  <c r="H21" i="43"/>
  <c r="F26" i="43"/>
  <c r="D26" i="43" s="1"/>
  <c r="N53" i="43"/>
  <c r="D53" i="43"/>
  <c r="K69" i="43"/>
  <c r="M69" i="43"/>
  <c r="N69" i="43" s="1"/>
  <c r="K65" i="43"/>
  <c r="M65" i="43"/>
  <c r="N65" i="43" s="1"/>
  <c r="K51" i="43"/>
  <c r="M51" i="43"/>
  <c r="N51" i="43" s="1"/>
  <c r="M64" i="43"/>
  <c r="N64" i="43" s="1"/>
  <c r="K64" i="43"/>
  <c r="D52" i="43"/>
  <c r="M67" i="43"/>
  <c r="N67" i="43" s="1"/>
  <c r="K61" i="43"/>
  <c r="M61" i="43"/>
  <c r="N61" i="43" s="1"/>
  <c r="C6" i="43"/>
  <c r="K53" i="43"/>
  <c r="J53" i="43" s="1"/>
  <c r="H62" i="43"/>
  <c r="G62" i="43" s="1"/>
  <c r="D46" i="36"/>
  <c r="E46" i="36" s="1"/>
  <c r="F46" i="36" s="1"/>
  <c r="G46" i="36" s="1"/>
  <c r="H46" i="36" s="1"/>
  <c r="I46" i="36" s="1"/>
  <c r="J46" i="36" s="1"/>
  <c r="K46" i="36" s="1"/>
  <c r="L46" i="36" s="1"/>
  <c r="M46" i="36" s="1"/>
  <c r="N46" i="36" s="1"/>
  <c r="O46" i="36" s="1"/>
  <c r="E48" i="35"/>
  <c r="F48" i="35" s="1"/>
  <c r="G48" i="35" s="1"/>
  <c r="H48" i="35" s="1"/>
  <c r="I48" i="35" s="1"/>
  <c r="J48" i="35" s="1"/>
  <c r="K48" i="35" s="1"/>
  <c r="L48" i="35" s="1"/>
  <c r="M48" i="35" s="1"/>
  <c r="N48" i="35" s="1"/>
  <c r="O48" i="35" s="1"/>
  <c r="D52" i="37"/>
  <c r="I24" i="43"/>
  <c r="C24" i="43" s="1"/>
  <c r="F58" i="33"/>
  <c r="F7" i="21"/>
  <c r="J7" i="21"/>
  <c r="H7" i="21"/>
  <c r="C65" i="40"/>
  <c r="D63" i="40"/>
  <c r="O23" i="43"/>
  <c r="P27" i="43"/>
  <c r="B70" i="39" s="1"/>
  <c r="C15" i="15"/>
  <c r="C18" i="15"/>
  <c r="N59" i="15"/>
  <c r="L59" i="15"/>
  <c r="L58" i="15"/>
  <c r="M59" i="15"/>
  <c r="C6" i="15"/>
  <c r="Q71" i="15"/>
  <c r="F64" i="15"/>
  <c r="C27" i="15"/>
  <c r="F63" i="15"/>
  <c r="C62" i="15" s="1"/>
  <c r="C34" i="15"/>
  <c r="M7" i="15"/>
  <c r="J6" i="15" s="1"/>
  <c r="F50" i="15"/>
  <c r="B12" i="70"/>
  <c r="B9" i="70"/>
  <c r="B10" i="70"/>
  <c r="B11" i="70"/>
  <c r="F65" i="67"/>
  <c r="F64" i="67"/>
  <c r="I1" i="73"/>
  <c r="B39" i="1" s="1"/>
  <c r="F51" i="67"/>
  <c r="F65" i="15"/>
  <c r="J20" i="15"/>
  <c r="J57" i="15"/>
  <c r="J55" i="15" s="1"/>
  <c r="J58" i="15" s="1"/>
  <c r="Q50" i="15" s="1"/>
  <c r="J53" i="15"/>
  <c r="L56" i="15" s="1"/>
  <c r="I54" i="15"/>
  <c r="F68" i="15"/>
  <c r="B8" i="70"/>
  <c r="F68" i="67"/>
  <c r="C27" i="67"/>
  <c r="F66" i="67"/>
  <c r="F51" i="15"/>
  <c r="F69" i="15"/>
  <c r="F66" i="15"/>
  <c r="F71" i="15"/>
  <c r="B13" i="70"/>
  <c r="B7" i="70"/>
  <c r="L59" i="67"/>
  <c r="Q71" i="67"/>
  <c r="D4" i="73"/>
  <c r="L48" i="67"/>
  <c r="D7" i="73"/>
  <c r="D6" i="73"/>
  <c r="C16" i="15"/>
  <c r="C17" i="15"/>
  <c r="D5" i="73"/>
  <c r="F43" i="67"/>
  <c r="F7" i="67"/>
  <c r="M29" i="67"/>
  <c r="D3" i="73"/>
  <c r="BA5" i="3" l="1"/>
  <c r="E27" i="6" s="1"/>
  <c r="G1" i="73"/>
  <c r="B40" i="1" s="1"/>
  <c r="F22" i="11" s="1"/>
  <c r="H7" i="34"/>
  <c r="J7" i="35"/>
  <c r="W7" i="35" s="1"/>
  <c r="J7" i="34"/>
  <c r="W7" i="34" s="1"/>
  <c r="F7" i="34"/>
  <c r="S7" i="34" s="1"/>
  <c r="N59" i="67"/>
  <c r="P29" i="43"/>
  <c r="P26" i="43"/>
  <c r="P28" i="43"/>
  <c r="B66" i="40" s="1"/>
  <c r="P25" i="43"/>
  <c r="G67" i="39"/>
  <c r="F69" i="39"/>
  <c r="J57" i="67"/>
  <c r="J55" i="67" s="1"/>
  <c r="J58" i="67" s="1"/>
  <c r="Q50" i="67" s="1"/>
  <c r="L58" i="67"/>
  <c r="Q73" i="67" s="1"/>
  <c r="L60" i="67"/>
  <c r="Q66" i="67" s="1"/>
  <c r="L56" i="67"/>
  <c r="L57" i="67"/>
  <c r="I54" i="67"/>
  <c r="J53" i="67"/>
  <c r="Q52" i="67" s="1"/>
  <c r="G6" i="1"/>
  <c r="G16" i="1" s="1"/>
  <c r="F10" i="39" s="1"/>
  <c r="D58" i="78"/>
  <c r="D62" i="78" s="1"/>
  <c r="C62" i="78" s="1"/>
  <c r="D87" i="71"/>
  <c r="C86" i="71"/>
  <c r="D86" i="71" s="1"/>
  <c r="AA40" i="40"/>
  <c r="S40" i="40"/>
  <c r="AA25" i="35"/>
  <c r="S25" i="35"/>
  <c r="U45" i="33"/>
  <c r="AB45" i="33"/>
  <c r="AZ472" i="3"/>
  <c r="AZ418" i="3"/>
  <c r="AZ156" i="3"/>
  <c r="AZ304" i="3"/>
  <c r="AZ63" i="3"/>
  <c r="BL5" i="3"/>
  <c r="F7" i="36"/>
  <c r="S7" i="36" s="1"/>
  <c r="AH46" i="79"/>
  <c r="W46" i="79"/>
  <c r="AK46" i="79" s="1"/>
  <c r="AH5" i="79"/>
  <c r="W5" i="79"/>
  <c r="AB40" i="40"/>
  <c r="U40" i="40"/>
  <c r="AA14" i="21"/>
  <c r="S14" i="21"/>
  <c r="U12" i="35"/>
  <c r="AB12" i="35"/>
  <c r="AA45" i="33"/>
  <c r="S45" i="33"/>
  <c r="AZ457" i="3"/>
  <c r="AZ353" i="3"/>
  <c r="AZ385" i="3"/>
  <c r="AZ76" i="3"/>
  <c r="AZ51" i="3"/>
  <c r="F7" i="35"/>
  <c r="AA7" i="35" s="1"/>
  <c r="R38" i="35" s="1"/>
  <c r="M68" i="43"/>
  <c r="N68" i="43" s="1"/>
  <c r="AH19" i="79"/>
  <c r="W19" i="79"/>
  <c r="AK19" i="79" s="1"/>
  <c r="W17" i="79"/>
  <c r="AK17" i="79" s="1"/>
  <c r="AH17" i="79"/>
  <c r="AC23" i="35"/>
  <c r="W23" i="35"/>
  <c r="C28" i="67"/>
  <c r="S32" i="36"/>
  <c r="AA32" i="36"/>
  <c r="U30" i="34"/>
  <c r="AB30" i="34"/>
  <c r="AA9" i="21"/>
  <c r="S9" i="21"/>
  <c r="AZ444" i="3"/>
  <c r="AZ468" i="3"/>
  <c r="AZ360" i="3"/>
  <c r="AZ401" i="3"/>
  <c r="AZ410" i="3"/>
  <c r="AZ336" i="3"/>
  <c r="AZ340" i="3"/>
  <c r="AZ28" i="3"/>
  <c r="AZ68" i="3"/>
  <c r="AZ69" i="3"/>
  <c r="AZ16" i="3"/>
  <c r="AZ5" i="3" s="1"/>
  <c r="V28" i="71"/>
  <c r="E27" i="71"/>
  <c r="E26" i="71" s="1"/>
  <c r="AC45" i="33"/>
  <c r="W45" i="33"/>
  <c r="N65" i="71"/>
  <c r="N66" i="71"/>
  <c r="D9" i="69"/>
  <c r="C9" i="69" s="1"/>
  <c r="D19" i="12"/>
  <c r="C19" i="12" s="1"/>
  <c r="D9" i="11"/>
  <c r="C9" i="11" s="1"/>
  <c r="D9" i="68"/>
  <c r="C9" i="68" s="1"/>
  <c r="AA44" i="39"/>
  <c r="S44" i="39"/>
  <c r="AB32" i="36"/>
  <c r="U32" i="36"/>
  <c r="AA17" i="34"/>
  <c r="S17" i="34"/>
  <c r="AB9" i="21"/>
  <c r="U9" i="21"/>
  <c r="AZ551" i="3"/>
  <c r="AZ397" i="3"/>
  <c r="F28" i="6"/>
  <c r="C48" i="68"/>
  <c r="G30" i="6"/>
  <c r="G31" i="6" s="1"/>
  <c r="K66" i="43"/>
  <c r="J51" i="43"/>
  <c r="D51" i="43"/>
  <c r="W25" i="36"/>
  <c r="AC25" i="36"/>
  <c r="AB44" i="39"/>
  <c r="U44" i="39"/>
  <c r="AC32" i="36"/>
  <c r="W32" i="36"/>
  <c r="W24" i="35"/>
  <c r="AC24" i="35"/>
  <c r="AC9" i="21"/>
  <c r="W9" i="21"/>
  <c r="W40" i="79"/>
  <c r="AK40" i="79" s="1"/>
  <c r="AH40" i="79"/>
  <c r="K58" i="43"/>
  <c r="G21" i="43"/>
  <c r="C20" i="43" s="1"/>
  <c r="V20" i="71"/>
  <c r="E19" i="71"/>
  <c r="E18" i="71" s="1"/>
  <c r="E17" i="71" s="1"/>
  <c r="E16" i="71" s="1"/>
  <c r="AB25" i="36"/>
  <c r="U25" i="36"/>
  <c r="AC12" i="35"/>
  <c r="W12" i="35"/>
  <c r="AB24" i="35"/>
  <c r="U24" i="35"/>
  <c r="AA30" i="34"/>
  <c r="S30" i="34"/>
  <c r="AB28" i="33"/>
  <c r="U28" i="33"/>
  <c r="AZ547" i="3"/>
  <c r="AZ542" i="3"/>
  <c r="AZ352" i="3"/>
  <c r="AZ389" i="3"/>
  <c r="AZ278" i="3"/>
  <c r="AZ319" i="3"/>
  <c r="AZ350" i="3"/>
  <c r="AZ200" i="3"/>
  <c r="C36" i="68"/>
  <c r="AZ18" i="3"/>
  <c r="AB33" i="40"/>
  <c r="U33" i="40"/>
  <c r="AB24" i="36"/>
  <c r="U24" i="36"/>
  <c r="U14" i="21"/>
  <c r="AB14" i="21"/>
  <c r="W12" i="37"/>
  <c r="AC12" i="37"/>
  <c r="AA28" i="33"/>
  <c r="S28" i="33"/>
  <c r="AZ491" i="3"/>
  <c r="AA47" i="34"/>
  <c r="S47" i="34"/>
  <c r="AZ435" i="3"/>
  <c r="AZ349" i="3"/>
  <c r="AZ228" i="3"/>
  <c r="AZ330" i="3"/>
  <c r="AZ233" i="3"/>
  <c r="AZ235" i="3"/>
  <c r="E29" i="6"/>
  <c r="K15" i="1" s="1"/>
  <c r="C30" i="68"/>
  <c r="AH7" i="79"/>
  <c r="W7" i="79"/>
  <c r="AK7" i="79" s="1"/>
  <c r="K63" i="43"/>
  <c r="W13" i="79"/>
  <c r="AK13" i="79" s="1"/>
  <c r="AH13" i="79"/>
  <c r="AA33" i="40"/>
  <c r="S33" i="40"/>
  <c r="AC24" i="36"/>
  <c r="W24" i="36"/>
  <c r="W35" i="35"/>
  <c r="AC35" i="35"/>
  <c r="S13" i="34"/>
  <c r="AA13" i="34"/>
  <c r="AA12" i="37"/>
  <c r="S12" i="37"/>
  <c r="D126" i="9"/>
  <c r="D19" i="53"/>
  <c r="W17" i="34"/>
  <c r="AC17" i="34"/>
  <c r="H110" i="9"/>
  <c r="D124" i="9"/>
  <c r="D16" i="53"/>
  <c r="AZ428" i="3"/>
  <c r="AZ486" i="3"/>
  <c r="AB47" i="34"/>
  <c r="U47" i="34"/>
  <c r="AZ379" i="3"/>
  <c r="AZ177" i="3"/>
  <c r="AZ92" i="3"/>
  <c r="C17" i="71"/>
  <c r="D18" i="71"/>
  <c r="J7" i="36"/>
  <c r="AC7" i="36" s="1"/>
  <c r="V36" i="36" s="1"/>
  <c r="I36" i="36" s="1"/>
  <c r="C77" i="9"/>
  <c r="C74" i="9" s="1"/>
  <c r="C24" i="12"/>
  <c r="C13" i="12"/>
  <c r="C48" i="69"/>
  <c r="C30" i="69"/>
  <c r="C28" i="15"/>
  <c r="C31" i="12"/>
  <c r="W33" i="40"/>
  <c r="AC33" i="40"/>
  <c r="U39" i="37"/>
  <c r="AB39" i="37"/>
  <c r="U9" i="34"/>
  <c r="AB9" i="34"/>
  <c r="AZ505" i="3"/>
  <c r="W47" i="34"/>
  <c r="AC47" i="34"/>
  <c r="AZ315" i="3"/>
  <c r="AZ264" i="3"/>
  <c r="H7" i="36"/>
  <c r="AB7" i="36" s="1"/>
  <c r="T36" i="36" s="1"/>
  <c r="G36" i="36" s="1"/>
  <c r="D55" i="71"/>
  <c r="C56" i="71"/>
  <c r="AB35" i="35"/>
  <c r="U35" i="35"/>
  <c r="AR10" i="1"/>
  <c r="AQ10" i="1"/>
  <c r="T10" i="1"/>
  <c r="S14" i="34"/>
  <c r="AA14" i="34"/>
  <c r="AR9" i="1"/>
  <c r="T9" i="1"/>
  <c r="AQ9" i="1"/>
  <c r="R25" i="77"/>
  <c r="R5" i="77"/>
  <c r="U5" i="77" s="1"/>
  <c r="AZ566" i="3"/>
  <c r="AZ539" i="3"/>
  <c r="AR8" i="1"/>
  <c r="AQ8" i="1"/>
  <c r="AZ429" i="3"/>
  <c r="AZ355" i="3"/>
  <c r="AZ21" i="3"/>
  <c r="D34" i="71"/>
  <c r="C35" i="71"/>
  <c r="W40" i="40"/>
  <c r="AC40" i="40"/>
  <c r="AB25" i="35"/>
  <c r="U25" i="35"/>
  <c r="U14" i="34"/>
  <c r="AB14" i="34"/>
  <c r="AZ481" i="3"/>
  <c r="AZ371" i="3"/>
  <c r="AZ419" i="3"/>
  <c r="AZ354" i="3"/>
  <c r="AZ348" i="3"/>
  <c r="AZ441" i="3"/>
  <c r="AZ201" i="3"/>
  <c r="AZ206" i="3"/>
  <c r="AZ32" i="3"/>
  <c r="AZ66" i="3"/>
  <c r="S12" i="71"/>
  <c r="B11" i="71"/>
  <c r="B10" i="71" s="1"/>
  <c r="B9" i="71" s="1"/>
  <c r="B8" i="71" s="1"/>
  <c r="B7" i="71" s="1"/>
  <c r="B6" i="71" s="1"/>
  <c r="B5" i="71" s="1"/>
  <c r="E12" i="6"/>
  <c r="E11" i="6"/>
  <c r="E60" i="39" s="1"/>
  <c r="E8" i="6"/>
  <c r="F27" i="6" s="1"/>
  <c r="E10" i="6"/>
  <c r="E13" i="6"/>
  <c r="S43" i="34"/>
  <c r="AA43" i="34"/>
  <c r="W43" i="34"/>
  <c r="AC43" i="34"/>
  <c r="AB43" i="34"/>
  <c r="U43" i="34"/>
  <c r="C12" i="12"/>
  <c r="U34" i="34"/>
  <c r="AB34" i="34"/>
  <c r="T20" i="1"/>
  <c r="V21" i="1" s="1"/>
  <c r="V17" i="1"/>
  <c r="E15" i="6"/>
  <c r="U39" i="33"/>
  <c r="AB39" i="33"/>
  <c r="AA39" i="33"/>
  <c r="S39" i="33"/>
  <c r="AC17" i="33"/>
  <c r="W17" i="33"/>
  <c r="AB17" i="33"/>
  <c r="U17" i="33"/>
  <c r="AA15" i="33"/>
  <c r="S15" i="33"/>
  <c r="W15" i="33"/>
  <c r="AB15" i="33"/>
  <c r="U15" i="33"/>
  <c r="F59" i="15"/>
  <c r="F31" i="67"/>
  <c r="M17" i="15"/>
  <c r="C37" i="34"/>
  <c r="E37" i="34" s="1"/>
  <c r="Y6" i="1"/>
  <c r="C36" i="33"/>
  <c r="E36" i="33" s="1"/>
  <c r="F50" i="67"/>
  <c r="C6" i="67"/>
  <c r="C33" i="67" s="1"/>
  <c r="M7" i="67"/>
  <c r="F71" i="67"/>
  <c r="E582" i="3"/>
  <c r="E566" i="3"/>
  <c r="E550" i="3"/>
  <c r="E534" i="3"/>
  <c r="E518" i="3"/>
  <c r="E502" i="3"/>
  <c r="E486" i="3"/>
  <c r="E470" i="3"/>
  <c r="E581" i="3"/>
  <c r="E565" i="3"/>
  <c r="E549" i="3"/>
  <c r="E533" i="3"/>
  <c r="E517" i="3"/>
  <c r="E501" i="3"/>
  <c r="E485" i="3"/>
  <c r="E469" i="3"/>
  <c r="E453" i="3"/>
  <c r="E437" i="3"/>
  <c r="E421" i="3"/>
  <c r="E576" i="3"/>
  <c r="E560" i="3"/>
  <c r="E544" i="3"/>
  <c r="E528" i="3"/>
  <c r="E512" i="3"/>
  <c r="E496" i="3"/>
  <c r="E579" i="3"/>
  <c r="E547" i="3"/>
  <c r="E515" i="3"/>
  <c r="E456" i="3"/>
  <c r="E424" i="3"/>
  <c r="E404" i="3"/>
  <c r="E388" i="3"/>
  <c r="E372" i="3"/>
  <c r="E356" i="3"/>
  <c r="E446" i="3"/>
  <c r="E430" i="3"/>
  <c r="E411" i="3"/>
  <c r="E395" i="3"/>
  <c r="E379" i="3"/>
  <c r="E363" i="3"/>
  <c r="E567" i="3"/>
  <c r="E535" i="3"/>
  <c r="E503" i="3"/>
  <c r="E483" i="3"/>
  <c r="E475" i="3"/>
  <c r="E467" i="3"/>
  <c r="E452" i="3"/>
  <c r="E420" i="3"/>
  <c r="E402" i="3"/>
  <c r="E386" i="3"/>
  <c r="E370" i="3"/>
  <c r="E354" i="3"/>
  <c r="E338" i="3"/>
  <c r="E322" i="3"/>
  <c r="E306" i="3"/>
  <c r="E290" i="3"/>
  <c r="E574" i="3"/>
  <c r="E554" i="3"/>
  <c r="E530" i="3"/>
  <c r="E510" i="3"/>
  <c r="E490" i="3"/>
  <c r="E466" i="3"/>
  <c r="E573" i="3"/>
  <c r="E553" i="3"/>
  <c r="E529" i="3"/>
  <c r="E509" i="3"/>
  <c r="E489" i="3"/>
  <c r="E465" i="3"/>
  <c r="E445" i="3"/>
  <c r="E425" i="3"/>
  <c r="E572" i="3"/>
  <c r="E552" i="3"/>
  <c r="E532" i="3"/>
  <c r="E508" i="3"/>
  <c r="E488" i="3"/>
  <c r="E555" i="3"/>
  <c r="E507" i="3"/>
  <c r="E440" i="3"/>
  <c r="E408" i="3"/>
  <c r="E384" i="3"/>
  <c r="E364" i="3"/>
  <c r="E447" i="3"/>
  <c r="E423" i="3"/>
  <c r="E403" i="3"/>
  <c r="E383" i="3"/>
  <c r="E359" i="3"/>
  <c r="E551" i="3"/>
  <c r="E511" i="3"/>
  <c r="E480" i="3"/>
  <c r="E471" i="3"/>
  <c r="E460" i="3"/>
  <c r="E414" i="3"/>
  <c r="E394" i="3"/>
  <c r="E374" i="3"/>
  <c r="E350" i="3"/>
  <c r="E330" i="3"/>
  <c r="E310" i="3"/>
  <c r="E286" i="3"/>
  <c r="E270" i="3"/>
  <c r="E254" i="3"/>
  <c r="E238" i="3"/>
  <c r="E222" i="3"/>
  <c r="E206" i="3"/>
  <c r="E190" i="3"/>
  <c r="E174" i="3"/>
  <c r="E158" i="3"/>
  <c r="E142" i="3"/>
  <c r="E126" i="3"/>
  <c r="E110" i="3"/>
  <c r="E94" i="3"/>
  <c r="E78" i="3"/>
  <c r="E393" i="3"/>
  <c r="E361" i="3"/>
  <c r="E341" i="3"/>
  <c r="E325" i="3"/>
  <c r="E309" i="3"/>
  <c r="E293" i="3"/>
  <c r="E277" i="3"/>
  <c r="E261" i="3"/>
  <c r="E245" i="3"/>
  <c r="E229" i="3"/>
  <c r="E213" i="3"/>
  <c r="E197" i="3"/>
  <c r="E181" i="3"/>
  <c r="E165" i="3"/>
  <c r="E149" i="3"/>
  <c r="E133" i="3"/>
  <c r="E117" i="3"/>
  <c r="E101" i="3"/>
  <c r="E85" i="3"/>
  <c r="E69" i="3"/>
  <c r="E53" i="3"/>
  <c r="E451" i="3"/>
  <c r="E435" i="3"/>
  <c r="E419" i="3"/>
  <c r="I3" i="6"/>
  <c r="E570" i="3"/>
  <c r="E546" i="3"/>
  <c r="E526" i="3"/>
  <c r="E506" i="3"/>
  <c r="E482" i="3"/>
  <c r="E462" i="3"/>
  <c r="E569" i="3"/>
  <c r="E545" i="3"/>
  <c r="E525" i="3"/>
  <c r="E505" i="3"/>
  <c r="E481" i="3"/>
  <c r="E461" i="3"/>
  <c r="E441" i="3"/>
  <c r="E417" i="3"/>
  <c r="E568" i="3"/>
  <c r="E548" i="3"/>
  <c r="E524" i="3"/>
  <c r="E504" i="3"/>
  <c r="E587" i="3"/>
  <c r="E539" i="3"/>
  <c r="E499" i="3"/>
  <c r="E432" i="3"/>
  <c r="E400" i="3"/>
  <c r="E380" i="3"/>
  <c r="E360" i="3"/>
  <c r="E439" i="3"/>
  <c r="E422" i="3"/>
  <c r="E399" i="3"/>
  <c r="E375" i="3"/>
  <c r="E583" i="3"/>
  <c r="E543" i="3"/>
  <c r="E495" i="3"/>
  <c r="E479" i="3"/>
  <c r="E468" i="3"/>
  <c r="E444" i="3"/>
  <c r="E410" i="3"/>
  <c r="E390" i="3"/>
  <c r="E366" i="3"/>
  <c r="E346" i="3"/>
  <c r="E326" i="3"/>
  <c r="E302" i="3"/>
  <c r="E282" i="3"/>
  <c r="E266" i="3"/>
  <c r="E250" i="3"/>
  <c r="E234" i="3"/>
  <c r="E218" i="3"/>
  <c r="E202" i="3"/>
  <c r="E186" i="3"/>
  <c r="E170" i="3"/>
  <c r="E154" i="3"/>
  <c r="E138" i="3"/>
  <c r="E122" i="3"/>
  <c r="E106" i="3"/>
  <c r="E90" i="3"/>
  <c r="E74" i="3"/>
  <c r="E385" i="3"/>
  <c r="E353" i="3"/>
  <c r="E337" i="3"/>
  <c r="E321" i="3"/>
  <c r="E305" i="3"/>
  <c r="E289" i="3"/>
  <c r="E273" i="3"/>
  <c r="E257" i="3"/>
  <c r="E241" i="3"/>
  <c r="E225" i="3"/>
  <c r="E209" i="3"/>
  <c r="E193" i="3"/>
  <c r="E177" i="3"/>
  <c r="E558" i="3"/>
  <c r="E514" i="3"/>
  <c r="E474" i="3"/>
  <c r="E557" i="3"/>
  <c r="E513" i="3"/>
  <c r="E473" i="3"/>
  <c r="E429" i="3"/>
  <c r="E556" i="3"/>
  <c r="E516" i="3"/>
  <c r="E563" i="3"/>
  <c r="E448" i="3"/>
  <c r="E392" i="3"/>
  <c r="E454" i="3"/>
  <c r="E407" i="3"/>
  <c r="E367" i="3"/>
  <c r="E519" i="3"/>
  <c r="E472" i="3"/>
  <c r="E428" i="3"/>
  <c r="E378" i="3"/>
  <c r="E334" i="3"/>
  <c r="E294" i="3"/>
  <c r="E258" i="3"/>
  <c r="E226" i="3"/>
  <c r="E194" i="3"/>
  <c r="E162" i="3"/>
  <c r="E130" i="3"/>
  <c r="E98" i="3"/>
  <c r="E401" i="3"/>
  <c r="E345" i="3"/>
  <c r="E313" i="3"/>
  <c r="E281" i="3"/>
  <c r="E249" i="3"/>
  <c r="E217" i="3"/>
  <c r="E185" i="3"/>
  <c r="E157" i="3"/>
  <c r="E137" i="3"/>
  <c r="E113" i="3"/>
  <c r="E93" i="3"/>
  <c r="E73" i="3"/>
  <c r="E49" i="3"/>
  <c r="E443" i="3"/>
  <c r="E426" i="3"/>
  <c r="E344" i="3"/>
  <c r="E328" i="3"/>
  <c r="E312" i="3"/>
  <c r="E296" i="3"/>
  <c r="E280" i="3"/>
  <c r="E264" i="3"/>
  <c r="E248" i="3"/>
  <c r="E232" i="3"/>
  <c r="E216" i="3"/>
  <c r="E200" i="3"/>
  <c r="E184" i="3"/>
  <c r="E168" i="3"/>
  <c r="E152" i="3"/>
  <c r="E136" i="3"/>
  <c r="E120" i="3"/>
  <c r="E104" i="3"/>
  <c r="E88" i="3"/>
  <c r="E72" i="3"/>
  <c r="E413" i="3"/>
  <c r="E56" i="3"/>
  <c r="E35" i="3"/>
  <c r="E19" i="3"/>
  <c r="AJ6" i="3"/>
  <c r="T6" i="3"/>
  <c r="E207" i="3"/>
  <c r="E135" i="3"/>
  <c r="E59" i="3"/>
  <c r="E16" i="3"/>
  <c r="I6" i="3"/>
  <c r="E331" i="3"/>
  <c r="E299" i="3"/>
  <c r="E267" i="3"/>
  <c r="E235" i="3"/>
  <c r="E203" i="3"/>
  <c r="E171" i="3"/>
  <c r="E139" i="3"/>
  <c r="E107" i="3"/>
  <c r="E75" i="3"/>
  <c r="E46" i="3"/>
  <c r="E30" i="3"/>
  <c r="E14" i="3"/>
  <c r="AE6" i="3"/>
  <c r="O6" i="3"/>
  <c r="E586" i="3"/>
  <c r="E542" i="3"/>
  <c r="E498" i="3"/>
  <c r="E585" i="3"/>
  <c r="E541" i="3"/>
  <c r="E497" i="3"/>
  <c r="E457" i="3"/>
  <c r="E584" i="3"/>
  <c r="E540" i="3"/>
  <c r="E500" i="3"/>
  <c r="E531" i="3"/>
  <c r="E416" i="3"/>
  <c r="E376" i="3"/>
  <c r="E438" i="3"/>
  <c r="E391" i="3"/>
  <c r="E575" i="3"/>
  <c r="E487" i="3"/>
  <c r="E464" i="3"/>
  <c r="E406" i="3"/>
  <c r="E362" i="3"/>
  <c r="E318" i="3"/>
  <c r="E278" i="3"/>
  <c r="E246" i="3"/>
  <c r="E214" i="3"/>
  <c r="E182" i="3"/>
  <c r="E150" i="3"/>
  <c r="E118" i="3"/>
  <c r="E86" i="3"/>
  <c r="E377" i="3"/>
  <c r="E333" i="3"/>
  <c r="E301" i="3"/>
  <c r="E269" i="3"/>
  <c r="E237" i="3"/>
  <c r="E205" i="3"/>
  <c r="E173" i="3"/>
  <c r="E153" i="3"/>
  <c r="E129" i="3"/>
  <c r="E109" i="3"/>
  <c r="E89" i="3"/>
  <c r="E65" i="3"/>
  <c r="E459" i="3"/>
  <c r="E442" i="3"/>
  <c r="E418" i="3"/>
  <c r="E340" i="3"/>
  <c r="E324" i="3"/>
  <c r="E308" i="3"/>
  <c r="E292" i="3"/>
  <c r="E276" i="3"/>
  <c r="E260" i="3"/>
  <c r="E244" i="3"/>
  <c r="E228" i="3"/>
  <c r="E212" i="3"/>
  <c r="E196" i="3"/>
  <c r="E180" i="3"/>
  <c r="E164" i="3"/>
  <c r="E148" i="3"/>
  <c r="E132" i="3"/>
  <c r="E116" i="3"/>
  <c r="E100" i="3"/>
  <c r="E84" i="3"/>
  <c r="E68" i="3"/>
  <c r="E397" i="3"/>
  <c r="E48" i="3"/>
  <c r="E578" i="3"/>
  <c r="E538" i="3"/>
  <c r="E494" i="3"/>
  <c r="E577" i="3"/>
  <c r="E537" i="3"/>
  <c r="E493" i="3"/>
  <c r="E449" i="3"/>
  <c r="E580" i="3"/>
  <c r="E536" i="3"/>
  <c r="E492" i="3"/>
  <c r="E523" i="3"/>
  <c r="E412" i="3"/>
  <c r="E368" i="3"/>
  <c r="E431" i="3"/>
  <c r="E387" i="3"/>
  <c r="E559" i="3"/>
  <c r="E484" i="3"/>
  <c r="E463" i="3"/>
  <c r="E398" i="3"/>
  <c r="E358" i="3"/>
  <c r="E314" i="3"/>
  <c r="E274" i="3"/>
  <c r="E242" i="3"/>
  <c r="E210" i="3"/>
  <c r="E178" i="3"/>
  <c r="E146" i="3"/>
  <c r="E114" i="3"/>
  <c r="E82" i="3"/>
  <c r="E369" i="3"/>
  <c r="E329" i="3"/>
  <c r="E297" i="3"/>
  <c r="E265" i="3"/>
  <c r="E233" i="3"/>
  <c r="E201" i="3"/>
  <c r="E169" i="3"/>
  <c r="E145" i="3"/>
  <c r="E125" i="3"/>
  <c r="E105" i="3"/>
  <c r="E81" i="3"/>
  <c r="E61" i="3"/>
  <c r="E458" i="3"/>
  <c r="E434" i="3"/>
  <c r="E352" i="3"/>
  <c r="E336" i="3"/>
  <c r="E320" i="3"/>
  <c r="E304" i="3"/>
  <c r="E288" i="3"/>
  <c r="E272" i="3"/>
  <c r="E256" i="3"/>
  <c r="E240" i="3"/>
  <c r="E224" i="3"/>
  <c r="E208" i="3"/>
  <c r="E192" i="3"/>
  <c r="E176" i="3"/>
  <c r="E160" i="3"/>
  <c r="E144" i="3"/>
  <c r="E128" i="3"/>
  <c r="E112" i="3"/>
  <c r="E96" i="3"/>
  <c r="E80" i="3"/>
  <c r="E64" i="3"/>
  <c r="E381" i="3"/>
  <c r="E43" i="3"/>
  <c r="E27" i="3"/>
  <c r="AR6" i="3"/>
  <c r="AB6" i="3"/>
  <c r="L6" i="3"/>
  <c r="E183" i="3"/>
  <c r="E70" i="3"/>
  <c r="E40" i="3"/>
  <c r="Y6" i="3"/>
  <c r="E347" i="3"/>
  <c r="E315" i="3"/>
  <c r="E283" i="3"/>
  <c r="E251" i="3"/>
  <c r="E219" i="3"/>
  <c r="E187" i="3"/>
  <c r="E155" i="3"/>
  <c r="E123" i="3"/>
  <c r="E91" i="3"/>
  <c r="E54" i="3"/>
  <c r="E478" i="3"/>
  <c r="E433" i="3"/>
  <c r="E491" i="3"/>
  <c r="E371" i="3"/>
  <c r="E382" i="3"/>
  <c r="E230" i="3"/>
  <c r="E102" i="3"/>
  <c r="E285" i="3"/>
  <c r="E161" i="3"/>
  <c r="E77" i="3"/>
  <c r="E348" i="3"/>
  <c r="E284" i="3"/>
  <c r="E220" i="3"/>
  <c r="E156" i="3"/>
  <c r="E92" i="3"/>
  <c r="E39" i="3"/>
  <c r="AN6" i="3"/>
  <c r="E231" i="3"/>
  <c r="E66" i="3"/>
  <c r="Q6" i="3"/>
  <c r="E307" i="3"/>
  <c r="E243" i="3"/>
  <c r="E179" i="3"/>
  <c r="E115" i="3"/>
  <c r="E47" i="3"/>
  <c r="E26" i="3"/>
  <c r="AM6" i="3"/>
  <c r="S6" i="3"/>
  <c r="E21" i="3"/>
  <c r="R6" i="3"/>
  <c r="E303" i="3"/>
  <c r="E255" i="3"/>
  <c r="E103" i="3"/>
  <c r="E63" i="3"/>
  <c r="AS6" i="3"/>
  <c r="E405" i="3"/>
  <c r="E52" i="3"/>
  <c r="E25" i="3"/>
  <c r="V6" i="3"/>
  <c r="E319" i="3"/>
  <c r="E247" i="3"/>
  <c r="E151" i="3"/>
  <c r="E111" i="3"/>
  <c r="E36" i="3"/>
  <c r="E561" i="3"/>
  <c r="E564" i="3"/>
  <c r="E396" i="3"/>
  <c r="E527" i="3"/>
  <c r="E342" i="3"/>
  <c r="E198" i="3"/>
  <c r="E409" i="3"/>
  <c r="E253" i="3"/>
  <c r="E141" i="3"/>
  <c r="E57" i="3"/>
  <c r="E332" i="3"/>
  <c r="E268" i="3"/>
  <c r="E204" i="3"/>
  <c r="E140" i="3"/>
  <c r="E76" i="3"/>
  <c r="E31" i="3"/>
  <c r="AF6" i="3"/>
  <c r="E191" i="3"/>
  <c r="E51" i="3"/>
  <c r="E355" i="3"/>
  <c r="E291" i="3"/>
  <c r="E227" i="3"/>
  <c r="E163" i="3"/>
  <c r="E99" i="3"/>
  <c r="E42" i="3"/>
  <c r="E22" i="3"/>
  <c r="AI6" i="3"/>
  <c r="K6" i="3"/>
  <c r="E17" i="3"/>
  <c r="N6" i="3"/>
  <c r="E295" i="3"/>
  <c r="E223" i="3"/>
  <c r="E95" i="3"/>
  <c r="E58" i="3"/>
  <c r="AG6" i="3"/>
  <c r="E389" i="3"/>
  <c r="E45" i="3"/>
  <c r="AP6" i="3"/>
  <c r="J6" i="3"/>
  <c r="E311" i="3"/>
  <c r="E239" i="3"/>
  <c r="E143" i="3"/>
  <c r="E71" i="3"/>
  <c r="E24" i="3"/>
  <c r="E562" i="3"/>
  <c r="E521" i="3"/>
  <c r="E520" i="3"/>
  <c r="E455" i="3"/>
  <c r="E476" i="3"/>
  <c r="E298" i="3"/>
  <c r="E166" i="3"/>
  <c r="E349" i="3"/>
  <c r="E221" i="3"/>
  <c r="E121" i="3"/>
  <c r="E450" i="3"/>
  <c r="E316" i="3"/>
  <c r="E252" i="3"/>
  <c r="E188" i="3"/>
  <c r="E124" i="3"/>
  <c r="E60" i="3"/>
  <c r="E23" i="3"/>
  <c r="X6" i="3"/>
  <c r="E167" i="3"/>
  <c r="E28" i="3"/>
  <c r="E339" i="3"/>
  <c r="E275" i="3"/>
  <c r="E211" i="3"/>
  <c r="E147" i="3"/>
  <c r="E83" i="3"/>
  <c r="E38" i="3"/>
  <c r="E18" i="3"/>
  <c r="AA6" i="3"/>
  <c r="E33" i="3"/>
  <c r="AH6" i="3"/>
  <c r="E343" i="3"/>
  <c r="E287" i="3"/>
  <c r="E199" i="3"/>
  <c r="E79" i="3"/>
  <c r="E44" i="3"/>
  <c r="U6" i="3"/>
  <c r="E373" i="3"/>
  <c r="E41" i="3"/>
  <c r="AL6" i="3"/>
  <c r="E351" i="3"/>
  <c r="E271" i="3"/>
  <c r="E215" i="3"/>
  <c r="E127" i="3"/>
  <c r="E62" i="3"/>
  <c r="E20" i="3"/>
  <c r="E522" i="3"/>
  <c r="E436" i="3"/>
  <c r="E189" i="3"/>
  <c r="E236" i="3"/>
  <c r="E15" i="3"/>
  <c r="E323" i="3"/>
  <c r="E55" i="3"/>
  <c r="E29" i="3"/>
  <c r="E175" i="3"/>
  <c r="E357" i="3"/>
  <c r="E263" i="3"/>
  <c r="AK6" i="3"/>
  <c r="E477" i="3"/>
  <c r="E262" i="3"/>
  <c r="E97" i="3"/>
  <c r="E172" i="3"/>
  <c r="P6" i="3"/>
  <c r="E259" i="3"/>
  <c r="E34" i="3"/>
  <c r="Z6" i="3"/>
  <c r="E67" i="3"/>
  <c r="E37" i="3"/>
  <c r="E159" i="3"/>
  <c r="E415" i="3"/>
  <c r="E300" i="3"/>
  <c r="E365" i="3"/>
  <c r="AO6" i="3"/>
  <c r="E131" i="3"/>
  <c r="W6" i="3"/>
  <c r="E279" i="3"/>
  <c r="M6" i="3"/>
  <c r="E335" i="3"/>
  <c r="E50" i="3"/>
  <c r="E571" i="3"/>
  <c r="E134" i="3"/>
  <c r="E427" i="3"/>
  <c r="E108" i="3"/>
  <c r="E87" i="3"/>
  <c r="E195" i="3"/>
  <c r="AQ6" i="3"/>
  <c r="E327" i="3"/>
  <c r="E32" i="3"/>
  <c r="AD6" i="3"/>
  <c r="E119" i="3"/>
  <c r="E317" i="3"/>
  <c r="E56" i="40"/>
  <c r="AB33" i="33"/>
  <c r="U33" i="33"/>
  <c r="E64" i="39"/>
  <c r="E60" i="40"/>
  <c r="E63" i="39"/>
  <c r="E59" i="40"/>
  <c r="AA33" i="33"/>
  <c r="S33" i="33"/>
  <c r="H16" i="1"/>
  <c r="M6" i="1"/>
  <c r="Q16" i="1"/>
  <c r="E13" i="3"/>
  <c r="E57" i="40"/>
  <c r="E61" i="39"/>
  <c r="E58" i="40"/>
  <c r="E62" i="39"/>
  <c r="K55" i="43"/>
  <c r="M55" i="43"/>
  <c r="N55" i="43" s="1"/>
  <c r="K50" i="43"/>
  <c r="M50" i="43"/>
  <c r="N50" i="43" s="1"/>
  <c r="K57" i="43"/>
  <c r="J57" i="43" s="1"/>
  <c r="D57" i="43" s="1"/>
  <c r="M57" i="43"/>
  <c r="N57" i="43" s="1"/>
  <c r="M54" i="43"/>
  <c r="K54" i="43"/>
  <c r="J54" i="43" s="1"/>
  <c r="K56" i="43"/>
  <c r="M56" i="43"/>
  <c r="N56" i="43" s="1"/>
  <c r="D66" i="43"/>
  <c r="J66" i="43"/>
  <c r="D63" i="43"/>
  <c r="J63" i="43"/>
  <c r="C5" i="43"/>
  <c r="D5" i="43"/>
  <c r="D58" i="43"/>
  <c r="J58" i="43"/>
  <c r="D67" i="43"/>
  <c r="J67" i="43"/>
  <c r="D64" i="43"/>
  <c r="J64" i="43"/>
  <c r="D65" i="43"/>
  <c r="J65" i="43"/>
  <c r="M62" i="43"/>
  <c r="N62" i="43" s="1"/>
  <c r="K62" i="43"/>
  <c r="J62" i="43" s="1"/>
  <c r="D62" i="43" s="1"/>
  <c r="J61" i="43"/>
  <c r="D61" i="43"/>
  <c r="E61" i="43" s="1"/>
  <c r="B59" i="43" s="1"/>
  <c r="D69" i="43"/>
  <c r="J69" i="43"/>
  <c r="C49" i="15"/>
  <c r="C61" i="15" s="1"/>
  <c r="E63" i="40"/>
  <c r="D65" i="40"/>
  <c r="S7" i="35"/>
  <c r="AA7" i="21"/>
  <c r="R48" i="21" s="1"/>
  <c r="S7" i="21"/>
  <c r="E52" i="37"/>
  <c r="AB7" i="21"/>
  <c r="T48" i="21" s="1"/>
  <c r="G48" i="21" s="1"/>
  <c r="U7" i="21"/>
  <c r="AC7" i="21"/>
  <c r="V48" i="21" s="1"/>
  <c r="I48" i="21" s="1"/>
  <c r="W7" i="21"/>
  <c r="G58" i="33"/>
  <c r="AA7" i="36"/>
  <c r="R36" i="36" s="1"/>
  <c r="U7" i="34"/>
  <c r="AB7" i="34"/>
  <c r="H7" i="35"/>
  <c r="C19" i="15"/>
  <c r="J19" i="15"/>
  <c r="J18" i="15"/>
  <c r="Q61" i="67"/>
  <c r="Q74" i="67"/>
  <c r="F1" i="15"/>
  <c r="Q52" i="15"/>
  <c r="F24" i="67"/>
  <c r="C24" i="67" s="1"/>
  <c r="F22" i="69"/>
  <c r="F22" i="68"/>
  <c r="F11" i="67"/>
  <c r="C53" i="67" s="1"/>
  <c r="M11" i="67"/>
  <c r="J10" i="67" s="1"/>
  <c r="F11" i="15"/>
  <c r="M11" i="15"/>
  <c r="J10" i="15" s="1"/>
  <c r="J5" i="15" s="1"/>
  <c r="Q60" i="15"/>
  <c r="Q73" i="15"/>
  <c r="Q74" i="15"/>
  <c r="Q61" i="15"/>
  <c r="C32" i="15"/>
  <c r="C33" i="15"/>
  <c r="F13" i="67"/>
  <c r="C16" i="67"/>
  <c r="F25" i="12" l="1"/>
  <c r="C26" i="12" s="1"/>
  <c r="D25" i="12" s="1"/>
  <c r="L36" i="43"/>
  <c r="O36" i="43" s="1"/>
  <c r="AA7" i="34"/>
  <c r="Q57" i="67"/>
  <c r="F1" i="67"/>
  <c r="Q60" i="67"/>
  <c r="E51" i="40"/>
  <c r="F24" i="15"/>
  <c r="C24" i="15" s="1"/>
  <c r="W7" i="36"/>
  <c r="AC7" i="35"/>
  <c r="V38" i="35" s="1"/>
  <c r="I38" i="35" s="1"/>
  <c r="AC7" i="34"/>
  <c r="U7" i="36"/>
  <c r="J10" i="40"/>
  <c r="AC10" i="40" s="1"/>
  <c r="G69" i="39"/>
  <c r="H67" i="39"/>
  <c r="J10" i="39"/>
  <c r="AC10" i="39" s="1"/>
  <c r="E3" i="6"/>
  <c r="AY6" i="3"/>
  <c r="D17" i="53"/>
  <c r="B36" i="72" s="1"/>
  <c r="B34" i="72"/>
  <c r="F30" i="6"/>
  <c r="F31" i="6" s="1"/>
  <c r="E28" i="6"/>
  <c r="D125" i="9"/>
  <c r="D11" i="52" s="1"/>
  <c r="D10" i="52"/>
  <c r="D18" i="53"/>
  <c r="B35" i="72" s="1"/>
  <c r="C7" i="74"/>
  <c r="V16" i="71"/>
  <c r="E15" i="71"/>
  <c r="E14" i="71" s="1"/>
  <c r="E13" i="71" s="1"/>
  <c r="E12" i="71" s="1"/>
  <c r="C16" i="71"/>
  <c r="D17" i="71"/>
  <c r="D56" i="71"/>
  <c r="T56" i="71"/>
  <c r="B38" i="72"/>
  <c r="D20" i="53"/>
  <c r="B40" i="72" s="1"/>
  <c r="D12" i="52"/>
  <c r="D127" i="9"/>
  <c r="D13" i="52" s="1"/>
  <c r="AK5" i="79"/>
  <c r="C23" i="43"/>
  <c r="C36" i="71"/>
  <c r="D35" i="71"/>
  <c r="E16" i="6"/>
  <c r="J50" i="43"/>
  <c r="D50" i="43"/>
  <c r="E56" i="39"/>
  <c r="C32" i="67"/>
  <c r="H10" i="40"/>
  <c r="AB10" i="40" s="1"/>
  <c r="F10" i="40"/>
  <c r="AA10" i="40" s="1"/>
  <c r="H10" i="39"/>
  <c r="AB10" i="39" s="1"/>
  <c r="C49" i="67"/>
  <c r="C48" i="67" s="1"/>
  <c r="F59" i="67"/>
  <c r="J6" i="67"/>
  <c r="J19" i="67" s="1"/>
  <c r="M17" i="67"/>
  <c r="G36" i="33"/>
  <c r="F36" i="33"/>
  <c r="G37" i="34"/>
  <c r="F37" i="34"/>
  <c r="F27" i="11"/>
  <c r="F27" i="69"/>
  <c r="F27" i="68"/>
  <c r="F28" i="12"/>
  <c r="C29" i="12" s="1"/>
  <c r="D28" i="12" s="1"/>
  <c r="AY523" i="3"/>
  <c r="AY570" i="3"/>
  <c r="AY565" i="3"/>
  <c r="AY584" i="3"/>
  <c r="AY582" i="3"/>
  <c r="AY502" i="3"/>
  <c r="AY497" i="3"/>
  <c r="AY427" i="3"/>
  <c r="AY580" i="3"/>
  <c r="AY403" i="3"/>
  <c r="AY299" i="3"/>
  <c r="AY219" i="3"/>
  <c r="AY366" i="3"/>
  <c r="AY282" i="3"/>
  <c r="AY106" i="3"/>
  <c r="AY465" i="3"/>
  <c r="AY185" i="3"/>
  <c r="AY105" i="3"/>
  <c r="AY563" i="3"/>
  <c r="AY483" i="3"/>
  <c r="AY434" i="3"/>
  <c r="AY525" i="3"/>
  <c r="AY457" i="3"/>
  <c r="AY380" i="3"/>
  <c r="AY468" i="3"/>
  <c r="AY327" i="3"/>
  <c r="AY151" i="3"/>
  <c r="AY71" i="3"/>
  <c r="AY214" i="3"/>
  <c r="AY134" i="3"/>
  <c r="AY377" i="3"/>
  <c r="AY524" i="3"/>
  <c r="AY175" i="3"/>
  <c r="AY334" i="3"/>
  <c r="AY464" i="3"/>
  <c r="AY253" i="3"/>
  <c r="AY51" i="3"/>
  <c r="BR6" i="3"/>
  <c r="AY35" i="3"/>
  <c r="AY316" i="3"/>
  <c r="AY45" i="3"/>
  <c r="AY494" i="3"/>
  <c r="AY408" i="3"/>
  <c r="AY500" i="3"/>
  <c r="AY355" i="3"/>
  <c r="AY259" i="3"/>
  <c r="AY99" i="3"/>
  <c r="AY322" i="3"/>
  <c r="AY162" i="3"/>
  <c r="AY82" i="3"/>
  <c r="AY309" i="3"/>
  <c r="AY245" i="3"/>
  <c r="AY141" i="3"/>
  <c r="AY77" i="3"/>
  <c r="BE6" i="3"/>
  <c r="BF6" i="3"/>
  <c r="AY200" i="3"/>
  <c r="AY104" i="3"/>
  <c r="BH6" i="3"/>
  <c r="AY308" i="3"/>
  <c r="AY386" i="3"/>
  <c r="AY300" i="3"/>
  <c r="AY463" i="3"/>
  <c r="AY569" i="3"/>
  <c r="AY456" i="3"/>
  <c r="AY360" i="3"/>
  <c r="AY429" i="3"/>
  <c r="AY275" i="3"/>
  <c r="AY83" i="3"/>
  <c r="AY306" i="3"/>
  <c r="AY146" i="3"/>
  <c r="AY50" i="3"/>
  <c r="AY277" i="3"/>
  <c r="AY193" i="3"/>
  <c r="AY65" i="3"/>
  <c r="AY148" i="3"/>
  <c r="AY216" i="3"/>
  <c r="AY56" i="3"/>
  <c r="AY132" i="3"/>
  <c r="AY284" i="3"/>
  <c r="AY478" i="3"/>
  <c r="AY528" i="3"/>
  <c r="AY404" i="3"/>
  <c r="AY492" i="3"/>
  <c r="AY351" i="3"/>
  <c r="AY255" i="3"/>
  <c r="AY127" i="3"/>
  <c r="AY95" i="3"/>
  <c r="AY286" i="3"/>
  <c r="AY254" i="3"/>
  <c r="AY126" i="3"/>
  <c r="AY78" i="3"/>
  <c r="AY325" i="3"/>
  <c r="AY305" i="3"/>
  <c r="AY241" i="3"/>
  <c r="AY221" i="3"/>
  <c r="AY157" i="3"/>
  <c r="AY133" i="3"/>
  <c r="AY69" i="3"/>
  <c r="AY378" i="3"/>
  <c r="AY16" i="3"/>
  <c r="BA6" i="3"/>
  <c r="AY352" i="3"/>
  <c r="AY320" i="3"/>
  <c r="AY224" i="3"/>
  <c r="AY192" i="3"/>
  <c r="AY96" i="3"/>
  <c r="AY57" i="3"/>
  <c r="BT6" i="3"/>
  <c r="BD6" i="3"/>
  <c r="AY268" i="3"/>
  <c r="AY228" i="3"/>
  <c r="AY25" i="3"/>
  <c r="AY370" i="3"/>
  <c r="AY292" i="3"/>
  <c r="AY220" i="3"/>
  <c r="AY147" i="3"/>
  <c r="AY70" i="3"/>
  <c r="AY362" i="3"/>
  <c r="BQ6" i="3"/>
  <c r="AY184" i="3"/>
  <c r="AY88" i="3"/>
  <c r="AY332" i="3"/>
  <c r="AY212" i="3"/>
  <c r="AY340" i="3"/>
  <c r="AY204" i="3"/>
  <c r="E6" i="6"/>
  <c r="D37" i="11"/>
  <c r="C37" i="11" s="1"/>
  <c r="D14" i="12"/>
  <c r="D19" i="11"/>
  <c r="C19" i="11" s="1"/>
  <c r="C24" i="11" s="1"/>
  <c r="D3" i="21"/>
  <c r="B3" i="21" s="1"/>
  <c r="C17" i="4"/>
  <c r="B4" i="52" s="1"/>
  <c r="B43" i="72" s="1"/>
  <c r="D3" i="37"/>
  <c r="B3" i="37" s="1"/>
  <c r="M18" i="9"/>
  <c r="B118" i="9" s="1"/>
  <c r="L18" i="9"/>
  <c r="E65" i="39"/>
  <c r="AC6" i="3"/>
  <c r="H6" i="3"/>
  <c r="J55" i="43"/>
  <c r="D55" i="43"/>
  <c r="N54" i="43"/>
  <c r="D54" i="43"/>
  <c r="J56" i="43"/>
  <c r="D56" i="43"/>
  <c r="I42" i="35"/>
  <c r="J42" i="35" s="1"/>
  <c r="I43" i="35"/>
  <c r="J43" i="35" s="1"/>
  <c r="R39" i="35"/>
  <c r="E38" i="35"/>
  <c r="J17" i="15"/>
  <c r="AB7" i="35"/>
  <c r="T38" i="35" s="1"/>
  <c r="G38" i="35" s="1"/>
  <c r="U7" i="35"/>
  <c r="E36" i="36"/>
  <c r="I41" i="36" s="1"/>
  <c r="J41" i="36" s="1"/>
  <c r="R37" i="36"/>
  <c r="I52" i="21"/>
  <c r="J52" i="21" s="1"/>
  <c r="S10" i="39"/>
  <c r="AA10" i="39"/>
  <c r="G52" i="21"/>
  <c r="H52" i="21" s="1"/>
  <c r="G53" i="21"/>
  <c r="H53" i="21" s="1"/>
  <c r="F52" i="37"/>
  <c r="W10" i="40"/>
  <c r="F63" i="40"/>
  <c r="E65" i="40"/>
  <c r="G40" i="36"/>
  <c r="H40" i="36" s="1"/>
  <c r="G41" i="36"/>
  <c r="H41" i="36" s="1"/>
  <c r="H58" i="33"/>
  <c r="R49" i="21"/>
  <c r="E48" i="21"/>
  <c r="I40" i="36"/>
  <c r="J40" i="36" s="1"/>
  <c r="J26" i="15"/>
  <c r="J29" i="15" s="1"/>
  <c r="J24" i="15"/>
  <c r="C44" i="69"/>
  <c r="D41" i="69" s="1"/>
  <c r="C26" i="69"/>
  <c r="D22" i="69" s="1"/>
  <c r="C24" i="69"/>
  <c r="F41" i="69"/>
  <c r="C20" i="15"/>
  <c r="C44" i="11"/>
  <c r="D41" i="11" s="1"/>
  <c r="C26" i="11"/>
  <c r="D22" i="11" s="1"/>
  <c r="C23" i="11"/>
  <c r="C31" i="15"/>
  <c r="C10" i="67"/>
  <c r="C5" i="67" s="1"/>
  <c r="C53" i="15"/>
  <c r="C48" i="15" s="1"/>
  <c r="C10" i="15"/>
  <c r="C5" i="15" s="1"/>
  <c r="C44" i="68"/>
  <c r="D41" i="68" s="1"/>
  <c r="C26" i="68"/>
  <c r="D22" i="68" s="1"/>
  <c r="F41" i="68"/>
  <c r="AE6" i="1"/>
  <c r="P36" i="43" l="1"/>
  <c r="L37" i="43"/>
  <c r="Q37" i="43" s="1"/>
  <c r="M36" i="43"/>
  <c r="N36" i="43"/>
  <c r="Q36" i="43"/>
  <c r="AY555" i="3"/>
  <c r="AY491" i="3"/>
  <c r="AY554" i="3"/>
  <c r="AY490" i="3"/>
  <c r="AY426" i="3"/>
  <c r="AY533" i="3"/>
  <c r="AY552" i="3"/>
  <c r="AY551" i="3"/>
  <c r="AY487" i="3"/>
  <c r="AY550" i="3"/>
  <c r="AY486" i="3"/>
  <c r="AY422" i="3"/>
  <c r="AY529" i="3"/>
  <c r="AY544" i="3"/>
  <c r="AY405" i="3"/>
  <c r="AY448" i="3"/>
  <c r="AY384" i="3"/>
  <c r="AY516" i="3"/>
  <c r="AY387" i="3"/>
  <c r="AY453" i="3"/>
  <c r="AY331" i="3"/>
  <c r="AY267" i="3"/>
  <c r="AY203" i="3"/>
  <c r="AY139" i="3"/>
  <c r="AY75" i="3"/>
  <c r="AY330" i="3"/>
  <c r="AY266" i="3"/>
  <c r="AY202" i="3"/>
  <c r="AY138" i="3"/>
  <c r="AY74" i="3"/>
  <c r="AY345" i="3"/>
  <c r="AY281" i="3"/>
  <c r="AY217" i="3"/>
  <c r="AY153" i="3"/>
  <c r="AY89" i="3"/>
  <c r="AY60" i="3"/>
  <c r="AY196" i="3"/>
  <c r="AY531" i="3"/>
  <c r="AY467" i="3"/>
  <c r="AY530" i="3"/>
  <c r="AY466" i="3"/>
  <c r="AY573" i="3"/>
  <c r="AY509" i="3"/>
  <c r="AY504" i="3"/>
  <c r="AY385" i="3"/>
  <c r="AY425" i="3"/>
  <c r="AY364" i="3"/>
  <c r="AY447" i="3"/>
  <c r="AY367" i="3"/>
  <c r="AY436" i="3"/>
  <c r="AY311" i="3"/>
  <c r="AY247" i="3"/>
  <c r="AY183" i="3"/>
  <c r="AY119" i="3"/>
  <c r="AY390" i="3"/>
  <c r="AY310" i="3"/>
  <c r="AY246" i="3"/>
  <c r="AY182" i="3"/>
  <c r="AY118" i="3"/>
  <c r="AY510" i="3"/>
  <c r="AY488" i="3"/>
  <c r="AY417" i="3"/>
  <c r="AY431" i="3"/>
  <c r="AY428" i="3"/>
  <c r="AY239" i="3"/>
  <c r="AY111" i="3"/>
  <c r="AY302" i="3"/>
  <c r="AY174" i="3"/>
  <c r="AY66" i="3"/>
  <c r="AY317" i="3"/>
  <c r="AY229" i="3"/>
  <c r="AY145" i="3"/>
  <c r="AY61" i="3"/>
  <c r="BI6" i="3"/>
  <c r="AY336" i="3"/>
  <c r="AY208" i="3"/>
  <c r="AY80" i="3"/>
  <c r="BL6" i="3"/>
  <c r="AY244" i="3"/>
  <c r="AY402" i="3"/>
  <c r="AY276" i="3"/>
  <c r="AY559" i="3"/>
  <c r="AY430" i="3"/>
  <c r="AY397" i="3"/>
  <c r="D3" i="6"/>
  <c r="AY539" i="3"/>
  <c r="AY475" i="3"/>
  <c r="AY538" i="3"/>
  <c r="AY474" i="3"/>
  <c r="AY581" i="3"/>
  <c r="AY517" i="3"/>
  <c r="AY520" i="3"/>
  <c r="AY535" i="3"/>
  <c r="AY471" i="3"/>
  <c r="AY534" i="3"/>
  <c r="AY470" i="3"/>
  <c r="AY577" i="3"/>
  <c r="AY513" i="3"/>
  <c r="AY512" i="3"/>
  <c r="AY389" i="3"/>
  <c r="AY432" i="3"/>
  <c r="AY368" i="3"/>
  <c r="AY455" i="3"/>
  <c r="AY371" i="3"/>
  <c r="AY437" i="3"/>
  <c r="AY315" i="3"/>
  <c r="AY251" i="3"/>
  <c r="AY187" i="3"/>
  <c r="AY123" i="3"/>
  <c r="AY398" i="3"/>
  <c r="AY314" i="3"/>
  <c r="AY250" i="3"/>
  <c r="AY186" i="3"/>
  <c r="AY122" i="3"/>
  <c r="AY58" i="3"/>
  <c r="AY329" i="3"/>
  <c r="AY265" i="3"/>
  <c r="AY201" i="3"/>
  <c r="AY137" i="3"/>
  <c r="AY73" i="3"/>
  <c r="AY40" i="3"/>
  <c r="AY579" i="3"/>
  <c r="AY515" i="3"/>
  <c r="AY578" i="3"/>
  <c r="AY514" i="3"/>
  <c r="AY450" i="3"/>
  <c r="AY557" i="3"/>
  <c r="AY493" i="3"/>
  <c r="AY451" i="3"/>
  <c r="AY369" i="3"/>
  <c r="AY412" i="3"/>
  <c r="AY572" i="3"/>
  <c r="AY415" i="3"/>
  <c r="AY484" i="3"/>
  <c r="AY420" i="3"/>
  <c r="AY295" i="3"/>
  <c r="AY231" i="3"/>
  <c r="AY167" i="3"/>
  <c r="AY103" i="3"/>
  <c r="AY358" i="3"/>
  <c r="AY294" i="3"/>
  <c r="AY230" i="3"/>
  <c r="AY166" i="3"/>
  <c r="AY575" i="3"/>
  <c r="AY446" i="3"/>
  <c r="AY409" i="3"/>
  <c r="AY388" i="3"/>
  <c r="AY391" i="3"/>
  <c r="AY335" i="3"/>
  <c r="AY207" i="3"/>
  <c r="AY79" i="3"/>
  <c r="AY270" i="3"/>
  <c r="AY142" i="3"/>
  <c r="AY46" i="3"/>
  <c r="AY293" i="3"/>
  <c r="AY209" i="3"/>
  <c r="AY125" i="3"/>
  <c r="AY67" i="3"/>
  <c r="AY140" i="3"/>
  <c r="AY304" i="3"/>
  <c r="AY176" i="3"/>
  <c r="AY49" i="3"/>
  <c r="AY34" i="3"/>
  <c r="AY180" i="3"/>
  <c r="AY47" i="3"/>
  <c r="AY188" i="3"/>
  <c r="AY495" i="3"/>
  <c r="AY537" i="3"/>
  <c r="AY507" i="3"/>
  <c r="AY506" i="3"/>
  <c r="AY549" i="3"/>
  <c r="AY567" i="3"/>
  <c r="AY566" i="3"/>
  <c r="AY438" i="3"/>
  <c r="AY576" i="3"/>
  <c r="AY357" i="3"/>
  <c r="AY548" i="3"/>
  <c r="AY469" i="3"/>
  <c r="AY283" i="3"/>
  <c r="AY155" i="3"/>
  <c r="AY346" i="3"/>
  <c r="AY218" i="3"/>
  <c r="AY90" i="3"/>
  <c r="AY297" i="3"/>
  <c r="AY169" i="3"/>
  <c r="AY68" i="3"/>
  <c r="AY547" i="3"/>
  <c r="AY546" i="3"/>
  <c r="AY418" i="3"/>
  <c r="AY536" i="3"/>
  <c r="AY441" i="3"/>
  <c r="AY508" i="3"/>
  <c r="AY452" i="3"/>
  <c r="AY263" i="3"/>
  <c r="AY135" i="3"/>
  <c r="AY326" i="3"/>
  <c r="AY198" i="3"/>
  <c r="AY574" i="3"/>
  <c r="AY449" i="3"/>
  <c r="AY460" i="3"/>
  <c r="AY143" i="3"/>
  <c r="AY206" i="3"/>
  <c r="AY337" i="3"/>
  <c r="AY165" i="3"/>
  <c r="AY28" i="3"/>
  <c r="AY240" i="3"/>
  <c r="AY19" i="3"/>
  <c r="AY33" i="3"/>
  <c r="AY461" i="3"/>
  <c r="AY443" i="3"/>
  <c r="AY376" i="3"/>
  <c r="AY379" i="3"/>
  <c r="AY323" i="3"/>
  <c r="AY195" i="3"/>
  <c r="AY414" i="3"/>
  <c r="AY258" i="3"/>
  <c r="AY130" i="3"/>
  <c r="AY480" i="3"/>
  <c r="AY289" i="3"/>
  <c r="AY205" i="3"/>
  <c r="AY117" i="3"/>
  <c r="AY64" i="3"/>
  <c r="AY124" i="3"/>
  <c r="AY296" i="3"/>
  <c r="AY168" i="3"/>
  <c r="AY48" i="3"/>
  <c r="AY22" i="3"/>
  <c r="AY172" i="3"/>
  <c r="AY42" i="3"/>
  <c r="AY156" i="3"/>
  <c r="AY526" i="3"/>
  <c r="AY496" i="3"/>
  <c r="AY424" i="3"/>
  <c r="AY439" i="3"/>
  <c r="AY339" i="3"/>
  <c r="AY211" i="3"/>
  <c r="AY382" i="3"/>
  <c r="AY242" i="3"/>
  <c r="AY114" i="3"/>
  <c r="AY341" i="3"/>
  <c r="AY257" i="3"/>
  <c r="AY149" i="3"/>
  <c r="AY59" i="3"/>
  <c r="AY344" i="3"/>
  <c r="AY152" i="3"/>
  <c r="BP6" i="3"/>
  <c r="BJ6" i="3"/>
  <c r="AY543" i="3"/>
  <c r="AY585" i="3"/>
  <c r="AY393" i="3"/>
  <c r="AY372" i="3"/>
  <c r="AY375" i="3"/>
  <c r="AY319" i="3"/>
  <c r="AY587" i="3"/>
  <c r="AY586" i="3"/>
  <c r="AY458" i="3"/>
  <c r="AY501" i="3"/>
  <c r="AY519" i="3"/>
  <c r="AY518" i="3"/>
  <c r="AY561" i="3"/>
  <c r="AY459" i="3"/>
  <c r="AY416" i="3"/>
  <c r="AY423" i="3"/>
  <c r="AY421" i="3"/>
  <c r="AY235" i="3"/>
  <c r="AY107" i="3"/>
  <c r="AY298" i="3"/>
  <c r="AY170" i="3"/>
  <c r="AY481" i="3"/>
  <c r="AY249" i="3"/>
  <c r="AY121" i="3"/>
  <c r="AY24" i="3"/>
  <c r="AY499" i="3"/>
  <c r="AY498" i="3"/>
  <c r="AY541" i="3"/>
  <c r="AY419" i="3"/>
  <c r="AY396" i="3"/>
  <c r="AY399" i="3"/>
  <c r="AY343" i="3"/>
  <c r="AY215" i="3"/>
  <c r="AY87" i="3"/>
  <c r="AY278" i="3"/>
  <c r="AY150" i="3"/>
  <c r="AY553" i="3"/>
  <c r="AY356" i="3"/>
  <c r="AY303" i="3"/>
  <c r="AY374" i="3"/>
  <c r="AY110" i="3"/>
  <c r="AY273" i="3"/>
  <c r="AY101" i="3"/>
  <c r="AY52" i="3"/>
  <c r="AY144" i="3"/>
  <c r="BK6" i="3"/>
  <c r="AY18" i="3"/>
  <c r="AY558" i="3"/>
  <c r="AY365" i="3"/>
  <c r="AY564" i="3"/>
  <c r="AY477" i="3"/>
  <c r="AY291" i="3"/>
  <c r="AY163" i="3"/>
  <c r="AY354" i="3"/>
  <c r="AY226" i="3"/>
  <c r="AY102" i="3"/>
  <c r="AY353" i="3"/>
  <c r="AY269" i="3"/>
  <c r="AY181" i="3"/>
  <c r="AY97" i="3"/>
  <c r="AY44" i="3"/>
  <c r="AY37" i="3"/>
  <c r="AY264" i="3"/>
  <c r="AY136" i="3"/>
  <c r="AY31" i="3"/>
  <c r="BC6" i="3"/>
  <c r="AY100" i="3"/>
  <c r="AY14" i="3"/>
  <c r="AY13" i="3"/>
  <c r="AY462" i="3"/>
  <c r="AY413" i="3"/>
  <c r="AY392" i="3"/>
  <c r="AY395" i="3"/>
  <c r="AY307" i="3"/>
  <c r="AY179" i="3"/>
  <c r="AY338" i="3"/>
  <c r="AY210" i="3"/>
  <c r="AY94" i="3"/>
  <c r="AY321" i="3"/>
  <c r="AY213" i="3"/>
  <c r="AY109" i="3"/>
  <c r="AY32" i="3"/>
  <c r="AY312" i="3"/>
  <c r="AY120" i="3"/>
  <c r="BO6" i="3"/>
  <c r="AY26" i="3"/>
  <c r="AY479" i="3"/>
  <c r="AY521" i="3"/>
  <c r="AY361" i="3"/>
  <c r="AY556" i="3"/>
  <c r="AY476" i="3"/>
  <c r="AY287" i="3"/>
  <c r="AY159" i="3"/>
  <c r="AY350" i="3"/>
  <c r="AY222" i="3"/>
  <c r="AY98" i="3"/>
  <c r="AY349" i="3"/>
  <c r="AY55" i="3"/>
  <c r="AY38" i="3"/>
  <c r="AY280" i="3"/>
  <c r="AY129" i="3"/>
  <c r="BN6" i="3"/>
  <c r="BG6" i="3"/>
  <c r="AY84" i="3"/>
  <c r="AY348" i="3"/>
  <c r="AY27" i="3"/>
  <c r="AY128" i="3"/>
  <c r="AY256" i="3"/>
  <c r="AY21" i="3"/>
  <c r="AY36" i="3"/>
  <c r="AY93" i="3"/>
  <c r="AY177" i="3"/>
  <c r="AY261" i="3"/>
  <c r="AY473" i="3"/>
  <c r="AY158" i="3"/>
  <c r="AY318" i="3"/>
  <c r="AY191" i="3"/>
  <c r="AY444" i="3"/>
  <c r="AY433" i="3"/>
  <c r="AY542" i="3"/>
  <c r="AY260" i="3"/>
  <c r="AY248" i="3"/>
  <c r="AY85" i="3"/>
  <c r="AY301" i="3"/>
  <c r="AY178" i="3"/>
  <c r="AY115" i="3"/>
  <c r="AY363" i="3"/>
  <c r="AY381" i="3"/>
  <c r="AY527" i="3"/>
  <c r="AY29" i="3"/>
  <c r="AY15" i="3"/>
  <c r="AY232" i="3"/>
  <c r="AY20" i="3"/>
  <c r="AY161" i="3"/>
  <c r="AY333" i="3"/>
  <c r="AY194" i="3"/>
  <c r="AY131" i="3"/>
  <c r="AY445" i="3"/>
  <c r="AY440" i="3"/>
  <c r="AY324" i="3"/>
  <c r="AY112" i="3"/>
  <c r="AY81" i="3"/>
  <c r="AY86" i="3"/>
  <c r="AY271" i="3"/>
  <c r="AY489" i="3"/>
  <c r="AY262" i="3"/>
  <c r="AY199" i="3"/>
  <c r="AY383" i="3"/>
  <c r="AY401" i="3"/>
  <c r="AY482" i="3"/>
  <c r="BM6" i="3"/>
  <c r="AY233" i="3"/>
  <c r="AY154" i="3"/>
  <c r="AY91" i="3"/>
  <c r="AY347" i="3"/>
  <c r="AY400" i="3"/>
  <c r="AY545" i="3"/>
  <c r="AY503" i="3"/>
  <c r="AY442" i="3"/>
  <c r="AY571" i="3"/>
  <c r="S10" i="40"/>
  <c r="BB6" i="3"/>
  <c r="AY41" i="3"/>
  <c r="AY23" i="3"/>
  <c r="AY17" i="3"/>
  <c r="AY237" i="3"/>
  <c r="AY76" i="3"/>
  <c r="AY30" i="3"/>
  <c r="AY164" i="3"/>
  <c r="BS6" i="3"/>
  <c r="AY43" i="3"/>
  <c r="AY160" i="3"/>
  <c r="AY288" i="3"/>
  <c r="AY116" i="3"/>
  <c r="AY63" i="3"/>
  <c r="AY113" i="3"/>
  <c r="AY197" i="3"/>
  <c r="AY285" i="3"/>
  <c r="AY54" i="3"/>
  <c r="AY190" i="3"/>
  <c r="AY406" i="3"/>
  <c r="AY223" i="3"/>
  <c r="AY407" i="3"/>
  <c r="AY435" i="3"/>
  <c r="AY53" i="3"/>
  <c r="AY39" i="3"/>
  <c r="AY92" i="3"/>
  <c r="AY173" i="3"/>
  <c r="AY472" i="3"/>
  <c r="AY274" i="3"/>
  <c r="AY243" i="3"/>
  <c r="AY532" i="3"/>
  <c r="AY505" i="3"/>
  <c r="AY252" i="3"/>
  <c r="AY236" i="3"/>
  <c r="AY72" i="3"/>
  <c r="AY328" i="3"/>
  <c r="AY394" i="3"/>
  <c r="AY225" i="3"/>
  <c r="AY62" i="3"/>
  <c r="AY290" i="3"/>
  <c r="AY227" i="3"/>
  <c r="AY411" i="3"/>
  <c r="AY560" i="3"/>
  <c r="AY108" i="3"/>
  <c r="AY272" i="3"/>
  <c r="AY189" i="3"/>
  <c r="AY238" i="3"/>
  <c r="AY359" i="3"/>
  <c r="AY511" i="3"/>
  <c r="AY342" i="3"/>
  <c r="AY279" i="3"/>
  <c r="AY540" i="3"/>
  <c r="AY568" i="3"/>
  <c r="AY562" i="3"/>
  <c r="AY410" i="3"/>
  <c r="AY313" i="3"/>
  <c r="AY234" i="3"/>
  <c r="AY171" i="3"/>
  <c r="AY485" i="3"/>
  <c r="AY373" i="3"/>
  <c r="AY454" i="3"/>
  <c r="AY583" i="3"/>
  <c r="AY522" i="3"/>
  <c r="U10" i="39"/>
  <c r="H69" i="39"/>
  <c r="I67" i="39"/>
  <c r="W10" i="39"/>
  <c r="E11" i="71"/>
  <c r="E10" i="71" s="1"/>
  <c r="E9" i="71" s="1"/>
  <c r="E8" i="71" s="1"/>
  <c r="E7" i="71" s="1"/>
  <c r="E6" i="71" s="1"/>
  <c r="E5" i="71" s="1"/>
  <c r="V12" i="71"/>
  <c r="K14" i="1"/>
  <c r="E30" i="6"/>
  <c r="E31" i="6" s="1"/>
  <c r="K20" i="6"/>
  <c r="M20" i="6" s="1"/>
  <c r="I20" i="6" s="1"/>
  <c r="S20" i="6" s="1"/>
  <c r="K25" i="6"/>
  <c r="M25" i="6" s="1"/>
  <c r="I25" i="6" s="1"/>
  <c r="S25" i="6" s="1"/>
  <c r="K26" i="6"/>
  <c r="M26" i="6" s="1"/>
  <c r="I26" i="6" s="1"/>
  <c r="S26" i="6" s="1"/>
  <c r="K21" i="6"/>
  <c r="M21" i="6" s="1"/>
  <c r="I21" i="6" s="1"/>
  <c r="S21" i="6" s="1"/>
  <c r="K24" i="6"/>
  <c r="M24" i="6" s="1"/>
  <c r="I24" i="6" s="1"/>
  <c r="S24" i="6" s="1"/>
  <c r="K19" i="6"/>
  <c r="K22" i="6"/>
  <c r="M22" i="6" s="1"/>
  <c r="I22" i="6" s="1"/>
  <c r="S22" i="6" s="1"/>
  <c r="K23" i="6"/>
  <c r="M23" i="6" s="1"/>
  <c r="I23" i="6" s="1"/>
  <c r="S23" i="6" s="1"/>
  <c r="T16" i="71"/>
  <c r="C15" i="71"/>
  <c r="M23" i="43"/>
  <c r="D16" i="71"/>
  <c r="U16" i="71" s="1"/>
  <c r="D36" i="71"/>
  <c r="T36" i="71"/>
  <c r="U10" i="40"/>
  <c r="E6" i="3"/>
  <c r="C61" i="67"/>
  <c r="J18" i="67"/>
  <c r="J5" i="67"/>
  <c r="S36" i="33"/>
  <c r="AA36" i="33"/>
  <c r="S37" i="34"/>
  <c r="AA37" i="34"/>
  <c r="R49" i="34" s="1"/>
  <c r="H36" i="33"/>
  <c r="I36" i="33"/>
  <c r="J36" i="33" s="1"/>
  <c r="H37" i="34"/>
  <c r="I37" i="34"/>
  <c r="J37" i="34" s="1"/>
  <c r="C20" i="11"/>
  <c r="C25" i="11" s="1"/>
  <c r="C22" i="11" s="1"/>
  <c r="C47" i="69"/>
  <c r="D45" i="69" s="1"/>
  <c r="F45" i="69"/>
  <c r="C29" i="69"/>
  <c r="D27" i="69" s="1"/>
  <c r="D10" i="69"/>
  <c r="D10" i="68"/>
  <c r="D10" i="11"/>
  <c r="C10" i="11" s="1"/>
  <c r="D20" i="12"/>
  <c r="C20" i="12" s="1"/>
  <c r="C29" i="68"/>
  <c r="D27" i="68" s="1"/>
  <c r="C47" i="68"/>
  <c r="D45" i="68" s="1"/>
  <c r="F45" i="68"/>
  <c r="C14" i="12"/>
  <c r="C16" i="12" s="1"/>
  <c r="D17" i="12"/>
  <c r="C17" i="12" s="1"/>
  <c r="D19" i="6"/>
  <c r="D24" i="6"/>
  <c r="M19" i="9"/>
  <c r="C118" i="9" s="1"/>
  <c r="D11" i="6"/>
  <c r="D10" i="6"/>
  <c r="D5" i="6"/>
  <c r="D14" i="6"/>
  <c r="H22" i="6"/>
  <c r="H25" i="6"/>
  <c r="D29" i="6"/>
  <c r="D22" i="6"/>
  <c r="D8" i="6"/>
  <c r="D15" i="6"/>
  <c r="D21" i="6"/>
  <c r="H26" i="6"/>
  <c r="D23" i="6"/>
  <c r="D9" i="6"/>
  <c r="D28" i="6"/>
  <c r="D20" i="6"/>
  <c r="L19" i="9"/>
  <c r="D25" i="6"/>
  <c r="D12" i="6"/>
  <c r="D6" i="6"/>
  <c r="H21" i="6"/>
  <c r="D26" i="6"/>
  <c r="R26" i="6" s="1"/>
  <c r="E61" i="40"/>
  <c r="D13" i="6"/>
  <c r="C18" i="4"/>
  <c r="C47" i="11"/>
  <c r="D45" i="11" s="1"/>
  <c r="C29" i="11"/>
  <c r="D27" i="11" s="1"/>
  <c r="E50" i="43"/>
  <c r="B48" i="43" s="1"/>
  <c r="C28" i="43" s="1"/>
  <c r="I58" i="33"/>
  <c r="G52" i="37"/>
  <c r="H52" i="37" s="1"/>
  <c r="I52" i="37" s="1"/>
  <c r="J52" i="37" s="1"/>
  <c r="K52" i="37" s="1"/>
  <c r="L52" i="37" s="1"/>
  <c r="M52" i="37" s="1"/>
  <c r="N52" i="37" s="1"/>
  <c r="O52" i="37" s="1"/>
  <c r="H7" i="37"/>
  <c r="J7" i="37"/>
  <c r="E40" i="36"/>
  <c r="F40" i="36" s="1"/>
  <c r="E41" i="36"/>
  <c r="F41" i="36" s="1"/>
  <c r="E53" i="21"/>
  <c r="F53" i="21" s="1"/>
  <c r="E52" i="21"/>
  <c r="F52" i="21" s="1"/>
  <c r="C48" i="21"/>
  <c r="C49" i="21"/>
  <c r="F65" i="40"/>
  <c r="G63" i="40"/>
  <c r="I53" i="21"/>
  <c r="J53" i="21" s="1"/>
  <c r="E42" i="35"/>
  <c r="F42" i="35" s="1"/>
  <c r="E43" i="35"/>
  <c r="F43" i="35" s="1"/>
  <c r="F7" i="37"/>
  <c r="C37" i="36"/>
  <c r="C36" i="36"/>
  <c r="G42" i="35"/>
  <c r="H42" i="35" s="1"/>
  <c r="G43" i="35"/>
  <c r="H43" i="35" s="1"/>
  <c r="C38" i="35"/>
  <c r="C39" i="35"/>
  <c r="M3" i="35" s="1"/>
  <c r="C60" i="15"/>
  <c r="C59" i="15" s="1"/>
  <c r="C66" i="15"/>
  <c r="C26" i="15"/>
  <c r="C38" i="67"/>
  <c r="C23" i="15"/>
  <c r="C60" i="67"/>
  <c r="C66" i="67"/>
  <c r="C38" i="15"/>
  <c r="F41" i="67"/>
  <c r="O37" i="43" l="1"/>
  <c r="P37" i="43"/>
  <c r="M37" i="43"/>
  <c r="N37" i="43"/>
  <c r="F69" i="67"/>
  <c r="H24" i="6"/>
  <c r="H20" i="6"/>
  <c r="H23" i="6"/>
  <c r="R23" i="6" s="1"/>
  <c r="I69" i="39"/>
  <c r="J67" i="39"/>
  <c r="C14" i="71"/>
  <c r="D15" i="71"/>
  <c r="K27" i="6"/>
  <c r="M19" i="6"/>
  <c r="S6" i="1"/>
  <c r="R22" i="6"/>
  <c r="M14" i="1"/>
  <c r="M16" i="1" s="1"/>
  <c r="C34" i="69"/>
  <c r="K16" i="1"/>
  <c r="R21" i="6"/>
  <c r="R25" i="6"/>
  <c r="J26" i="67"/>
  <c r="J29" i="67" s="1"/>
  <c r="J24" i="67"/>
  <c r="E49" i="34"/>
  <c r="AB37" i="34"/>
  <c r="T49" i="34" s="1"/>
  <c r="G49" i="34" s="1"/>
  <c r="U37" i="34"/>
  <c r="AC36" i="33"/>
  <c r="W36" i="33"/>
  <c r="AC37" i="34"/>
  <c r="V49" i="34" s="1"/>
  <c r="I49" i="34" s="1"/>
  <c r="W37" i="34"/>
  <c r="U36" i="33"/>
  <c r="AB36" i="33"/>
  <c r="R24" i="6"/>
  <c r="R20" i="6"/>
  <c r="D16" i="6"/>
  <c r="D27" i="6"/>
  <c r="C10" i="69"/>
  <c r="C8" i="69" s="1"/>
  <c r="D19" i="69"/>
  <c r="D37" i="69" s="1"/>
  <c r="C37" i="69" s="1"/>
  <c r="C4" i="52"/>
  <c r="B45" i="72" s="1"/>
  <c r="A7" i="51"/>
  <c r="B7" i="72" s="1"/>
  <c r="A10" i="51"/>
  <c r="B9" i="72" s="1"/>
  <c r="D30" i="6"/>
  <c r="C10" i="68"/>
  <c r="D19" i="68"/>
  <c r="C28" i="11"/>
  <c r="C27" i="11" s="1"/>
  <c r="C31" i="11" s="1"/>
  <c r="T12" i="43"/>
  <c r="V12" i="43" s="1"/>
  <c r="T11" i="43"/>
  <c r="V11" i="43" s="1"/>
  <c r="T16" i="43"/>
  <c r="V16" i="43" s="1"/>
  <c r="T6" i="43"/>
  <c r="T8" i="43"/>
  <c r="V8" i="43" s="1"/>
  <c r="C42" i="43"/>
  <c r="C41" i="43"/>
  <c r="T14" i="43"/>
  <c r="V14" i="43" s="1"/>
  <c r="T5" i="43"/>
  <c r="V5" i="43" s="1"/>
  <c r="T7" i="43"/>
  <c r="V7" i="43" s="1"/>
  <c r="T3" i="43"/>
  <c r="V3" i="43" s="1"/>
  <c r="C38" i="43"/>
  <c r="T4" i="43"/>
  <c r="V4" i="43" s="1"/>
  <c r="T2" i="43"/>
  <c r="V2" i="43" s="1"/>
  <c r="T9" i="43"/>
  <c r="V9" i="43" s="1"/>
  <c r="C37" i="43"/>
  <c r="C40" i="43"/>
  <c r="C39" i="43"/>
  <c r="T15" i="43"/>
  <c r="V15" i="43" s="1"/>
  <c r="C33" i="43"/>
  <c r="T13" i="43"/>
  <c r="V13" i="43" s="1"/>
  <c r="T10" i="43"/>
  <c r="V10" i="43" s="1"/>
  <c r="C29" i="15"/>
  <c r="J14" i="15" s="1"/>
  <c r="W7" i="37"/>
  <c r="AC7" i="37"/>
  <c r="V42" i="37" s="1"/>
  <c r="I42" i="37" s="1"/>
  <c r="S7" i="37"/>
  <c r="AA7" i="37"/>
  <c r="R42" i="37" s="1"/>
  <c r="U7" i="37"/>
  <c r="AB7" i="37"/>
  <c r="T42" i="37" s="1"/>
  <c r="G42" i="37" s="1"/>
  <c r="J58" i="33"/>
  <c r="H63" i="40"/>
  <c r="G65" i="40"/>
  <c r="C17" i="67"/>
  <c r="C14" i="67"/>
  <c r="J69" i="39" l="1"/>
  <c r="K67" i="39"/>
  <c r="C18" i="67"/>
  <c r="C15" i="67"/>
  <c r="B29" i="1"/>
  <c r="V18" i="1"/>
  <c r="C38" i="69"/>
  <c r="C35" i="69"/>
  <c r="D14" i="71"/>
  <c r="C13" i="71"/>
  <c r="L16" i="1"/>
  <c r="C34" i="68"/>
  <c r="C34" i="11"/>
  <c r="N16" i="1"/>
  <c r="E6" i="70"/>
  <c r="E2" i="70" s="1"/>
  <c r="T6" i="1"/>
  <c r="T16" i="1" s="1"/>
  <c r="AR6" i="1"/>
  <c r="S16" i="1"/>
  <c r="AQ6" i="1"/>
  <c r="I19" i="6"/>
  <c r="M27" i="6"/>
  <c r="V6" i="43"/>
  <c r="C34" i="43" s="1"/>
  <c r="C6" i="69"/>
  <c r="C7" i="69" s="1"/>
  <c r="C5" i="69" s="1"/>
  <c r="G53" i="34"/>
  <c r="H53" i="34" s="1"/>
  <c r="G54" i="34"/>
  <c r="H54" i="34" s="1"/>
  <c r="R50" i="34"/>
  <c r="I53" i="34"/>
  <c r="J53" i="34" s="1"/>
  <c r="I54" i="34"/>
  <c r="J54" i="34" s="1"/>
  <c r="E53" i="34"/>
  <c r="F53" i="34" s="1"/>
  <c r="E54" i="34"/>
  <c r="F54" i="34" s="1"/>
  <c r="C19" i="68"/>
  <c r="D37" i="68"/>
  <c r="C37" i="68" s="1"/>
  <c r="D31" i="6"/>
  <c r="E41" i="43"/>
  <c r="G41" i="43"/>
  <c r="I41" i="43" s="1"/>
  <c r="G39" i="43"/>
  <c r="I39" i="43" s="1"/>
  <c r="E39" i="43"/>
  <c r="G42" i="43"/>
  <c r="I42" i="43" s="1"/>
  <c r="E42" i="43"/>
  <c r="E40" i="43"/>
  <c r="G40" i="43"/>
  <c r="I40" i="43" s="1"/>
  <c r="E33" i="43"/>
  <c r="G37" i="43"/>
  <c r="I37" i="43" s="1"/>
  <c r="E37" i="43"/>
  <c r="E38" i="43"/>
  <c r="G38" i="43"/>
  <c r="I38" i="43" s="1"/>
  <c r="C57" i="15"/>
  <c r="C64" i="15" s="1"/>
  <c r="C13" i="15"/>
  <c r="C37" i="15" s="1"/>
  <c r="Q49" i="15"/>
  <c r="J59" i="15"/>
  <c r="J60" i="15" s="1"/>
  <c r="Q48" i="15" s="1"/>
  <c r="C36" i="15"/>
  <c r="K58" i="33"/>
  <c r="L58" i="33" s="1"/>
  <c r="M58" i="33" s="1"/>
  <c r="N58" i="33" s="1"/>
  <c r="O58" i="33" s="1"/>
  <c r="F7" i="33" s="1"/>
  <c r="J7" i="33"/>
  <c r="G47" i="37"/>
  <c r="H47" i="37" s="1"/>
  <c r="G46" i="37"/>
  <c r="H46" i="37" s="1"/>
  <c r="R43" i="37"/>
  <c r="E42" i="37"/>
  <c r="I63" i="40"/>
  <c r="H65" i="40"/>
  <c r="H7" i="33"/>
  <c r="I46" i="37"/>
  <c r="J46" i="37" s="1"/>
  <c r="J13" i="15"/>
  <c r="J23" i="15" s="1"/>
  <c r="J22" i="15"/>
  <c r="C19" i="67" l="1"/>
  <c r="C20" i="67" s="1"/>
  <c r="C26" i="67" s="1"/>
  <c r="L67" i="39"/>
  <c r="K69" i="39"/>
  <c r="C33" i="69"/>
  <c r="C39" i="69" s="1"/>
  <c r="C46" i="69" s="1"/>
  <c r="C45" i="69" s="1"/>
  <c r="I27" i="6"/>
  <c r="S19" i="6"/>
  <c r="S27" i="6" s="1"/>
  <c r="H19" i="6"/>
  <c r="C35" i="68"/>
  <c r="C38" i="68"/>
  <c r="F50" i="69"/>
  <c r="F50" i="68"/>
  <c r="F50" i="11"/>
  <c r="D13" i="71"/>
  <c r="C12" i="71"/>
  <c r="C38" i="11"/>
  <c r="C35" i="11"/>
  <c r="C8" i="68"/>
  <c r="C5" i="68" s="1"/>
  <c r="C23" i="68" s="1"/>
  <c r="C18" i="12"/>
  <c r="C21" i="12" s="1"/>
  <c r="C22" i="12" s="1"/>
  <c r="C30" i="12" s="1"/>
  <c r="C28" i="12" s="1"/>
  <c r="E34" i="43"/>
  <c r="C31" i="43" s="1"/>
  <c r="C50" i="34"/>
  <c r="C49" i="34"/>
  <c r="I5" i="6"/>
  <c r="I6" i="6"/>
  <c r="C24" i="68"/>
  <c r="C30" i="43"/>
  <c r="C20" i="69"/>
  <c r="C25" i="69" s="1"/>
  <c r="C23" i="69"/>
  <c r="C30" i="15"/>
  <c r="C39" i="15" s="1"/>
  <c r="Q69" i="15" s="1"/>
  <c r="L46" i="15"/>
  <c r="C56" i="15"/>
  <c r="C65" i="15" s="1"/>
  <c r="C58" i="15" s="1"/>
  <c r="C67" i="15" s="1"/>
  <c r="C68" i="15" s="1"/>
  <c r="C71" i="15" s="1"/>
  <c r="C75" i="15"/>
  <c r="Q70" i="15"/>
  <c r="E46" i="37"/>
  <c r="F46" i="37" s="1"/>
  <c r="E47" i="37"/>
  <c r="F47" i="37" s="1"/>
  <c r="W7" i="33"/>
  <c r="AC7" i="33"/>
  <c r="V48" i="33" s="1"/>
  <c r="I48" i="33" s="1"/>
  <c r="U7" i="33"/>
  <c r="AB7" i="33"/>
  <c r="T48" i="33" s="1"/>
  <c r="G48" i="33" s="1"/>
  <c r="AA7" i="33"/>
  <c r="R48" i="33" s="1"/>
  <c r="S7" i="33"/>
  <c r="C43" i="37"/>
  <c r="C42" i="37"/>
  <c r="I47" i="37"/>
  <c r="J47" i="37" s="1"/>
  <c r="I65" i="40"/>
  <c r="J63" i="40"/>
  <c r="J16" i="15"/>
  <c r="J25" i="15" s="1"/>
  <c r="E6" i="76"/>
  <c r="C23" i="67" l="1"/>
  <c r="C29" i="67" s="1"/>
  <c r="C13" i="67" s="1"/>
  <c r="C56" i="67" s="1"/>
  <c r="C65" i="67" s="1"/>
  <c r="C33" i="68"/>
  <c r="C39" i="68" s="1"/>
  <c r="C43" i="68" s="1"/>
  <c r="C33" i="11"/>
  <c r="C39" i="11" s="1"/>
  <c r="C43" i="11" s="1"/>
  <c r="C42" i="69"/>
  <c r="M67" i="39"/>
  <c r="L69" i="39"/>
  <c r="C27" i="12"/>
  <c r="C25" i="12" s="1"/>
  <c r="C32" i="12" s="1"/>
  <c r="B2" i="12" s="1"/>
  <c r="B3" i="12" s="1"/>
  <c r="C20" i="68"/>
  <c r="C25" i="68" s="1"/>
  <c r="C22" i="68" s="1"/>
  <c r="C43" i="69"/>
  <c r="H27" i="6"/>
  <c r="R19" i="6"/>
  <c r="T12" i="71"/>
  <c r="D12" i="71"/>
  <c r="U12" i="71" s="1"/>
  <c r="C11" i="71"/>
  <c r="B3" i="34"/>
  <c r="B2" i="34"/>
  <c r="C28" i="69"/>
  <c r="C27" i="69" s="1"/>
  <c r="E2" i="76"/>
  <c r="B2" i="43"/>
  <c r="B3" i="43" s="1"/>
  <c r="C40" i="15"/>
  <c r="Q56" i="15" s="1"/>
  <c r="C22" i="69"/>
  <c r="C80" i="15"/>
  <c r="C79" i="15" s="1"/>
  <c r="Q68" i="15"/>
  <c r="G53" i="33"/>
  <c r="H53" i="33" s="1"/>
  <c r="G52" i="33"/>
  <c r="H52" i="33" s="1"/>
  <c r="K63" i="40"/>
  <c r="J65" i="40"/>
  <c r="R49" i="33"/>
  <c r="E48" i="33"/>
  <c r="I53" i="33" s="1"/>
  <c r="J53" i="33" s="1"/>
  <c r="I52" i="33"/>
  <c r="J52" i="33" s="1"/>
  <c r="L51" i="15"/>
  <c r="B6" i="76"/>
  <c r="C46" i="68" l="1"/>
  <c r="C45" i="68" s="1"/>
  <c r="C75" i="67"/>
  <c r="J14" i="67"/>
  <c r="J13" i="67" s="1"/>
  <c r="J23" i="67" s="1"/>
  <c r="Q49" i="67"/>
  <c r="C57" i="67"/>
  <c r="C64" i="67" s="1"/>
  <c r="Q70" i="67"/>
  <c r="J59" i="67"/>
  <c r="J60" i="67" s="1"/>
  <c r="Q48" i="67" s="1"/>
  <c r="C37" i="67"/>
  <c r="C36" i="67"/>
  <c r="C42" i="68"/>
  <c r="C41" i="68" s="1"/>
  <c r="C49" i="68" s="1"/>
  <c r="C51" i="68" s="1"/>
  <c r="C42" i="11"/>
  <c r="C41" i="11" s="1"/>
  <c r="M69" i="39"/>
  <c r="N67" i="39"/>
  <c r="C41" i="69"/>
  <c r="C49" i="69" s="1"/>
  <c r="C51" i="69" s="1"/>
  <c r="C28" i="68"/>
  <c r="C27" i="68" s="1"/>
  <c r="C31" i="68" s="1"/>
  <c r="R27" i="6"/>
  <c r="R6" i="1"/>
  <c r="C10" i="71"/>
  <c r="D11" i="71"/>
  <c r="C46" i="11"/>
  <c r="C45" i="11" s="1"/>
  <c r="Q67" i="15"/>
  <c r="L57" i="15"/>
  <c r="L60" i="15" s="1"/>
  <c r="Q57" i="15" s="1"/>
  <c r="Q62" i="15" s="1"/>
  <c r="Q47" i="15"/>
  <c r="Q53" i="15" s="1"/>
  <c r="B2" i="15"/>
  <c r="B3" i="15" s="1"/>
  <c r="C31" i="69"/>
  <c r="C43" i="15"/>
  <c r="B2" i="76"/>
  <c r="B3" i="76" s="1"/>
  <c r="C83" i="15"/>
  <c r="C82" i="15" s="1"/>
  <c r="Q65" i="15"/>
  <c r="C46" i="15"/>
  <c r="L63" i="40"/>
  <c r="K65" i="40"/>
  <c r="E53" i="33"/>
  <c r="F53" i="33" s="1"/>
  <c r="E52" i="33"/>
  <c r="F52" i="33" s="1"/>
  <c r="C49" i="33"/>
  <c r="C48" i="33"/>
  <c r="F35" i="67"/>
  <c r="M21" i="67"/>
  <c r="L46" i="67" l="1"/>
  <c r="C52" i="69"/>
  <c r="B2" i="69" s="1"/>
  <c r="B3" i="69" s="1"/>
  <c r="J22" i="67"/>
  <c r="C49" i="11"/>
  <c r="C51" i="11" s="1"/>
  <c r="C52" i="11" s="1"/>
  <c r="B2" i="11" s="1"/>
  <c r="B3" i="11" s="1"/>
  <c r="N69" i="39"/>
  <c r="O67" i="39"/>
  <c r="O69" i="39" s="1"/>
  <c r="J7" i="39" s="1"/>
  <c r="H7" i="39"/>
  <c r="C34" i="67"/>
  <c r="C31" i="67" s="1"/>
  <c r="C30" i="67" s="1"/>
  <c r="C39" i="67" s="1"/>
  <c r="F63" i="67"/>
  <c r="C62" i="67" s="1"/>
  <c r="C59" i="67" s="1"/>
  <c r="C58" i="67" s="1"/>
  <c r="C67" i="67" s="1"/>
  <c r="C68" i="67" s="1"/>
  <c r="C71" i="67" s="1"/>
  <c r="J20" i="67"/>
  <c r="J17" i="67" s="1"/>
  <c r="C9" i="71"/>
  <c r="D10" i="71"/>
  <c r="R16" i="1"/>
  <c r="Q66" i="15"/>
  <c r="Q75" i="15" s="1"/>
  <c r="C52" i="68"/>
  <c r="C57" i="68" s="1"/>
  <c r="C56" i="68" s="1"/>
  <c r="C56" i="11"/>
  <c r="C57" i="11" s="1"/>
  <c r="B2" i="33"/>
  <c r="B3" i="33"/>
  <c r="L65" i="40"/>
  <c r="M63" i="40"/>
  <c r="C57" i="69" l="1"/>
  <c r="C56" i="69" s="1"/>
  <c r="J16" i="67"/>
  <c r="J25" i="67" s="1"/>
  <c r="F7" i="39"/>
  <c r="AA7" i="39" s="1"/>
  <c r="R47" i="39" s="1"/>
  <c r="U7" i="39"/>
  <c r="AB7" i="39"/>
  <c r="T47" i="39" s="1"/>
  <c r="G47" i="39" s="1"/>
  <c r="AC7" i="39"/>
  <c r="V47" i="39" s="1"/>
  <c r="I47" i="39" s="1"/>
  <c r="I51" i="39" s="1"/>
  <c r="J51" i="39" s="1"/>
  <c r="W7" i="39"/>
  <c r="Q69" i="67"/>
  <c r="Q68" i="67" s="1"/>
  <c r="C40" i="67"/>
  <c r="C45" i="67" s="1"/>
  <c r="C46" i="67" s="1"/>
  <c r="C80" i="67"/>
  <c r="C79" i="67" s="1"/>
  <c r="C8" i="71"/>
  <c r="D9" i="71"/>
  <c r="B2" i="68"/>
  <c r="B3" i="68" s="1"/>
  <c r="N63" i="40"/>
  <c r="M65" i="40"/>
  <c r="L51" i="67"/>
  <c r="C20" i="9"/>
  <c r="C19" i="9"/>
  <c r="S7" i="39" l="1"/>
  <c r="G51" i="39"/>
  <c r="H51" i="39" s="1"/>
  <c r="G52" i="39"/>
  <c r="H52" i="39" s="1"/>
  <c r="R48" i="39"/>
  <c r="E47" i="39"/>
  <c r="Q67" i="67"/>
  <c r="C7" i="71"/>
  <c r="D8" i="71"/>
  <c r="C83" i="67"/>
  <c r="C82" i="67" s="1"/>
  <c r="Q47" i="67"/>
  <c r="Q53" i="67" s="1"/>
  <c r="C43" i="67"/>
  <c r="Q56" i="67"/>
  <c r="Q62" i="67" s="1"/>
  <c r="D2" i="67"/>
  <c r="Q65" i="67"/>
  <c r="Q75" i="67" s="1"/>
  <c r="C102" i="9"/>
  <c r="C21" i="9"/>
  <c r="C103" i="9"/>
  <c r="O63" i="40"/>
  <c r="O65" i="40" s="1"/>
  <c r="N65" i="40"/>
  <c r="C47" i="39" l="1"/>
  <c r="C48" i="39"/>
  <c r="E52" i="39"/>
  <c r="F52" i="39" s="1"/>
  <c r="E51" i="39"/>
  <c r="F51" i="39" s="1"/>
  <c r="I52" i="39"/>
  <c r="J52" i="39" s="1"/>
  <c r="B3" i="67"/>
  <c r="B2" i="67"/>
  <c r="C6" i="71"/>
  <c r="D7" i="71"/>
  <c r="J7" i="40"/>
  <c r="H7" i="40"/>
  <c r="F7" i="40"/>
  <c r="D19" i="9"/>
  <c r="D20" i="9"/>
  <c r="AO6" i="1"/>
  <c r="B60" i="39" l="1"/>
  <c r="F60" i="39" s="1"/>
  <c r="B59" i="39"/>
  <c r="F59" i="39" s="1"/>
  <c r="B64" i="39"/>
  <c r="F64" i="39" s="1"/>
  <c r="B57" i="39"/>
  <c r="F57" i="39" s="1"/>
  <c r="B63" i="39"/>
  <c r="F63" i="39" s="1"/>
  <c r="B58" i="39"/>
  <c r="F58" i="39" s="1"/>
  <c r="B61" i="39"/>
  <c r="F61" i="39" s="1"/>
  <c r="B62" i="39"/>
  <c r="F62" i="39" s="1"/>
  <c r="B56" i="39"/>
  <c r="F56" i="39" s="1"/>
  <c r="F65" i="39" s="1"/>
  <c r="B2" i="39" s="1"/>
  <c r="B3" i="39" s="1"/>
  <c r="D103" i="9"/>
  <c r="G20" i="9"/>
  <c r="G19" i="9"/>
  <c r="D22" i="9"/>
  <c r="D21" i="9"/>
  <c r="D102" i="9"/>
  <c r="B6" i="70"/>
  <c r="B2" i="70" s="1"/>
  <c r="B3" i="70" s="1"/>
  <c r="D6" i="71"/>
  <c r="C5" i="71"/>
  <c r="S7" i="40"/>
  <c r="AA7" i="40"/>
  <c r="R42" i="40" s="1"/>
  <c r="U7" i="40"/>
  <c r="AB7" i="40"/>
  <c r="T42" i="40" s="1"/>
  <c r="G42" i="40" s="1"/>
  <c r="AC7" i="40"/>
  <c r="V42" i="40" s="1"/>
  <c r="I42" i="40" s="1"/>
  <c r="W7" i="40"/>
  <c r="D5" i="71" l="1"/>
  <c r="M24" i="43"/>
  <c r="G21" i="9"/>
  <c r="D14" i="74"/>
  <c r="C32" i="9"/>
  <c r="G26" i="9"/>
  <c r="R43" i="40"/>
  <c r="E42" i="40"/>
  <c r="I46" i="40"/>
  <c r="J46" i="40" s="1"/>
  <c r="G46" i="40"/>
  <c r="H46" i="40" s="1"/>
  <c r="G47" i="40"/>
  <c r="H47" i="40" s="1"/>
  <c r="R24" i="31" l="1"/>
  <c r="C35" i="9"/>
  <c r="G118" i="9" s="1"/>
  <c r="I118" i="9"/>
  <c r="F14" i="74"/>
  <c r="E14" i="74"/>
  <c r="B5" i="74"/>
  <c r="G14" i="74"/>
  <c r="B6" i="74" s="1"/>
  <c r="D6" i="74" s="1"/>
  <c r="E46" i="40"/>
  <c r="F46" i="40" s="1"/>
  <c r="E47" i="40"/>
  <c r="F47" i="40" s="1"/>
  <c r="C42" i="40"/>
  <c r="C43" i="40"/>
  <c r="I47" i="40"/>
  <c r="J47" i="40" s="1"/>
  <c r="F118" i="9" l="1"/>
  <c r="G4" i="52"/>
  <c r="B52" i="72" s="1"/>
  <c r="D5" i="74"/>
  <c r="S24" i="31"/>
  <c r="R25" i="31"/>
  <c r="S25" i="31" s="1"/>
  <c r="H118" i="9"/>
  <c r="I4" i="52"/>
  <c r="C105" i="9"/>
  <c r="H102" i="9"/>
  <c r="D7" i="53" s="1"/>
  <c r="B21" i="72" s="1"/>
  <c r="E118" i="9"/>
  <c r="C34" i="9"/>
  <c r="B54" i="40"/>
  <c r="F54" i="40" s="1"/>
  <c r="B59" i="40"/>
  <c r="F59" i="40" s="1"/>
  <c r="B57" i="40"/>
  <c r="F57" i="40" s="1"/>
  <c r="B52" i="40"/>
  <c r="F52" i="40" s="1"/>
  <c r="B53" i="40"/>
  <c r="F53" i="40" s="1"/>
  <c r="B51" i="40"/>
  <c r="F51" i="40" s="1"/>
  <c r="B60" i="40"/>
  <c r="F60" i="40" s="1"/>
  <c r="B58" i="40"/>
  <c r="F58" i="40" s="1"/>
  <c r="B56" i="40"/>
  <c r="F56" i="40" s="1"/>
  <c r="F61" i="40"/>
  <c r="B2" i="40" s="1"/>
  <c r="B3" i="40" s="1"/>
  <c r="H119" i="9" l="1"/>
  <c r="H5" i="52" s="1"/>
  <c r="C104" i="9"/>
  <c r="H4" i="52"/>
  <c r="H101" i="9"/>
  <c r="S22" i="31"/>
  <c r="C5" i="74"/>
  <c r="E4" i="52"/>
  <c r="B48" i="72" s="1"/>
  <c r="D118" i="9"/>
  <c r="F4" i="52"/>
  <c r="B51" i="72" s="1"/>
  <c r="F119" i="9"/>
  <c r="F5" i="52" s="1"/>
  <c r="B53" i="72" s="1"/>
  <c r="R22" i="31" l="1"/>
  <c r="B20" i="31"/>
  <c r="B21" i="31" s="1"/>
  <c r="D5" i="53"/>
  <c r="H107" i="9"/>
  <c r="M48" i="9"/>
  <c r="D45" i="9"/>
  <c r="D4" i="52"/>
  <c r="B47" i="72" s="1"/>
  <c r="D119" i="9"/>
  <c r="D5" i="52" s="1"/>
  <c r="B49" i="72" s="1"/>
  <c r="B20" i="72" l="1"/>
  <c r="D6" i="53"/>
  <c r="B22" i="72" s="1"/>
  <c r="C64" i="9"/>
  <c r="C63" i="9" s="1"/>
  <c r="C67" i="9" s="1"/>
  <c r="C78" i="9"/>
  <c r="C73" i="9" s="1"/>
  <c r="C93" i="9"/>
  <c r="C86" i="9" s="1"/>
  <c r="D55" i="9"/>
  <c r="M53" i="9" s="1"/>
  <c r="C85" i="9"/>
  <c r="D52" i="9"/>
  <c r="C72" i="9"/>
  <c r="D53" i="9"/>
  <c r="M49" i="9"/>
  <c r="D13" i="53"/>
  <c r="H108" i="9"/>
  <c r="D107" i="9" s="1"/>
  <c r="D122" i="9"/>
  <c r="C95" i="9" l="1"/>
  <c r="C79" i="9"/>
  <c r="C80" i="9" s="1"/>
  <c r="E80" i="9" s="1"/>
  <c r="E81" i="9" s="1"/>
  <c r="L66" i="9"/>
  <c r="M66" i="9" s="1"/>
  <c r="L65" i="9"/>
  <c r="M65" i="9" s="1"/>
  <c r="L67" i="9"/>
  <c r="M67" i="9" s="1"/>
  <c r="L63" i="9"/>
  <c r="M63" i="9" s="1"/>
  <c r="L68" i="9"/>
  <c r="M68" i="9" s="1"/>
  <c r="L64" i="9"/>
  <c r="M64" i="9" s="1"/>
  <c r="C96" i="9"/>
  <c r="E96" i="9" s="1"/>
  <c r="E97" i="9" s="1"/>
  <c r="D59" i="9"/>
  <c r="M55" i="9" s="1"/>
  <c r="C68" i="9"/>
  <c r="D54" i="9" s="1"/>
  <c r="D14" i="53"/>
  <c r="B32" i="72" s="1"/>
  <c r="B30" i="72"/>
  <c r="D123" i="9"/>
  <c r="D9" i="52" s="1"/>
  <c r="D8" i="52"/>
  <c r="C6" i="74"/>
  <c r="D15" i="53"/>
  <c r="B31" i="72" s="1"/>
  <c r="C97" i="9" l="1"/>
  <c r="D58" i="9" s="1"/>
  <c r="D56" i="9" s="1"/>
  <c r="M54" i="9" s="1"/>
  <c r="N57" i="9" s="1"/>
  <c r="N59" i="9" s="1"/>
  <c r="N60" i="9" s="1"/>
  <c r="M69" i="9"/>
  <c r="N69" i="9" s="1"/>
  <c r="C81" i="9"/>
  <c r="P57" i="9" l="1"/>
  <c r="N58"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<sst xmlns="http://schemas.openxmlformats.org/spreadsheetml/2006/main" count="8077" uniqueCount="2805">
  <si>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</si>
  <si>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</si>
  <si>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</si>
  <si>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</si>
  <si>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</si>
  <si>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</si>
  <si>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</si>
  <si>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</si>
  <si>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</si>
  <si>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</si>
  <si>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</si>
  <si>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</si>
  <si>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</si>
  <si>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</si>
  <si>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</si>
  <si>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</si>
  <si>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</si>
  <si>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</si>
  <si>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</si>
  <si>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</si>
  <si>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</si>
  <si>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</si>
  <si>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</si>
  <si>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</si>
  <si>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</si>
  <si>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</si>
  <si>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</si>
  <si>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</si>
  <si>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</si>
  <si>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</si>
  <si>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</si>
  <si>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</si>
  <si>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</si>
  <si>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</si>
  <si>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</si>
  <si>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</si>
  <si>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</si>
  <si>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</si>
  <si>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</si>
  <si>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</si>
  <si>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</si>
  <si>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</si>
  <si>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</si>
  <si>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</si>
  <si>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</si>
  <si>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</si>
  <si>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</si>
  <si>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</si>
  <si>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</si>
  <si>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</si>
  <si>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</si>
  <si>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</si>
  <si>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</si>
  <si>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</si>
  <si>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</si>
  <si>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</si>
  <si>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</si>
  <si>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</si>
  <si>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</si>
  <si>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</si>
  <si>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</si>
  <si>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</si>
  <si>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</si>
  <si>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</si>
  <si>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</si>
  <si>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</si>
  <si>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</si>
  <si>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</si>
  <si>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</si>
  <si>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</si>
  <si>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</si>
  <si>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</si>
  <si>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</si>
  <si>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</si>
  <si>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</si>
  <si>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</si>
  <si>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</si>
  <si>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</si>
  <si>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</si>
  <si>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</si>
  <si>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</si>
  <si>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</si>
  <si>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</si>
  <si>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</si>
  <si>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</si>
  <si>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</si>
  <si>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</si>
  <si>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</si>
  <si>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</si>
  <si>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</si>
  <si>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</si>
  <si>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</si>
  <si>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</si>
  <si>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</si>
  <si>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</si>
  <si>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</si>
  <si>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</si>
  <si>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</si>
  <si>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</si>
  <si>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</si>
  <si>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</si>
  <si>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</si>
  <si>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</si>
  <si>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</si>
  <si>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</si>
  <si>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</si>
  <si>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</si>
  <si>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</si>
  <si>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</si>
  <si>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</si>
  <si>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</si>
  <si>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</si>
  <si>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</si>
  <si>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</si>
  <si>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</si>
  <si>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</si>
  <si>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</si>
  <si>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</si>
  <si>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</si>
  <si>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</si>
  <si>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</si>
  <si>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</si>
  <si>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</si>
  <si>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</si>
  <si>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</si>
  <si>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</si>
  <si>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</si>
  <si>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</si>
  <si>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</si>
  <si>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</si>
  <si>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</si>
  <si>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</si>
  <si>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</si>
  <si>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</si>
  <si>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</si>
  <si>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</si>
  <si>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</si>
  <si>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</si>
  <si>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</si>
  <si>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</si>
  <si>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</si>
  <si>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</si>
  <si>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</si>
  <si>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</si>
  <si>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</si>
  <si>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</si>
  <si>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</si>
  <si>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</si>
  <si>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</si>
  <si>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</si>
  <si>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</si>
  <si>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</si>
  <si>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</si>
  <si>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</si>
  <si>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</si>
  <si>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</si>
  <si>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</si>
  <si>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</si>
  <si>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</si>
  <si>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</si>
  <si>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</si>
  <si>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</si>
  <si>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</si>
  <si>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</si>
  <si>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</si>
  <si>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</si>
  <si>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</si>
  <si>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</si>
  <si>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</si>
  <si>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</si>
  <si>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</si>
  <si>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</si>
  <si>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</si>
  <si>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</si>
  <si>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</si>
  <si>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</si>
  <si>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</si>
  <si>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</si>
  <si>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</si>
  <si>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</si>
  <si>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</si>
  <si>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</si>
  <si>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</si>
  <si>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</si>
  <si>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</si>
  <si>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</si>
  <si>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</si>
  <si>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</si>
  <si>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</si>
  <si>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</si>
  <si>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</si>
  <si>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</si>
  <si>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</si>
  <si>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</si>
  <si>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</si>
  <si>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</si>
  <si>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</si>
  <si>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</si>
  <si>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</si>
  <si>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</si>
  <si>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</si>
  <si>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</si>
  <si>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</si>
  <si>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</si>
  <si>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</si>
  <si>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</si>
  <si>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</si>
  <si>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</si>
  <si>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</si>
  <si>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</si>
  <si>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</si>
  <si>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</si>
  <si>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</si>
  <si>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</si>
  <si>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</si>
  <si>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</si>
  <si>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</si>
  <si>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</si>
  <si>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</si>
  <si>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</si>
  <si>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</si>
  <si>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</si>
  <si>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</si>
  <si>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</si>
  <si>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</si>
  <si>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</si>
  <si>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</si>
  <si>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</si>
  <si>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</si>
  <si>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</si>
  <si>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</si>
  <si>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</si>
  <si>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</si>
  <si>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</si>
  <si>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</si>
  <si>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</si>
  <si>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</si>
  <si>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</si>
  <si>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</si>
  <si>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</si>
  <si>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</si>
  <si>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</si>
  <si>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</si>
  <si>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</si>
  <si>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</si>
  <si>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</si>
  <si>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</si>
  <si>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</si>
  <si>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</si>
  <si>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</si>
  <si>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</si>
  <si>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</si>
  <si>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</si>
  <si>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</si>
  <si>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</si>
  <si>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</si>
  <si>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</si>
  <si>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</si>
  <si>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</si>
  <si>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</si>
  <si>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</si>
  <si>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</si>
  <si>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</si>
  <si>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</si>
  <si>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</si>
  <si>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</si>
  <si>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</si>
  <si>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</si>
  <si>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</si>
  <si>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</si>
  <si>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</si>
  <si>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</si>
  <si>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</si>
  <si>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</si>
  <si>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</si>
  <si>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</si>
  <si>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</si>
  <si>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</si>
  <si>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</si>
  <si>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</si>
  <si>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</si>
  <si>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</si>
  <si>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</si>
  <si>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</si>
  <si>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</si>
  <si>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</si>
  <si>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</si>
  <si>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</si>
  <si>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</si>
  <si>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</si>
  <si>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</si>
  <si>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</si>
  <si>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</si>
  <si>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</si>
  <si>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</si>
  <si>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</si>
  <si>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</si>
  <si>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</si>
  <si>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</si>
  <si>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</si>
  <si>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</si>
  <si>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</si>
  <si>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</si>
  <si>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</si>
  <si>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</si>
  <si>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</si>
  <si>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</si>
  <si>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</si>
  <si>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</si>
  <si>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</si>
  <si>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</si>
  <si>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</si>
  <si>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</si>
  <si>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</si>
  <si>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</si>
  <si>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</si>
  <si>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</si>
  <si>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</si>
  <si>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</si>
  <si>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</si>
  <si>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</si>
  <si>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</si>
  <si>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</si>
  <si>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</si>
  <si>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</si>
  <si>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</si>
  <si>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</si>
  <si>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</si>
  <si>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</si>
  <si>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</si>
  <si>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</si>
  <si>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</si>
  <si>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</si>
  <si>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</si>
  <si>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</si>
  <si>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</si>
  <si>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</si>
  <si>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</si>
  <si>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</si>
  <si>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</si>
  <si>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</si>
  <si>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</si>
  <si>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</si>
  <si>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</si>
  <si>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</si>
  <si>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</si>
  <si>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</si>
  <si>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</si>
  <si>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</si>
  <si>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</si>
  <si>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</si>
  <si>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</si>
  <si>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</si>
  <si>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</si>
  <si>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</si>
  <si>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</si>
  <si>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</si>
  <si>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</si>
  <si>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</si>
  <si>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</si>
  <si>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</si>
  <si>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</si>
  <si>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</si>
  <si>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</si>
  <si>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</si>
  <si>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</si>
  <si>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</si>
  <si>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</si>
  <si>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</si>
  <si>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</si>
  <si>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</si>
  <si>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</si>
  <si>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</si>
  <si>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</si>
  <si>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</si>
  <si>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</si>
  <si>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</si>
  <si>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</si>
  <si>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</si>
  <si>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</si>
  <si>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</si>
  <si>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</si>
  <si>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</si>
  <si>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</si>
  <si>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</si>
  <si>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</si>
  <si>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</si>
  <si>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</si>
  <si>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</si>
  <si>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</si>
  <si>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</si>
  <si>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</si>
  <si>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</si>
  <si>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</si>
  <si>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</si>
  <si>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</si>
  <si>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</si>
  <si>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</si>
  <si>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</si>
  <si>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</si>
  <si>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</si>
  <si>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</si>
  <si>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</si>
  <si>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</si>
  <si>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</si>
  <si>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</si>
  <si>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</si>
  <si>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</si>
  <si>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</si>
  <si>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</si>
  <si>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</si>
  <si>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</si>
  <si>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</si>
  <si>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</si>
  <si>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</si>
  <si>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</si>
  <si>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</si>
  <si>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</si>
  <si>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</si>
  <si>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</si>
  <si>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</si>
  <si>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</si>
  <si>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</si>
  <si>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</si>
  <si>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</si>
  <si>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</si>
  <si>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</si>
  <si>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</si>
  <si>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</si>
  <si>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</si>
  <si>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</si>
  <si>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</si>
  <si>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</si>
  <si>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</si>
  <si>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</si>
  <si>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</si>
  <si>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</si>
  <si>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</si>
  <si>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</si>
  <si>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</si>
  <si>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</si>
  <si>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</si>
  <si>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</si>
  <si>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</si>
  <si>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</si>
  <si>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</si>
  <si>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</si>
  <si>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</si>
  <si>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</si>
  <si>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</si>
  <si>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</si>
  <si>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</si>
  <si>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</si>
  <si>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</si>
  <si>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</si>
  <si>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</si>
  <si>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</si>
  <si>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</si>
  <si>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</si>
  <si>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</si>
  <si>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</si>
  <si>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</si>
  <si>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</si>
  <si>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</si>
  <si>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</si>
  <si>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</si>
  <si>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</si>
  <si>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</si>
  <si>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</si>
  <si>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</si>
  <si>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</si>
  <si>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</si>
  <si>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</si>
  <si>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</si>
  <si>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</si>
  <si>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</si>
  <si>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</si>
  <si>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</si>
  <si>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</si>
  <si>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</si>
  <si>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</si>
  <si>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</si>
  <si>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</si>
  <si>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</si>
  <si>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</si>
  <si>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</si>
  <si>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</si>
  <si>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</si>
  <si>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</si>
  <si>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</si>
  <si>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</si>
  <si>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</si>
  <si>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</si>
  <si>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</si>
  <si>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</si>
  <si>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</si>
  <si>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</si>
  <si>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</si>
  <si>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</si>
  <si>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</si>
  <si>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</si>
  <si>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</si>
  <si>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</si>
  <si>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</si>
  <si>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</si>
  <si>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</si>
  <si>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</si>
  <si>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</si>
  <si>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</si>
  <si>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</si>
  <si>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</si>
  <si>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</si>
  <si>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</si>
  <si>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</si>
  <si>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</si>
  <si>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</si>
  <si>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</si>
  <si>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</si>
  <si>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</si>
  <si>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</si>
  <si>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</si>
  <si>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</si>
  <si>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</si>
  <si>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</si>
  <si>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</si>
  <si>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</si>
  <si>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</si>
  <si>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</si>
  <si>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</si>
  <si>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</si>
  <si>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</si>
  <si>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</si>
  <si>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</si>
  <si>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</si>
  <si>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</si>
  <si>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</si>
  <si>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</si>
  <si>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</si>
  <si>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</si>
  <si>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</si>
  <si>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</si>
  <si>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</si>
  <si>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</si>
  <si>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</si>
  <si>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</si>
  <si>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</si>
  <si>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</si>
  <si>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</si>
  <si>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</si>
  <si>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</si>
  <si>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</si>
  <si>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</si>
  <si>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</si>
  <si>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</si>
  <si>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</si>
  <si>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</si>
  <si>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</si>
  <si>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</si>
  <si>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</si>
  <si>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</si>
  <si>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</si>
  <si>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</si>
  <si>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</si>
  <si>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</si>
  <si>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</si>
  <si>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</si>
  <si>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</si>
  <si>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</si>
  <si>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</si>
  <si>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</si>
  <si>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</si>
  <si>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</si>
  <si>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</si>
  <si>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</si>
  <si>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</si>
  <si>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</si>
  <si>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</si>
  <si>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</si>
  <si>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</si>
  <si>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</si>
  <si>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</si>
  <si>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</si>
  <si>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</si>
  <si>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</si>
  <si>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</si>
  <si>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</si>
  <si>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</si>
  <si>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</si>
  <si>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</si>
  <si>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</si>
  <si>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</si>
  <si>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</si>
  <si>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</si>
  <si>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</si>
  <si>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</si>
  <si>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</si>
  <si>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</si>
  <si>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</si>
  <si>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</si>
  <si>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</si>
  <si>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</si>
  <si>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</si>
  <si>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</si>
  <si>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</si>
  <si>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</si>
  <si>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</si>
  <si>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</si>
  <si>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</si>
  <si>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</si>
  <si>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</si>
  <si>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</si>
  <si>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</si>
  <si>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</si>
  <si>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</si>
  <si>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</si>
  <si>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</si>
  <si>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</si>
  <si>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</si>
  <si>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</si>
  <si>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</si>
  <si>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</si>
  <si>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</si>
  <si>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</si>
  <si>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</si>
  <si>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</si>
  <si>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</si>
  <si>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</si>
  <si>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</si>
  <si>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</si>
  <si>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</si>
  <si>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</si>
  <si>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</si>
  <si>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</si>
  <si>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</si>
  <si>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</si>
  <si>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</si>
  <si>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</si>
  <si>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</si>
  <si>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</si>
  <si>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</si>
  <si>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</si>
  <si>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</si>
  <si>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</si>
  <si>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</si>
  <si>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</si>
  <si>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</si>
  <si>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</si>
  <si>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</si>
  <si>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</si>
  <si>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</si>
  <si>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</si>
  <si>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</si>
  <si>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</si>
  <si>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</si>
  <si>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</si>
  <si>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</si>
  <si>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</si>
  <si>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</si>
  <si>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</si>
  <si>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</si>
  <si>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</si>
  <si>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</si>
  <si>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</si>
  <si>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</si>
  <si>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</si>
  <si>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</si>
  <si>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</si>
  <si>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</si>
  <si>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</si>
  <si>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</si>
  <si>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</si>
  <si>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</si>
  <si>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</si>
  <si>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</si>
  <si>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</si>
  <si>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</si>
  <si>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</si>
  <si>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</si>
  <si>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</si>
  <si>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</si>
  <si>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</si>
  <si>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</si>
  <si>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</si>
  <si>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</si>
  <si>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</si>
  <si>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</si>
  <si>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</si>
  <si>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</si>
  <si>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</si>
  <si>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</si>
  <si>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</si>
  <si>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</si>
  <si>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</si>
  <si>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</si>
  <si>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</si>
  <si>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</si>
  <si>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</si>
  <si>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</si>
  <si>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</si>
  <si>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</si>
  <si>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</si>
  <si>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</si>
  <si>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</si>
  <si>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</si>
  <si>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</si>
  <si>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</si>
  <si>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</si>
  <si>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</si>
  <si>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</si>
  <si>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</si>
  <si>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</si>
  <si>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</si>
  <si>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</si>
  <si>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</si>
  <si>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</si>
  <si>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</si>
  <si>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</si>
  <si>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</si>
  <si>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</si>
  <si>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</si>
  <si>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</si>
  <si>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</si>
  <si>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</si>
  <si>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</si>
  <si>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</si>
  <si>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</si>
  <si>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</si>
  <si>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</si>
  <si>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</si>
  <si>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</si>
  <si>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</si>
  <si>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</si>
  <si>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</si>
  <si>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</si>
  <si>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</si>
  <si>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</si>
  <si>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</si>
  <si>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</si>
  <si>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</si>
  <si>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</si>
  <si>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</si>
  <si>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</si>
  <si>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</si>
  <si>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</si>
  <si>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</si>
  <si>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</si>
  <si>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</si>
  <si>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</si>
  <si>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</si>
  <si>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</si>
  <si>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</si>
  <si>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</si>
  <si>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</si>
  <si>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</si>
  <si>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</si>
  <si>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</si>
  <si>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</si>
  <si>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</si>
  <si>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</si>
  <si>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</si>
  <si>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</si>
  <si>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</si>
  <si>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</si>
  <si>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</si>
  <si>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</si>
  <si>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</si>
  <si>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</si>
  <si>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</si>
  <si>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</si>
  <si>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</si>
  <si>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</si>
  <si>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</si>
  <si>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</si>
  <si>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</si>
  <si>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</si>
  <si>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</si>
  <si>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</si>
  <si>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</si>
  <si>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</si>
  <si>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</si>
  <si>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</si>
  <si>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</si>
  <si>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</si>
  <si>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</si>
  <si>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</si>
  <si>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</si>
  <si>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</si>
  <si>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</si>
  <si>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</si>
  <si>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</si>
  <si>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</si>
  <si>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</si>
  <si>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</si>
  <si>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</si>
  <si>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</si>
  <si>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</si>
  <si>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</si>
  <si>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</si>
  <si>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</si>
  <si>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</si>
  <si>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</si>
  <si>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</si>
  <si>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</si>
  <si>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</si>
  <si>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</si>
  <si>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</si>
  <si>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</si>
  <si>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</si>
  <si>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</si>
  <si>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</si>
  <si>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</si>
  <si>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</si>
  <si>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</si>
  <si>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</si>
  <si>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</si>
  <si>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</si>
  <si>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</si>
  <si>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</si>
  <si>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</si>
  <si>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</si>
  <si>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</si>
  <si>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</si>
  <si>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</si>
  <si>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</si>
  <si>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</si>
  <si>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</si>
  <si>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</si>
  <si>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</si>
  <si>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</si>
  <si>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</si>
  <si>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</si>
  <si>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</si>
  <si>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</si>
  <si>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</si>
  <si>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</si>
  <si>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</si>
  <si>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</si>
  <si>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</si>
  <si>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</si>
  <si>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</si>
  <si>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</si>
  <si>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</si>
  <si>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</si>
  <si>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</si>
  <si>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</si>
  <si>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</si>
  <si>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</si>
  <si>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</si>
  <si>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</si>
  <si>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</si>
  <si>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</si>
  <si>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</si>
  <si>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</si>
  <si>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</si>
  <si>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</si>
  <si>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</si>
  <si>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</si>
  <si>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</si>
  <si>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</si>
  <si>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</si>
  <si>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</si>
  <si>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</si>
  <si>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</si>
  <si>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</si>
  <si>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</si>
  <si>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</si>
  <si>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</si>
  <si>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</si>
  <si>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</si>
  <si>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</si>
  <si>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</si>
  <si>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</si>
  <si>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</si>
  <si>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</si>
  <si>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</si>
  <si>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</si>
  <si>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</si>
  <si>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</si>
  <si>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</si>
  <si>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</si>
  <si>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</si>
  <si>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</si>
  <si>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</si>
  <si>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</si>
  <si>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</si>
  <si>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</si>
  <si>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</si>
  <si>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</si>
  <si>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</si>
  <si>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</si>
  <si>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</si>
  <si>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</si>
  <si>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</si>
  <si>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</si>
  <si>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</si>
  <si>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</si>
  <si>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</si>
  <si>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</si>
  <si>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</si>
  <si>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</si>
  <si>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</si>
  <si>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</si>
  <si>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</si>
  <si>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</si>
  <si>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</si>
  <si>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</si>
  <si>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</si>
  <si>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</si>
  <si>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</si>
  <si>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</si>
  <si>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</si>
  <si>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</si>
  <si>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</si>
  <si>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</si>
  <si>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</si>
  <si>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</si>
  <si>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</si>
  <si>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</si>
  <si>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</si>
  <si>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</si>
  <si>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</si>
  <si>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</si>
  <si>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</si>
  <si>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</si>
  <si>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</si>
  <si>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</si>
  <si>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</si>
  <si>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</si>
  <si>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</si>
  <si>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</si>
  <si>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</si>
  <si>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</si>
  <si>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</si>
  <si>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</si>
  <si>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</si>
  <si>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</si>
  <si>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</si>
  <si>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</si>
  <si>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</si>
  <si>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</si>
  <si>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</si>
  <si>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</si>
  <si>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</si>
  <si>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</si>
  <si>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</si>
  <si>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</si>
  <si>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</si>
  <si>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</si>
  <si>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</si>
  <si>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</si>
  <si>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</si>
  <si>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</si>
  <si>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</si>
  <si>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</si>
  <si>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</si>
  <si>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</si>
  <si>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</si>
  <si>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</si>
  <si>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</si>
  <si>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</si>
  <si>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</si>
  <si>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</si>
  <si>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</si>
  <si>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</si>
  <si>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</si>
  <si>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</si>
  <si>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</si>
  <si>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</si>
  <si>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</si>
  <si>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</si>
  <si>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</si>
  <si>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</si>
  <si>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</si>
  <si>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</si>
  <si>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</si>
  <si>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</si>
  <si>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</si>
  <si>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</si>
  <si>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</si>
  <si>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</si>
  <si>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</si>
  <si>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</si>
  <si>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</si>
  <si>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</si>
  <si>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</si>
  <si>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</si>
  <si>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</si>
  <si>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</si>
  <si>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</si>
  <si>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</si>
  <si>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</si>
  <si>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</si>
  <si>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</si>
  <si>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</si>
  <si>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</si>
  <si>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</si>
  <si>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</si>
  <si>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</si>
  <si>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</si>
  <si>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</si>
  <si>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</si>
  <si>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</si>
  <si>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</si>
  <si>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</si>
  <si>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</si>
  <si>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</si>
  <si>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</si>
  <si>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</si>
  <si>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</si>
  <si>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</si>
  <si>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</si>
  <si>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</si>
  <si>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</si>
  <si>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</si>
  <si>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</si>
  <si>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</si>
  <si>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</si>
  <si>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</si>
  <si>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</si>
  <si>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</si>
  <si>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</si>
  <si>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</si>
  <si>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</si>
  <si>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</si>
  <si>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</si>
  <si>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</si>
  <si>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</si>
  <si>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</si>
  <si>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</si>
  <si>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</si>
  <si>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</si>
  <si>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</si>
  <si>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</si>
  <si>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</si>
  <si>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</si>
  <si>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</si>
  <si>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</si>
  <si>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</si>
  <si>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</si>
  <si>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</si>
  <si>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</si>
  <si>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</si>
  <si>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</si>
  <si>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</si>
  <si>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</si>
  <si>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</si>
  <si>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</si>
  <si>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</si>
  <si>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</si>
  <si>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</si>
  <si>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</si>
  <si>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</si>
  <si>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</si>
  <si>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</si>
  <si>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</si>
  <si>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</si>
  <si>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</si>
  <si>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</si>
  <si>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</si>
  <si>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</si>
  <si>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</si>
  <si>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</si>
  <si>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</si>
  <si>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</si>
  <si>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</si>
  <si>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</si>
  <si>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</si>
  <si>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</si>
  <si>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</si>
  <si>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</si>
  <si>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</si>
  <si>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</si>
  <si>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</si>
  <si>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</si>
  <si>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</si>
  <si>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</si>
  <si>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</si>
  <si>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</si>
  <si>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</si>
  <si>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</si>
  <si>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</si>
  <si>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</si>
  <si>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</si>
  <si>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</si>
  <si>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</si>
  <si>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</si>
  <si>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</si>
  <si>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</si>
  <si>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</si>
  <si>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</si>
  <si>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</si>
  <si>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</si>
  <si>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</si>
  <si>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</si>
  <si>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</si>
  <si>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</si>
  <si>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</si>
  <si>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</si>
  <si>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</si>
  <si>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</si>
  <si>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</si>
  <si>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</si>
  <si>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</si>
  <si>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</si>
  <si>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</si>
  <si>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</si>
  <si>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</si>
  <si>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</si>
  <si>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</si>
  <si>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</si>
  <si>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</si>
  <si>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</si>
  <si>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</si>
  <si>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</si>
  <si>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</si>
  <si>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</si>
  <si>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</si>
  <si>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</si>
  <si>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</si>
  <si>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</si>
  <si>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</si>
  <si>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</si>
  <si>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</si>
  <si>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</si>
  <si>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</si>
  <si>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</si>
  <si>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</si>
  <si>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</si>
  <si>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</si>
  <si>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</si>
  <si>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</si>
  <si>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</si>
  <si>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</si>
  <si>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</si>
  <si>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</si>
  <si>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</si>
  <si>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</si>
  <si>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</si>
  <si>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</si>
  <si>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</si>
  <si>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</si>
  <si>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</si>
  <si>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</si>
  <si>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</si>
  <si>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</si>
  <si>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</si>
  <si>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</si>
  <si>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</si>
  <si>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</si>
  <si>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</si>
  <si>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</si>
  <si>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</si>
  <si>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</si>
  <si>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</si>
  <si>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</si>
  <si>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</si>
  <si>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</si>
  <si>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</si>
  <si>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</si>
  <si>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</si>
  <si>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</si>
  <si>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</si>
  <si>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</si>
  <si>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</si>
  <si>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</si>
  <si>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</si>
  <si>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</si>
  <si>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</si>
  <si>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</si>
  <si>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</si>
  <si>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</si>
  <si>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</si>
  <si>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</si>
  <si>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</si>
  <si>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</si>
  <si>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</si>
  <si>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</si>
  <si>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</si>
  <si>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</si>
  <si>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</si>
  <si>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</si>
  <si>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</si>
  <si>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</si>
  <si>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</si>
  <si>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</si>
  <si>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</si>
  <si>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</si>
  <si>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</si>
  <si>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</si>
  <si>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</si>
  <si>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</si>
  <si>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</si>
  <si>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</si>
  <si>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</si>
  <si>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</si>
  <si>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</si>
  <si>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</si>
  <si>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</si>
  <si>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</si>
  <si>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</si>
  <si>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</si>
  <si>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</si>
  <si>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</si>
  <si>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</si>
  <si>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</si>
  <si>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</si>
  <si>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</si>
  <si>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</si>
  <si>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</si>
  <si>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</si>
  <si>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</si>
  <si>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</si>
  <si>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</si>
  <si>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</si>
  <si>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</si>
  <si>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</si>
  <si>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</si>
  <si>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</si>
  <si>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</si>
  <si>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</si>
  <si>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</si>
  <si>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</si>
  <si>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</si>
  <si>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</si>
  <si>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</si>
  <si>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</si>
  <si>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</si>
  <si>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</si>
  <si>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</si>
  <si>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</si>
  <si>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</si>
  <si>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</si>
  <si>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</si>
  <si>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</si>
  <si>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</si>
  <si>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</si>
  <si>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</si>
  <si>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</si>
  <si>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</si>
  <si>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</si>
  <si>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</si>
  <si>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</si>
  <si>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</si>
  <si>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</si>
  <si>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</si>
  <si>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</si>
  <si>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</si>
  <si>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</si>
  <si>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</si>
  <si>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</si>
  <si>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</si>
  <si>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</si>
  <si>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</si>
  <si>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</si>
  <si>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</si>
  <si>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</si>
  <si>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</si>
  <si>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</si>
  <si>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</si>
  <si>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</si>
  <si>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</si>
  <si>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</si>
  <si>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</si>
  <si>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</si>
  <si>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</si>
  <si>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</si>
  <si>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</si>
  <si>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</si>
  <si>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</si>
  <si>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</si>
  <si>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</si>
  <si>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</si>
  <si>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</si>
  <si>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</si>
  <si>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</si>
  <si>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</si>
  <si>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</si>
  <si>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</si>
  <si>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</si>
  <si>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</si>
  <si>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</si>
  <si>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</si>
  <si>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</si>
  <si>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</si>
  <si>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</si>
  <si>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</si>
  <si>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</si>
  <si>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</si>
  <si>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</si>
  <si>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</si>
  <si>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</si>
  <si>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</si>
  <si>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</si>
  <si>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</si>
  <si>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</si>
  <si>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</si>
  <si>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</si>
  <si>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</si>
  <si>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</si>
  <si>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</si>
  <si>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</si>
  <si>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</si>
  <si>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</si>
  <si>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</si>
  <si>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</si>
  <si>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</si>
  <si>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</si>
  <si>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</si>
  <si>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</si>
  <si>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</si>
  <si>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</si>
  <si>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</si>
  <si>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</si>
  <si>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</si>
  <si>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</si>
  <si>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</si>
  <si>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</si>
  <si>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</si>
  <si>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</si>
  <si>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</si>
  <si>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</si>
  <si>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</si>
  <si>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</si>
  <si>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</si>
  <si>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</si>
  <si>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</si>
  <si>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</si>
  <si>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</si>
  <si>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</si>
  <si>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</si>
  <si>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</si>
  <si>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</si>
  <si>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</si>
  <si>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</si>
  <si>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</si>
  <si>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</si>
  <si>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</si>
  <si>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</si>
  <si>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</si>
  <si>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</si>
  <si>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</si>
  <si>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</si>
  <si>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</si>
  <si>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</si>
  <si>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</si>
  <si>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</si>
  <si>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</si>
  <si>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</si>
  <si>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</si>
  <si>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</si>
  <si>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</si>
  <si>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</si>
  <si>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</si>
  <si>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</si>
  <si>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</si>
  <si>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</si>
  <si>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</si>
  <si>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</si>
  <si>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</si>
  <si>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</si>
  <si>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</si>
  <si>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</si>
  <si>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</si>
  <si>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</si>
  <si>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</si>
  <si>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</si>
  <si>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</si>
  <si>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</si>
  <si>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</si>
  <si>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</si>
  <si>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</si>
  <si>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</si>
  <si>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</si>
  <si>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</si>
  <si>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</si>
  <si>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</si>
  <si>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</si>
  <si>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</si>
  <si>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</si>
  <si>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</si>
  <si>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</si>
  <si>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</si>
  <si>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</si>
  <si>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</si>
  <si>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</si>
  <si>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</si>
  <si>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</si>
  <si>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</si>
  <si>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</si>
  <si>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</si>
  <si>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</si>
  <si>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</si>
  <si>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</si>
  <si>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</si>
  <si>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</si>
  <si>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</si>
  <si>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</si>
  <si>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</si>
  <si>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</si>
  <si>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</si>
  <si>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</si>
  <si>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</si>
  <si>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</si>
  <si>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</si>
  <si>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</si>
  <si>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</si>
  <si>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</si>
  <si>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</si>
  <si>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</si>
  <si>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</si>
  <si>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</si>
  <si>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</si>
  <si>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</si>
  <si>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</si>
  <si>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</si>
  <si>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</si>
  <si>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</si>
  <si>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</si>
  <si>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</si>
  <si>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</si>
  <si>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</si>
  <si>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</si>
  <si>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</si>
  <si>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</si>
  <si>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</si>
  <si>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</si>
  <si>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</si>
  <si>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</si>
  <si>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</si>
  <si>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</si>
  <si>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</si>
  <si>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</si>
  <si>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</si>
  <si>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</si>
  <si>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</si>
  <si>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</si>
  <si>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</si>
  <si>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</si>
  <si>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</si>
  <si>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</si>
  <si>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</si>
  <si>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</si>
  <si>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</si>
  <si>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</si>
  <si>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</si>
  <si>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</si>
  <si>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</si>
  <si>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</si>
  <si>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</si>
  <si>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</si>
  <si>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</si>
  <si>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</si>
  <si>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</si>
  <si>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</si>
  <si>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</si>
  <si>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</si>
  <si>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</si>
  <si>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</si>
  <si>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</si>
  <si>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</si>
  <si>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</si>
  <si>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</si>
  <si>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</si>
  <si>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</si>
  <si>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</si>
  <si>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</si>
  <si>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</si>
  <si>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</si>
  <si>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</si>
  <si>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</si>
  <si>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</si>
  <si>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</si>
  <si>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</si>
  <si>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</si>
  <si>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</si>
  <si>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</si>
  <si>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</si>
  <si>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</si>
  <si>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</si>
  <si>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</si>
  <si>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</si>
  <si>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</si>
  <si>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</si>
  <si>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</si>
  <si>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</si>
  <si>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</si>
  <si>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</si>
  <si>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</si>
  <si>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</si>
  <si>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</si>
  <si>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</si>
  <si>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</si>
  <si>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</si>
  <si>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</si>
  <si>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</si>
  <si>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</si>
  <si>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</si>
  <si>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</si>
  <si>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</si>
  <si>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</si>
  <si>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</si>
  <si>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</si>
  <si>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</si>
  <si>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</si>
  <si>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</si>
  <si>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</si>
  <si>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</si>
  <si>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</si>
  <si>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</si>
  <si>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</si>
  <si>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</si>
  <si>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</si>
  <si>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</si>
  <si>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</si>
  <si>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</si>
  <si>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</si>
  <si>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</si>
  <si>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</si>
  <si>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</si>
  <si>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</si>
  <si>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</si>
  <si>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</si>
  <si>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</si>
  <si>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</si>
  <si>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</si>
  <si>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</si>
  <si>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</si>
  <si>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</si>
  <si>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</si>
  <si>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</si>
  <si>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</si>
  <si>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</si>
  <si>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</si>
  <si>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</si>
  <si>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</si>
  <si>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</si>
  <si>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</si>
  <si>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</si>
  <si>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</si>
  <si>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</si>
  <si>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</si>
  <si>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</si>
  <si>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</si>
  <si>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</si>
  <si>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</si>
  <si>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</si>
  <si>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</si>
  <si>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</si>
  <si>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</si>
  <si>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</si>
  <si>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</si>
  <si>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</si>
  <si>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</si>
  <si>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</si>
  <si>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</si>
  <si>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</si>
  <si>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</si>
  <si>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</si>
  <si>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</si>
  <si>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</si>
  <si>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</si>
  <si>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</si>
  <si>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</si>
  <si>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</si>
  <si>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</si>
  <si>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</si>
  <si>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</si>
  <si>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</si>
  <si>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</si>
  <si>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</si>
  <si>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</si>
  <si>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</si>
  <si>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</si>
  <si>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</si>
  <si>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</si>
  <si>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</si>
  <si>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</si>
  <si>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</si>
  <si>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</si>
  <si>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</si>
  <si>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</si>
  <si>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</si>
  <si>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</si>
  <si>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</si>
  <si>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</si>
  <si>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</si>
  <si>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</si>
  <si>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</si>
  <si>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</si>
  <si>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</si>
  <si>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</si>
  <si>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</si>
  <si>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</si>
  <si>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</si>
  <si>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</si>
  <si>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</si>
  <si>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</si>
  <si>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</si>
  <si>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</si>
  <si>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</si>
  <si>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</si>
  <si>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</si>
  <si>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</si>
  <si>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</si>
  <si>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</si>
  <si>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</si>
  <si>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</si>
  <si>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</si>
  <si>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</si>
  <si>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</si>
  <si>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</si>
  <si>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</si>
  <si>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</si>
  <si>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</si>
  <si>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</si>
  <si>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</si>
  <si>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</si>
  <si>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</si>
  <si>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</si>
  <si>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</si>
  <si>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</si>
  <si>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</si>
  <si>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</si>
  <si>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</si>
  <si>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</si>
  <si>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</si>
  <si>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</si>
  <si>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</si>
  <si>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</si>
  <si>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</si>
  <si>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</si>
  <si>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</si>
  <si>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</si>
  <si>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</si>
  <si>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</si>
  <si>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</si>
  <si>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</si>
  <si>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</si>
  <si>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</si>
  <si>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</si>
  <si>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</si>
  <si>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</si>
  <si>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</si>
  <si>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</si>
  <si>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</si>
  <si>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</si>
  <si>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</si>
  <si>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</si>
  <si>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</si>
  <si>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</si>
  <si>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</si>
  <si>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</si>
  <si>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</si>
  <si>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</si>
  <si>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</si>
  <si>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</si>
  <si>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</si>
  <si>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</si>
  <si>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</si>
  <si>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</si>
  <si>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</si>
  <si>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</si>
  <si>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</si>
  <si>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</si>
  <si>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</si>
  <si>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</si>
  <si>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</si>
  <si>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</si>
  <si>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</si>
  <si>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</si>
  <si>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</si>
  <si>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</si>
  <si>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</si>
  <si>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</si>
  <si>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</si>
  <si>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</si>
  <si>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</si>
  <si>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</si>
  <si>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</si>
  <si>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</si>
  <si>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</si>
  <si>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</si>
  <si>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</si>
  <si>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</si>
  <si>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</si>
  <si>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</si>
  <si>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</si>
  <si>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</si>
  <si>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</si>
  <si>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</si>
  <si>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</si>
  <si>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</si>
  <si>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</si>
  <si>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</si>
  <si>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</si>
  <si>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</si>
  <si>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</si>
  <si>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</si>
  <si>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</si>
  <si>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</si>
  <si>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</si>
  <si>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</si>
  <si>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</si>
  <si>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</si>
  <si>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</si>
  <si>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</si>
  <si>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</si>
  <si>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</si>
  <si>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</si>
  <si>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</si>
  <si>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</si>
  <si>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</si>
  <si>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</si>
  <si>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</si>
  <si>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</si>
  <si>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</si>
  <si>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</si>
  <si>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</si>
  <si>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</si>
  <si>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</si>
  <si>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</si>
  <si>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</si>
  <si>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</si>
  <si>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</si>
  <si>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</si>
  <si>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</si>
  <si>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</si>
  <si>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</si>
  <si>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</si>
  <si>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</si>
  <si>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</si>
  <si>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</si>
  <si>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</si>
  <si>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</si>
  <si>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</si>
  <si>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</si>
  <si>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</si>
  <si>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</si>
  <si>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</si>
  <si>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</si>
  <si>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</si>
  <si>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</si>
  <si>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</si>
  <si>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</si>
  <si>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</si>
  <si>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</si>
  <si>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</si>
  <si>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</si>
  <si>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</si>
  <si>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</si>
  <si>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</si>
  <si>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</si>
  <si>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</si>
  <si>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</si>
  <si>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</si>
  <si>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</si>
  <si>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</si>
  <si>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</si>
  <si>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</si>
  <si>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</si>
  <si>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</si>
  <si>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</si>
  <si>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</si>
  <si>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</si>
  <si>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</si>
  <si>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</si>
  <si>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</si>
  <si>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</si>
  <si>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</si>
  <si>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</si>
  <si>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</si>
  <si>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</si>
  <si>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</si>
  <si>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</si>
  <si>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</si>
  <si>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</si>
  <si>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</si>
  <si>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</si>
  <si>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</si>
  <si>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</si>
  <si>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</si>
  <si>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</si>
  <si>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</si>
  <si>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</si>
  <si>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</si>
  <si>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</si>
  <si>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</si>
  <si>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</si>
  <si>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</si>
  <si>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</si>
  <si>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</si>
  <si>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</si>
  <si>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</si>
  <si>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</si>
  <si>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</si>
  <si>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</si>
  <si>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</si>
  <si>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</si>
  <si>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</si>
  <si>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</si>
  <si>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</si>
  <si>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</si>
  <si>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</si>
  <si>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</si>
  <si>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</si>
  <si>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</si>
  <si>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</si>
  <si>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</si>
  <si>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</si>
  <si>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</si>
  <si>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</si>
  <si>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</si>
  <si>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</si>
  <si>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</si>
  <si>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</si>
  <si>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</si>
  <si>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</si>
  <si>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</si>
  <si>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</si>
  <si>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</si>
  <si>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</si>
  <si>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</si>
  <si>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</si>
  <si>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</si>
  <si>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</si>
  <si>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</si>
  <si>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</si>
  <si>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</si>
  <si>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</si>
  <si>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</si>
  <si>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</si>
  <si>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</si>
  <si>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</si>
  <si>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</si>
  <si>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</si>
  <si>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</si>
  <si>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</si>
  <si>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</si>
  <si>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</si>
  <si>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</si>
  <si>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</si>
  <si>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</si>
  <si>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</si>
  <si>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</si>
  <si>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</si>
  <si>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</si>
  <si>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</si>
  <si>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</si>
  <si>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</si>
  <si>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</si>
  <si>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</si>
  <si>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</si>
  <si>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</si>
  <si>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</si>
  <si>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</si>
  <si>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</si>
  <si>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</si>
  <si>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</si>
  <si>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</si>
  <si>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</si>
  <si>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</si>
  <si>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</si>
  <si>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</si>
  <si>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</si>
  <si>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</si>
  <si>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</si>
  <si>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</si>
  <si>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</si>
  <si>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</si>
  <si>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</si>
  <si>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</si>
  <si>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</si>
  <si>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</si>
  <si>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</si>
  <si>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</si>
  <si>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</si>
  <si>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</si>
  <si>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</si>
  <si>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</si>
  <si>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</si>
  <si>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</si>
  <si>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</si>
  <si>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</si>
  <si>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</si>
  <si>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</si>
  <si>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</si>
  <si>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</si>
  <si>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</si>
  <si>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</si>
  <si>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</si>
  <si>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</si>
  <si>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</si>
  <si>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</si>
  <si>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</si>
  <si>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</si>
  <si>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</si>
  <si>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</si>
  <si>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</si>
  <si>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</si>
  <si>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</si>
  <si>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</si>
  <si>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</si>
  <si>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</si>
  <si>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</si>
  <si>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</si>
  <si>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</si>
  <si>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</si>
  <si>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</si>
  <si>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</si>
  <si>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</si>
  <si>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</si>
  <si>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</si>
  <si>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</si>
  <si>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</si>
  <si>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</si>
  <si>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</si>
  <si>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</si>
  <si>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</si>
  <si>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</si>
  <si>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</si>
  <si>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</si>
  <si>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</si>
  <si>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</si>
  <si>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</si>
  <si>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</si>
  <si>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</si>
  <si>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</si>
  <si>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</si>
  <si>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</si>
  <si>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</si>
  <si>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</si>
  <si>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</si>
  <si>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</si>
  <si>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</si>
  <si>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</si>
  <si>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</si>
  <si>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</si>
  <si>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</si>
  <si>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</si>
  <si>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</si>
  <si>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</si>
  <si>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</si>
  <si>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</si>
  <si>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</si>
  <si>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</si>
  <si>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</si>
  <si>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</si>
  <si>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</si>
  <si>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</si>
  <si>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</si>
  <si>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</si>
  <si>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</si>
  <si>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</si>
  <si>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</si>
  <si>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</si>
  <si>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</si>
  <si>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</si>
  <si>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</si>
  <si>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</si>
  <si>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</si>
  <si>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</si>
  <si>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</si>
  <si>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</si>
  <si>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</si>
  <si>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</si>
  <si>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</si>
  <si>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</si>
  <si>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</si>
  <si>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</si>
  <si>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</si>
  <si>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</si>
  <si>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</si>
  <si>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</si>
  <si>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</si>
  <si>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</si>
  <si>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</si>
  <si>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</si>
  <si>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</si>
  <si>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</si>
  <si>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</si>
  <si>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</si>
  <si>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</si>
  <si>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</si>
  <si>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</si>
  <si>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</si>
  <si>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</si>
  <si>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</si>
  <si>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</si>
  <si>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</si>
  <si>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</si>
  <si>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</si>
  <si>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</si>
  <si>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</si>
  <si>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</si>
  <si>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</si>
  <si>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</si>
  <si>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</si>
  <si>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</si>
  <si>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</si>
  <si>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</si>
  <si>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</si>
  <si>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</si>
  <si>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</si>
  <si>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</si>
  <si>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</si>
  <si>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</si>
  <si>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</si>
  <si>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</si>
  <si>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</si>
  <si>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</si>
  <si>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</si>
  <si>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</si>
  <si>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</si>
  <si>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</si>
  <si>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</si>
  <si>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</si>
  <si>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</si>
  <si>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</si>
  <si>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</si>
  <si>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</si>
  <si>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</si>
  <si>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</si>
  <si>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</si>
  <si>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</si>
  <si>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</si>
  <si>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</si>
  <si>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</si>
  <si>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</si>
  <si>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</si>
  <si>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</si>
  <si>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</si>
  <si>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</si>
  <si>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</si>
  <si>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</si>
  <si>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</si>
  <si>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</si>
  <si>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</si>
  <si>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</si>
  <si>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</si>
  <si>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</si>
  <si>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</si>
  <si>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</si>
  <si>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</si>
  <si>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</si>
  <si>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</si>
  <si>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</si>
  <si>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</si>
  <si>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</si>
  <si>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</si>
  <si>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</si>
  <si>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</si>
  <si>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</si>
  <si>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</si>
  <si>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</si>
  <si>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</si>
  <si>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</si>
  <si>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</si>
  <si>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</si>
  <si>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</si>
  <si>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</si>
  <si>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</si>
  <si>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</si>
  <si>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</si>
  <si>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</si>
  <si>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</si>
  <si>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</si>
  <si>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</si>
  <si>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</si>
  <si>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</si>
  <si>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</si>
  <si>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</si>
  <si>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</si>
  <si>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</si>
  <si>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</si>
  <si>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</si>
  <si>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</si>
  <si>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</si>
  <si>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</si>
  <si>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</si>
  <si>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</si>
  <si>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</si>
  <si>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</si>
  <si>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</si>
  <si>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</si>
  <si>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</si>
  <si>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</si>
  <si>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</si>
  <si>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</si>
  <si>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</si>
  <si>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</si>
  <si>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</si>
  <si>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</si>
  <si>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</si>
  <si>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</si>
  <si>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</si>
  <si>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</si>
  <si>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</si>
  <si>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</si>
  <si>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</si>
  <si>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</si>
  <si>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</si>
  <si>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</si>
  <si>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</si>
  <si>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</si>
  <si>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</si>
  <si>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</si>
  <si>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</si>
  <si>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</si>
  <si>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</si>
  <si>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</si>
  <si>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</si>
  <si>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</si>
  <si>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</si>
  <si>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</si>
  <si>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</si>
  <si>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</si>
  <si>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</si>
  <si>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</si>
  <si>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</si>
  <si>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</si>
  <si>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</si>
  <si>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</si>
  <si>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</si>
  <si>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</si>
  <si>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</si>
  <si>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</si>
  <si>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</si>
  <si>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</si>
  <si>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</si>
  <si>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</si>
  <si>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</si>
  <si>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</si>
  <si>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</si>
  <si>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</si>
  <si>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</si>
  <si>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</si>
  <si>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</si>
  <si>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</si>
  <si>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</si>
  <si>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</si>
  <si>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</si>
  <si>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</si>
  <si>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</si>
  <si>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</si>
  <si>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</si>
  <si>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</si>
  <si>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</si>
  <si>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</si>
  <si>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</si>
  <si>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</si>
  <si>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</si>
  <si>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</si>
  <si>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</si>
  <si>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</si>
  <si>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</si>
  <si>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</si>
  <si>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</si>
  <si>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</si>
  <si>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</si>
  <si>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</si>
  <si>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</si>
  <si>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</si>
  <si>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</si>
  <si>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</si>
  <si>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</si>
  <si>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</si>
  <si>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</si>
  <si>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</si>
  <si>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</si>
  <si>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</si>
  <si>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</si>
  <si>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</si>
  <si>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</si>
  <si>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</si>
  <si>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</si>
  <si>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</si>
  <si>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</si>
  <si>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</si>
  <si>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</si>
  <si>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</si>
  <si>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</si>
  <si>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</si>
  <si>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</si>
  <si>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</si>
  <si>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</si>
  <si>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</si>
  <si>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</si>
  <si>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</si>
  <si>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</si>
  <si>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</si>
  <si>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</si>
  <si>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</si>
  <si>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</si>
  <si>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</si>
  <si>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</si>
  <si>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</si>
  <si>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</si>
  <si>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</si>
  <si>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</si>
  <si>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</si>
  <si>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</si>
  <si>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</si>
  <si>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</si>
  <si>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</si>
  <si>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</si>
  <si>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</si>
  <si>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</si>
  <si>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</si>
  <si>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</si>
  <si>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</si>
  <si>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</si>
  <si>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</si>
  <si>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</si>
  <si>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</si>
  <si>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</si>
  <si>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</si>
  <si>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</si>
  <si>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</si>
  <si>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</si>
  <si>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</si>
  <si>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</si>
  <si>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</si>
  <si>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</si>
  <si>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</si>
  <si>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</si>
  <si>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</si>
  <si>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</si>
  <si>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</si>
  <si>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</si>
  <si>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</si>
  <si>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</si>
  <si>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</si>
  <si>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</si>
  <si>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</si>
  <si>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</si>
  <si>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</si>
  <si>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</si>
  <si>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</si>
  <si>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</si>
  <si>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</si>
  <si>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</si>
  <si>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</si>
  <si>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</si>
  <si>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</si>
  <si>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</si>
  <si>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</si>
  <si>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</si>
  <si>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</si>
  <si>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</si>
  <si>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</si>
  <si>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</si>
  <si>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</si>
  <si>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</si>
  <si>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</si>
  <si>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</si>
  <si>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</si>
  <si>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</si>
  <si>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</si>
  <si>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</si>
  <si>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</si>
  <si>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</si>
  <si>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</si>
  <si>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</si>
  <si>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</si>
  <si>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</si>
  <si>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</si>
  <si>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</si>
  <si>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</si>
  <si>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</si>
  <si>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</si>
  <si>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</si>
  <si>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</si>
  <si>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</si>
  <si>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</si>
  <si>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</si>
  <si>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</si>
  <si>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</si>
  <si>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</si>
  <si>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</si>
  <si>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</si>
  <si>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</si>
  <si>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</si>
  <si>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</si>
  <si>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</si>
  <si>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</si>
  <si>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</si>
  <si>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</si>
  <si>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</si>
  <si>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</si>
  <si>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</si>
  <si>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</si>
  <si>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</si>
  <si>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</si>
  <si>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</si>
  <si>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</si>
  <si>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</si>
  <si>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</si>
  <si>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</si>
  <si>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</si>
  <si>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</si>
  <si>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</si>
  <si>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</si>
  <si>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</si>
  <si>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</si>
  <si>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</si>
  <si>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</si>
  <si>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</si>
  <si>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</si>
  <si>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</si>
  <si>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</si>
  <si>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</si>
  <si>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</si>
  <si>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</si>
  <si>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</si>
  <si>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</si>
  <si>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</si>
  <si>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</si>
  <si>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</si>
  <si>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</si>
  <si>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</si>
  <si>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</si>
  <si>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</si>
  <si>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</si>
  <si>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</si>
  <si>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</si>
  <si>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</si>
  <si>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</si>
  <si>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</si>
  <si>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</si>
  <si>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</si>
  <si>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</si>
  <si>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</si>
  <si>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</si>
  <si>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</si>
  <si>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</si>
  <si>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</si>
  <si>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</si>
  <si>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</si>
  <si>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</si>
  <si>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</si>
  <si>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</si>
  <si>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</si>
  <si>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</si>
  <si>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</si>
  <si>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</si>
  <si>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</si>
  <si>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</si>
  <si>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</si>
  <si>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</si>
  <si>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</si>
  <si>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</si>
  <si>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</si>
  <si>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</si>
  <si>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</si>
  <si>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</si>
  <si>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</si>
  <si>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</si>
  <si>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</si>
  <si>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</si>
  <si>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</si>
  <si>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</si>
  <si>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</si>
  <si>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</si>
  <si>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</si>
  <si>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</si>
  <si>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</si>
  <si>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</si>
  <si>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</si>
  <si>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</si>
  <si>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</si>
  <si>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</si>
  <si>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</si>
  <si>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</si>
  <si>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</si>
  <si>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</si>
  <si>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</si>
  <si>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</si>
  <si>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</si>
  <si>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</si>
  <si>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</si>
  <si>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</si>
  <si>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</si>
  <si>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</si>
  <si>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</si>
  <si>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</si>
  <si>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</si>
  <si>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</si>
  <si>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</si>
  <si>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</si>
  <si>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</si>
  <si>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</si>
  <si>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</si>
  <si>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</si>
  <si>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</si>
  <si>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</si>
  <si>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</si>
  <si>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</si>
  <si>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</si>
  <si>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</si>
  <si>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</si>
  <si>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</si>
  <si>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</si>
  <si>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</si>
  <si>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</si>
  <si>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</si>
  <si>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</si>
  <si>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</si>
  <si>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</si>
  <si>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</si>
  <si>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</si>
  <si>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</si>
  <si>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</si>
  <si>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</si>
  <si>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</si>
  <si>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</si>
  <si>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</si>
  <si>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</si>
  <si>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</si>
  <si>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</si>
  <si>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</si>
  <si>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</si>
  <si>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</si>
  <si>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</si>
  <si>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</si>
  <si>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</si>
  <si>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</si>
  <si>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</si>
  <si>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</si>
  <si>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</si>
  <si>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</si>
  <si>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</si>
  <si>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</si>
  <si>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</si>
  <si>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</si>
  <si>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</si>
  <si>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</si>
  <si>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</si>
  <si>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</si>
  <si>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</si>
  <si>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</si>
  <si>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</si>
  <si>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</si>
  <si>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</si>
  <si>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</si>
  <si>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</si>
  <si>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</si>
  <si>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</si>
  <si>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</si>
  <si>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</si>
  <si>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</si>
  <si>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</si>
  <si>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</si>
  <si>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</si>
  <si>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</si>
  <si>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</si>
  <si>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</si>
  <si>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</si>
  <si>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</si>
  <si>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</si>
  <si>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</si>
  <si>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</si>
  <si>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</si>
  <si>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</si>
  <si>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</si>
  <si>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</si>
  <si>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</si>
  <si>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</si>
  <si>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</si>
  <si>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</si>
  <si>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</si>
  <si>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</si>
  <si>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</si>
  <si>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</si>
  <si>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</si>
  <si>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</si>
  <si>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</si>
  <si>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</si>
  <si>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</si>
  <si>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</si>
  <si>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</si>
  <si>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</si>
  <si>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</si>
  <si>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</si>
  <si>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</si>
  <si>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</si>
  <si>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</si>
  <si>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</si>
  <si>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</si>
  <si>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</si>
  <si>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</si>
  <si>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</si>
  <si>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</si>
  <si>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</si>
  <si>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</si>
  <si>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</si>
  <si>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</si>
  <si>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</si>
  <si>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</si>
  <si>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</si>
  <si>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</si>
  <si>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</si>
  <si>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</si>
  <si>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</si>
  <si>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</si>
  <si>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</si>
  <si>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</si>
  <si>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</si>
  <si>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</si>
  <si>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</si>
  <si>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</si>
  <si>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</si>
  <si>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</si>
  <si>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</si>
  <si>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</si>
  <si>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</si>
  <si>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</si>
  <si>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</si>
  <si>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</si>
  <si>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</si>
  <si>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</si>
  <si>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</si>
  <si>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</si>
  <si>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</si>
  <si>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</si>
  <si>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</si>
  <si>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</si>
  <si>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</si>
  <si>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</si>
  <si>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</si>
  <si>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</si>
  <si>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</si>
  <si>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</si>
  <si>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</si>
  <si>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</si>
  <si>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</si>
  <si>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</si>
  <si>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</si>
  <si>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</si>
  <si>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</si>
  <si>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</si>
  <si>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</si>
  <si>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</si>
  <si>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</si>
  <si>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</si>
  <si>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</si>
  <si>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</si>
  <si>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</si>
  <si>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</si>
  <si>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</si>
  <si>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</si>
  <si>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</si>
  <si>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</si>
  <si>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</si>
  <si>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</si>
  <si>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</si>
  <si>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</si>
  <si>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</si>
  <si>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</si>
  <si>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</si>
  <si>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</si>
  <si>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</si>
  <si>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</si>
  <si>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</si>
  <si>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</si>
  <si>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</si>
  <si>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</si>
  <si>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</si>
  <si>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</si>
  <si>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</si>
  <si>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</si>
  <si>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</si>
  <si>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</si>
  <si>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</si>
  <si>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</si>
  <si>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</si>
  <si>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</si>
  <si>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</si>
  <si>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</si>
  <si>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</si>
  <si>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</si>
  <si>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</si>
  <si>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</si>
  <si>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</si>
  <si>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</si>
  <si>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</si>
  <si>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</si>
  <si>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</si>
  <si>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</si>
  <si>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</si>
  <si>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</si>
  <si>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</si>
  <si>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</si>
  <si>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</si>
  <si>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</si>
  <si>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</si>
  <si>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</si>
  <si>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</si>
  <si>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</si>
  <si>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</si>
  <si>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</si>
  <si>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</si>
  <si>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</si>
  <si>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</si>
  <si>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</si>
  <si>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</si>
  <si>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</si>
  <si>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</si>
  <si>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</si>
  <si>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</si>
  <si>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</si>
  <si>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</si>
  <si>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</si>
  <si>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</si>
  <si>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</si>
  <si>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</si>
  <si>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</si>
  <si>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</si>
  <si>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</si>
  <si>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</si>
  <si>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</si>
  <si>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</si>
  <si>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</si>
  <si>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</si>
  <si>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</si>
  <si>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</si>
  <si>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</si>
  <si>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</si>
  <si>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</si>
  <si>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</si>
  <si>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</si>
  <si>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</si>
  <si>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</si>
  <si>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</si>
  <si>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</si>
  <si>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</si>
  <si>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</si>
  <si>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</si>
  <si>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</si>
  <si>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</si>
  <si>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</si>
  <si>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</si>
  <si>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</si>
  <si>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</si>
  <si>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</si>
  <si>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</si>
  <si>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</si>
  <si>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</si>
  <si>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</si>
  <si>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</si>
  <si>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</si>
  <si>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</si>
  <si>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</si>
  <si>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</si>
  <si>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</si>
  <si>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</si>
  <si>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</si>
  <si>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</si>
  <si>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</si>
  <si>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</si>
  <si>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</si>
  <si>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</si>
  <si>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</si>
  <si>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</si>
  <si>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</si>
  <si>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</si>
  <si>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</si>
  <si>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</si>
  <si>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</si>
  <si>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</si>
  <si>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</si>
  <si>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</si>
  <si>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</si>
  <si>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</si>
  <si>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</si>
  <si>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</si>
  <si>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</si>
  <si>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</si>
  <si>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</si>
  <si>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</si>
  <si>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</si>
  <si>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</si>
  <si>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</si>
  <si>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</si>
  <si>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</si>
  <si>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</si>
  <si>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</si>
  <si>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</si>
  <si>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</si>
  <si>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</si>
  <si>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</si>
  <si>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</si>
  <si>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</si>
  <si>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</si>
  <si>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</si>
  <si>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</si>
  <si>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</si>
  <si>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</si>
  <si>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</si>
  <si>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</si>
  <si>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</si>
  <si>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</si>
  <si>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</si>
  <si>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</si>
  <si>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</si>
  <si>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</si>
  <si>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</si>
  <si>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</si>
  <si>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</si>
  <si>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</si>
  <si>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</si>
  <si>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</si>
  <si>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</si>
  <si>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</si>
  <si>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</si>
  <si>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</si>
  <si>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</si>
  <si>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</si>
  <si>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</si>
  <si>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</si>
  <si>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</si>
  <si>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</si>
  <si>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</si>
  <si>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</si>
  <si>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</si>
  <si>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</si>
  <si>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</si>
  <si>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</si>
  <si>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</si>
  <si>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</si>
  <si>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</si>
  <si>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</si>
  <si>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</si>
  <si>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</si>
  <si>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</si>
  <si>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</si>
  <si>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</si>
  <si>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</si>
  <si>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</si>
  <si>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</si>
  <si>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</si>
  <si>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</si>
  <si>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</si>
  <si>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</si>
  <si>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</si>
  <si>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</si>
  <si>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</si>
  <si>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</si>
  <si>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</si>
  <si>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</si>
  <si>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</si>
  <si>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</si>
  <si>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</si>
  <si>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</si>
  <si>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</si>
  <si>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</si>
  <si>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</si>
  <si>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</si>
  <si>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</si>
  <si>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</si>
  <si>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</si>
  <si>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</si>
  <si>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</si>
  <si>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</si>
  <si>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</si>
  <si>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</si>
  <si>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</si>
  <si>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</si>
  <si>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</si>
  <si>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</si>
  <si>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</si>
  <si>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</si>
  <si>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</si>
  <si>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</si>
  <si>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</si>
  <si>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phoneticPr fontId="224" type="noConversion"/>
  </si>
  <si>
    <r>
      <t>1-3</t>
    </r>
    <r>
      <rPr>
        <sz val="11"/>
        <rFont val="宋体"/>
        <family val="3"/>
        <charset val="134"/>
      </rPr>
      <t>层</t>
    </r>
    <phoneticPr fontId="224" type="noConversion"/>
  </si>
  <si>
    <t>钢混</t>
    <phoneticPr fontId="224" type="noConversion"/>
  </si>
  <si>
    <t>精装</t>
    <phoneticPr fontId="224" type="noConversion"/>
  </si>
  <si>
    <t>简装</t>
    <phoneticPr fontId="224" type="noConversion"/>
  </si>
  <si>
    <t>毛坯</t>
    <phoneticPr fontId="224" type="noConversion"/>
  </si>
  <si>
    <t>楼面单价</t>
  </si>
  <si>
    <t>自定义容积率</t>
  </si>
  <si>
    <t>与级别开发程度不一致</t>
  </si>
  <si>
    <t>按公示增长率计算</t>
  </si>
  <si>
    <t>未包含在土地购买价格中</t>
  </si>
  <si>
    <t>已包含在土地取得成本中</t>
  </si>
  <si>
    <t>钢混</t>
    <phoneticPr fontId="224" type="noConversion"/>
  </si>
  <si>
    <r>
      <t>1-2</t>
    </r>
    <r>
      <rPr>
        <sz val="11"/>
        <rFont val="宋体"/>
        <family val="3"/>
        <charset val="134"/>
      </rPr>
      <t>层</t>
    </r>
    <phoneticPr fontId="224" type="noConversion"/>
  </si>
  <si>
    <t>中心城区</t>
  </si>
  <si>
    <t>办公</t>
    <phoneticPr fontId="224" type="noConversion"/>
  </si>
  <si>
    <t>楼层修正</t>
  </si>
  <si>
    <t>高区</t>
    <phoneticPr fontId="224" type="noConversion"/>
  </si>
  <si>
    <t>中区</t>
    <phoneticPr fontId="224" type="noConversion"/>
  </si>
  <si>
    <t>低区</t>
    <phoneticPr fontId="224" type="noConversion"/>
  </si>
  <si>
    <t>超高层高</t>
  </si>
  <si>
    <t>超高层高</t>
    <phoneticPr fontId="224" type="noConversion"/>
  </si>
  <si>
    <t>标准层高</t>
  </si>
  <si>
    <t>标准层高</t>
    <phoneticPr fontId="224" type="noConversion"/>
  </si>
  <si>
    <t>平层</t>
    <phoneticPr fontId="224" type="noConversion"/>
  </si>
  <si>
    <t>LOFT</t>
    <phoneticPr fontId="224" type="noConversion"/>
  </si>
  <si>
    <t>户型</t>
    <phoneticPr fontId="224" type="noConversion"/>
  </si>
  <si>
    <t>办公</t>
    <phoneticPr fontId="224" type="noConversion"/>
  </si>
  <si>
    <t>比较法-办公</t>
  </si>
  <si>
    <t>尖子班</t>
    <phoneticPr fontId="224"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</si>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</sst>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11">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2" fontId="54" fillId="7" borderId="0" xfId="0" applyNumberFormat="1" applyFont="1" applyFill="1" applyProtection="1">
      <alignment vertical="center"/>
      <protection locked="0"/>
    </xf>
    <xf numFmtId="1" fontId="63" fillId="0" borderId="2" xfId="0" applyNumberFormat="1" applyFont="1" applyBorder="1" applyAlignment="1" applyProtection="1">
      <alignment horizontal="center" vertical="center" wrapText="1"/>
      <protection locked="0"/>
    </xf>
    <xf numFmtId="49" fontId="100" fillId="0" borderId="136" xfId="0" applyNumberFormat="1"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106"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112"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207"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662988</xdr:colOff>
      <xdr:row>23</xdr:row>
      <xdr:rowOff>85725</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6835188" cy="4029075"/>
        </a:xfrm>
        <a:prstGeom prst="rect">
          <a:avLst/>
        </a:prstGeom>
      </xdr:spPr>
    </xdr:pic>
    <xdr:clientData/>
  </xdr:twoCellAnchor>
  <xdr:twoCellAnchor editAs="oneCell">
    <xdr:from>
      <xdr:col>10</xdr:col>
      <xdr:colOff>38100</xdr:colOff>
      <xdr:row>0</xdr:row>
      <xdr:rowOff>0</xdr:rowOff>
    </xdr:from>
    <xdr:to>
      <xdr:col>15</xdr:col>
      <xdr:colOff>456719</xdr:colOff>
      <xdr:row>33</xdr:row>
      <xdr:rowOff>18340</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6896100" y="0"/>
          <a:ext cx="3847619" cy="5676190"/>
        </a:xfrm>
        <a:prstGeom prst="rect">
          <a:avLst/>
        </a:prstGeom>
      </xdr:spPr>
    </xdr:pic>
    <xdr:clientData/>
  </xdr:twoCellAnchor>
  <xdr:twoCellAnchor editAs="oneCell">
    <xdr:from>
      <xdr:col>0</xdr:col>
      <xdr:colOff>0</xdr:colOff>
      <xdr:row>24</xdr:row>
      <xdr:rowOff>0</xdr:rowOff>
    </xdr:from>
    <xdr:to>
      <xdr:col>9</xdr:col>
      <xdr:colOff>128346</xdr:colOff>
      <xdr:row>62</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6300546" cy="6553200"/>
        </a:xfrm>
        <a:prstGeom prst="rect">
          <a:avLst/>
        </a:prstGeom>
      </xdr:spPr>
    </xdr:pic>
    <xdr:clientData/>
  </xdr:twoCellAnchor>
  <xdr:twoCellAnchor editAs="oneCell">
    <xdr:from>
      <xdr:col>9</xdr:col>
      <xdr:colOff>209550</xdr:colOff>
      <xdr:row>34</xdr:row>
      <xdr:rowOff>0</xdr:rowOff>
    </xdr:from>
    <xdr:to>
      <xdr:col>20</xdr:col>
      <xdr:colOff>637178</xdr:colOff>
      <xdr:row>41</xdr:row>
      <xdr:rowOff>142707</xdr:rowOff>
    </xdr:to>
    <xdr:pic>
      <xdr:nvPicPr>
        <xdr:cNvPr id="5" name="图片 4"/>
        <xdr:cNvPicPr>
          <a:picLocks noChangeAspect="1"/>
        </xdr:cNvPicPr>
      </xdr:nvPicPr>
      <xdr:blipFill>
        <a:blip xmlns:r="http://schemas.openxmlformats.org/officeDocument/2006/relationships" r:embed="rId4"/>
        <a:stretch>
          <a:fillRect/>
        </a:stretch>
      </xdr:blipFill>
      <xdr:spPr>
        <a:xfrm>
          <a:off x="6381750" y="5829300"/>
          <a:ext cx="7971428" cy="1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估价对象为北京市房地产，为所有。根据《国有土地使用证》[]，估价对象（分摊）出让国有建设用地使用权面积为0平方米，建筑面积为134.04平方米。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估价对象为北京市房地产,属开发建设的办公项目，该项目尚在开发建设中。根据《国有土地使用证》[]，估价对象（分摊）出让国有建设用地使用权面积为0平方米，规划建筑面积为134.04平方米。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2025年11月12日（评估专业人员实地查勘之日）</v>
      </c>
    </row>
    <row r="13" spans="1:2">
      <c r="A13" s="3157" t="s">
        <v>13</v>
      </c>
      <c r="B13" s="3158" t="str">
        <f>'预评函-1'!A18</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233</v>
      </c>
    </row>
    <row r="21" spans="1:2">
      <c r="A21" s="3157" t="s">
        <v>21</v>
      </c>
      <c r="B21" s="3158">
        <f ca="1">'预评函-2'!D7</f>
        <v>17397</v>
      </c>
    </row>
    <row r="22" spans="1:2">
      <c r="A22" s="3157" t="s">
        <v>22</v>
      </c>
      <c r="B22" s="3158" t="str">
        <f ca="1">'预评函-2'!D6</f>
        <v>贰佰叁拾叁万元整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233</v>
      </c>
    </row>
    <row r="31" spans="1:2">
      <c r="A31" s="3157" t="s">
        <v>31</v>
      </c>
      <c r="B31" s="3158">
        <f ca="1">'预评函-2'!D15</f>
        <v>17397</v>
      </c>
    </row>
    <row r="32" spans="1:2">
      <c r="A32" s="3157" t="s">
        <v>32</v>
      </c>
      <c r="B32" s="3158" t="str">
        <f ca="1">'预评函-2'!D14</f>
        <v>贰佰叁拾叁万元整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134.04</v>
      </c>
    </row>
    <row r="44" spans="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13"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296" t="s">
        <v>368</v>
      </c>
      <c r="C54" s="3045" t="s">
        <v>369</v>
      </c>
    </row>
    <row r="55" spans="1:4">
      <c r="A55" s="3213"/>
      <c r="B55" s="296" t="s">
        <v>370</v>
      </c>
      <c r="C55" s="3045" t="s">
        <v>371</v>
      </c>
    </row>
    <row r="56" spans="1:4">
      <c r="A56" s="3213"/>
      <c r="B56" s="296" t="s">
        <v>372</v>
      </c>
      <c r="C56" s="3045" t="s">
        <v>373</v>
      </c>
    </row>
    <row r="57" spans="1:4">
      <c r="A57" s="3213"/>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14" t="s">
        <v>378</v>
      </c>
      <c r="J2" s="3214"/>
      <c r="K2" s="3214"/>
      <c r="L2" s="3214"/>
      <c r="M2" s="3214"/>
      <c r="N2" s="3214"/>
      <c r="O2" s="3214"/>
      <c r="P2" s="3214"/>
      <c r="Q2" s="3214"/>
      <c r="R2" s="3214"/>
    </row>
    <row r="3" spans="1:18">
      <c r="A3" s="444" t="s">
        <v>379</v>
      </c>
      <c r="B3" s="3001">
        <f>项目基本情况!D3</f>
        <v>45973</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1.1000000000000001</v>
      </c>
      <c r="D5" s="3003">
        <f>IF(ISERROR(ROUND(POWER(1+E5,A5-C5)*(POWER(1+E5,C5)-1)/(POWER(1+E5,A5)-1),3)),0,ROUND(POWER(1+E5,A5-C5)*(POWER(1+E5,C5)-1)/(POWER(1+E5,A5)-1),4))</f>
        <v>5.33E-2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v>
      </c>
      <c r="D6" s="3003">
        <f>IF(ISERROR(ROUND(POWER(1+E6,A6-C6)*(POWER(1+E6,C6)-1)/(POWER(1+E6,A6)-1),3)),0,ROUND(POWER(1+E6,A6-C6)*(POWER(1+E6,C6)-1)/(POWER(1+E6,A6)-1),4))</f>
        <v>0.4108</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31.12</v>
      </c>
      <c r="D7" s="3003">
        <f>IF(ISERROR(ROUND(POWER(1+E7,A7-C7)*(POWER(1+E7,C7)-1)/(POWER(1+E7,A7)-1),3)),0,ROUND(POWER(1+E7,A7-C7)*(POWER(1+E7,C7)-1)/(POWER(1+E7,A7)-1),4))</f>
        <v>0.75329999999999997</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workbookViewId="0">
      <selection activeCell="G25" sqref="G25"/>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45973</v>
      </c>
      <c r="C3" s="2884" t="s">
        <v>477</v>
      </c>
      <c r="D3" s="2883">
        <f>B3</f>
        <v>45973</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34" t="s">
        <v>483</v>
      </c>
      <c r="E8" s="2899" t="s">
        <v>368</v>
      </c>
      <c r="F8" s="2900"/>
      <c r="G8" s="2655"/>
      <c r="H8" s="2655"/>
      <c r="I8" s="2655"/>
      <c r="J8" s="2517"/>
      <c r="K8" s="2973"/>
      <c r="L8" s="2971"/>
      <c r="M8" s="2971"/>
      <c r="N8" s="2517"/>
      <c r="O8" s="2341"/>
      <c r="P8" s="2517"/>
      <c r="Q8" s="2517"/>
      <c r="R8" s="2517"/>
    </row>
    <row r="9" spans="1:30">
      <c r="A9" s="2901" t="s">
        <v>484</v>
      </c>
      <c r="B9" s="2902" t="s">
        <v>368</v>
      </c>
      <c r="C9" s="2903"/>
      <c r="D9" s="3235"/>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2804</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c r="E13" s="2921">
        <v>59138</v>
      </c>
      <c r="F13" s="2921"/>
      <c r="G13" s="2921"/>
      <c r="H13" s="2921"/>
      <c r="I13" s="2921"/>
      <c r="J13" s="2976"/>
      <c r="K13" s="2971"/>
      <c r="L13" s="2971"/>
      <c r="M13" s="2517"/>
      <c r="N13" s="2341"/>
      <c r="O13" s="2517"/>
      <c r="P13" s="2517"/>
      <c r="Q13" s="2517"/>
      <c r="AD13" s="2556"/>
    </row>
    <row r="14" spans="1:30">
      <c r="A14" s="1875"/>
      <c r="B14" s="2920" t="s">
        <v>499</v>
      </c>
      <c r="C14" s="2922"/>
      <c r="D14" s="2922"/>
      <c r="E14" s="2922">
        <v>50</v>
      </c>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t="str">
        <f>IF(A13="出让",IF(D13="","",ROUNDDOWN(MIN((D13-$D$3)/365,D14),2)),D14)</f>
        <v/>
      </c>
      <c r="E15" s="2924">
        <f>IF(A13="出让",IF(E13="","",ROUNDDOWN(MIN((E13-$D$3)/365,E14),2)),E14)</f>
        <v>36.06</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22"/>
      <c r="C16" s="3223"/>
      <c r="D16" s="3224"/>
      <c r="E16" s="2925" t="s">
        <v>502</v>
      </c>
      <c r="F16" s="3225"/>
      <c r="G16" s="3226"/>
      <c r="H16" s="3226"/>
      <c r="I16" s="3227"/>
      <c r="J16" s="2517"/>
      <c r="K16" s="2979"/>
      <c r="L16" s="2341"/>
      <c r="M16" s="2341"/>
      <c r="N16" s="2517"/>
      <c r="O16" s="2341"/>
      <c r="P16" s="2517"/>
      <c r="Q16" s="2517"/>
      <c r="R16" s="2517"/>
    </row>
    <row r="17" spans="1:28">
      <c r="A17" s="1859" t="s">
        <v>503</v>
      </c>
      <c r="B17" s="1848" t="s">
        <v>504</v>
      </c>
      <c r="C17" s="953">
        <f>'数据-汇总表'!E3</f>
        <v>134.04</v>
      </c>
      <c r="D17" s="1901" t="s">
        <v>505</v>
      </c>
      <c r="E17" s="3228" t="s">
        <v>506</v>
      </c>
      <c r="F17" s="3229"/>
      <c r="G17" s="3229"/>
      <c r="H17" s="3229"/>
      <c r="I17" s="3230"/>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31" t="s">
        <v>509</v>
      </c>
      <c r="F18" s="3232"/>
      <c r="G18" s="3232"/>
      <c r="H18" s="3232"/>
      <c r="I18" s="3233"/>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38" t="s">
        <v>514</v>
      </c>
      <c r="C20" s="3239"/>
      <c r="D20" s="3240" t="s">
        <v>515</v>
      </c>
      <c r="E20" s="3241"/>
      <c r="F20" s="2934" t="s">
        <v>516</v>
      </c>
      <c r="G20" s="2655"/>
      <c r="H20" s="2655"/>
      <c r="I20" s="2655"/>
      <c r="J20" s="2517"/>
      <c r="K20" s="3236"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24">
      <c r="A21" s="2933"/>
      <c r="B21" s="2935" t="s">
        <v>518</v>
      </c>
      <c r="C21" s="2543" t="s">
        <v>519</v>
      </c>
      <c r="D21" s="2936" t="s">
        <v>520</v>
      </c>
      <c r="E21" s="2937" t="s">
        <v>519</v>
      </c>
      <c r="F21" s="2938"/>
      <c r="G21" s="2655"/>
      <c r="H21" s="2655"/>
      <c r="I21" s="2655"/>
      <c r="J21" s="2517"/>
      <c r="K21" s="3236"/>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24">
      <c r="A22" s="2933"/>
      <c r="B22" s="2939" t="s">
        <v>521</v>
      </c>
      <c r="C22" s="2543" t="s">
        <v>522</v>
      </c>
      <c r="D22" s="2655"/>
      <c r="E22" s="2655"/>
      <c r="F22" s="2655"/>
      <c r="G22" s="2655">
        <v>2007</v>
      </c>
      <c r="H22" s="2655"/>
      <c r="I22" s="2655"/>
      <c r="J22" s="2517"/>
      <c r="K22" s="3236"/>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18</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20</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15"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15"/>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15"/>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16"/>
      <c r="B30" s="1848" t="s">
        <v>535</v>
      </c>
      <c r="C30" s="3242"/>
      <c r="D30" s="3243"/>
      <c r="E30" s="2655"/>
      <c r="F30" s="2655"/>
      <c r="G30" s="2655"/>
      <c r="H30" s="2655"/>
      <c r="I30" s="2655"/>
      <c r="J30" s="2517"/>
      <c r="K30" s="2972"/>
      <c r="L30" s="2971"/>
      <c r="M30" s="2971"/>
      <c r="N30" s="2517"/>
      <c r="O30" s="2341"/>
      <c r="P30" s="2517"/>
      <c r="Q30" s="2517"/>
      <c r="R30" s="2517"/>
      <c r="S30" s="2517"/>
      <c r="T30" s="2517"/>
      <c r="U30" s="2517"/>
      <c r="V30" s="2517"/>
    </row>
    <row r="31" spans="1:28">
      <c r="A31" s="3217"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18"/>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18"/>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37" t="s">
        <v>546</v>
      </c>
      <c r="T34" s="1889" t="str">
        <f>NUMBERSTRING(7-K34,1)&amp;"通"</f>
        <v>七通</v>
      </c>
      <c r="U34" s="2517"/>
      <c r="V34" s="2517"/>
    </row>
    <row r="35" spans="1:30">
      <c r="A35" s="2959"/>
      <c r="B35" s="3237" t="s">
        <v>547</v>
      </c>
      <c r="C35" s="3237"/>
      <c r="D35" s="3237"/>
      <c r="E35" s="3237"/>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7"/>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275</v>
      </c>
      <c r="C37" s="2963" t="s">
        <v>251</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2288</v>
      </c>
      <c r="C38" s="2965" t="s">
        <v>2244</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5">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2.75">
      <c r="A3" s="2801"/>
      <c r="B3" s="2802">
        <f>IF(C3="否",G5-AT5,G5)</f>
        <v>134.04</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2.75">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2.75">
      <c r="A5" s="1998" t="s">
        <v>577</v>
      </c>
      <c r="B5" s="2227"/>
      <c r="C5" s="2227"/>
      <c r="D5" s="2350"/>
      <c r="E5" s="2806" t="s">
        <v>124</v>
      </c>
      <c r="F5" s="2806">
        <f>SUM(F13:F587)</f>
        <v>0</v>
      </c>
      <c r="G5" s="2806">
        <f>SUM(G13:G587)</f>
        <v>134.04</v>
      </c>
      <c r="H5" s="2806">
        <f t="shared" ref="H5:AT5" si="0">SUM(H13:H656)</f>
        <v>134.04</v>
      </c>
      <c r="I5" s="2806">
        <f t="shared" si="0"/>
        <v>134.04</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134.04</v>
      </c>
      <c r="BA5" s="2859">
        <f t="shared" si="1"/>
        <v>134.04</v>
      </c>
      <c r="BB5" s="2859">
        <f t="shared" si="1"/>
        <v>134.04</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2.75">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2.75">
      <c r="A10" s="2812"/>
      <c r="B10" s="2812"/>
      <c r="C10" s="2812"/>
      <c r="D10" s="2812"/>
      <c r="E10" s="2812"/>
      <c r="F10" s="2812"/>
      <c r="G10" s="1841"/>
      <c r="H10" s="2816"/>
      <c r="I10" s="2830" t="s">
        <v>230</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2.75">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办公</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2.75">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2.75">
      <c r="A13" s="908"/>
      <c r="B13" s="908"/>
      <c r="C13" s="908">
        <v>803</v>
      </c>
      <c r="D13" s="2820" t="s">
        <v>605</v>
      </c>
      <c r="E13" s="2806">
        <f>IF($C$3="是",ROUND($A$3*G13/$B$3,2),ROUND($A$3*(G13-AT13)/$B$3,2))</f>
        <v>0</v>
      </c>
      <c r="F13" s="2821"/>
      <c r="G13" s="2822">
        <f>H13+AC13+AT13</f>
        <v>134.04</v>
      </c>
      <c r="H13" s="2809">
        <f>SUMIF(I$12:AB$12,"总值",I13:AB13)</f>
        <v>134.04</v>
      </c>
      <c r="I13" s="2834">
        <v>134.04</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803</v>
      </c>
      <c r="AY13" s="2350">
        <f>ROUND($AY$6*AZ13/$AZ$5,2)</f>
        <v>0</v>
      </c>
      <c r="AZ13" s="2806">
        <f>BA13+BL13</f>
        <v>134.04</v>
      </c>
      <c r="BA13" s="2806">
        <f>SUM(BB13:BK13)</f>
        <v>134.04</v>
      </c>
      <c r="BB13" s="2806">
        <f>IF($D13="是",I13-J13,0)</f>
        <v>134.04</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1" sqref="D21"/>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606</v>
      </c>
      <c r="B1" s="2288"/>
      <c r="C1" s="2288"/>
      <c r="D1" s="2288"/>
      <c r="E1" s="2288"/>
      <c r="F1" s="2288"/>
      <c r="G1" s="2288"/>
      <c r="H1" s="2288"/>
      <c r="I1" s="2288"/>
      <c r="J1" s="2288"/>
      <c r="K1" s="2288"/>
      <c r="L1" s="2288"/>
      <c r="M1" s="2288"/>
      <c r="N1" s="2288"/>
      <c r="O1" s="2288"/>
      <c r="P1" s="2288"/>
    </row>
    <row r="2" spans="1:16" ht="15">
      <c r="A2" s="3253" t="s">
        <v>607</v>
      </c>
      <c r="B2" s="3253"/>
      <c r="C2" s="3253"/>
      <c r="D2" s="2142" t="s">
        <v>608</v>
      </c>
      <c r="E2" s="2734" t="s">
        <v>609</v>
      </c>
      <c r="F2" s="2592"/>
      <c r="G2" s="2735"/>
      <c r="H2" s="2736"/>
      <c r="I2" s="2430" t="s">
        <v>610</v>
      </c>
      <c r="J2" s="2592"/>
      <c r="K2" s="2592"/>
      <c r="L2" s="2592"/>
      <c r="M2" s="2592"/>
      <c r="N2" s="1175"/>
      <c r="O2" s="2592"/>
      <c r="P2" s="2592"/>
    </row>
    <row r="3" spans="1:16" ht="15">
      <c r="A3" s="3254" t="s">
        <v>611</v>
      </c>
      <c r="B3" s="3254"/>
      <c r="C3" s="3254"/>
      <c r="D3" s="2737">
        <f>'数据-基础表'!AY6</f>
        <v>0</v>
      </c>
      <c r="E3" s="2737">
        <f>'数据-基础表'!AZ5</f>
        <v>134.04</v>
      </c>
      <c r="F3" s="2592"/>
      <c r="G3" s="2738"/>
      <c r="H3" s="2241" t="s">
        <v>612</v>
      </c>
      <c r="I3" s="2096" t="e">
        <f>ROUND('数据-基础表'!B3/'数据-基础表'!A3,2)</f>
        <v>#DIV/0!</v>
      </c>
      <c r="J3" s="2592"/>
      <c r="K3" s="2592"/>
      <c r="L3" s="2592"/>
      <c r="M3" s="2592"/>
      <c r="N3" s="1175"/>
      <c r="O3" s="2592"/>
      <c r="P3" s="2592"/>
    </row>
    <row r="4" spans="1:16" ht="15">
      <c r="A4" s="3255"/>
      <c r="B4" s="3256"/>
      <c r="C4" s="3257"/>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c r="A5" s="2738" t="s">
        <v>615</v>
      </c>
      <c r="B5" s="3258" t="s">
        <v>616</v>
      </c>
      <c r="C5" s="3258"/>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c r="A6" s="2743"/>
      <c r="B6" s="3258" t="s">
        <v>617</v>
      </c>
      <c r="C6" s="3258"/>
      <c r="D6" s="2241">
        <f>ROUND($D$3*E6/$E$3,2)</f>
        <v>0</v>
      </c>
      <c r="E6" s="2742">
        <f>E3-E5</f>
        <v>134.04</v>
      </c>
      <c r="F6" s="2592"/>
      <c r="G6" s="2744" t="s">
        <v>618</v>
      </c>
      <c r="H6" s="2745" t="s">
        <v>614</v>
      </c>
      <c r="I6" s="2784" t="e">
        <f>ROUND(F31/D31,2)</f>
        <v>#DIV/0!</v>
      </c>
      <c r="J6" s="2592"/>
      <c r="K6" s="2592"/>
      <c r="L6" s="2592"/>
      <c r="M6" s="2592"/>
      <c r="N6" s="2592"/>
      <c r="O6" s="2592"/>
      <c r="P6" s="2592"/>
    </row>
    <row r="7" spans="1:16" ht="15">
      <c r="A7" s="3244"/>
      <c r="B7" s="3245"/>
      <c r="C7" s="3246"/>
      <c r="D7" s="2739" t="s">
        <v>608</v>
      </c>
      <c r="E7" s="2746" t="s">
        <v>619</v>
      </c>
      <c r="F7" s="2592"/>
      <c r="G7" s="2747" t="s">
        <v>620</v>
      </c>
      <c r="H7" s="2712"/>
      <c r="I7" s="2785">
        <v>3.5</v>
      </c>
      <c r="J7" s="2592"/>
      <c r="K7" s="2592"/>
      <c r="L7" s="2592"/>
      <c r="M7" s="2592"/>
      <c r="N7" s="2592"/>
      <c r="O7" s="2592"/>
      <c r="P7" s="2592"/>
    </row>
    <row r="8" spans="1:16">
      <c r="A8" s="2738" t="s">
        <v>621</v>
      </c>
      <c r="B8" s="2745" t="s">
        <v>622</v>
      </c>
      <c r="C8" s="2241" t="s">
        <v>623</v>
      </c>
      <c r="D8" s="2241">
        <f t="shared" ref="D8:D15" si="0">ROUND($D$3*E8/$E$3,2)</f>
        <v>0</v>
      </c>
      <c r="E8" s="2748">
        <f>SUMIF('数据-基础表'!BB10:BK10,"地上",'数据-基础表'!BB5:BK5)</f>
        <v>134.04</v>
      </c>
      <c r="F8" s="2592"/>
      <c r="G8" s="2592"/>
      <c r="H8" s="2592"/>
      <c r="I8" s="2592"/>
      <c r="J8" s="2592"/>
      <c r="K8" s="2592"/>
      <c r="L8" s="2592"/>
      <c r="M8" s="2592"/>
      <c r="N8" s="2592"/>
      <c r="O8" s="2592"/>
      <c r="P8" s="2592"/>
    </row>
    <row r="9" spans="1:16">
      <c r="A9" s="2744"/>
      <c r="B9" s="2749"/>
      <c r="C9" s="2241" t="s">
        <v>624</v>
      </c>
      <c r="D9" s="2241">
        <f t="shared" si="0"/>
        <v>0</v>
      </c>
      <c r="E9" s="2750">
        <v>0</v>
      </c>
      <c r="F9" s="2592"/>
      <c r="G9" s="2592"/>
      <c r="H9" s="2592"/>
      <c r="I9" s="2592"/>
      <c r="J9" s="2592"/>
      <c r="K9" s="2592"/>
      <c r="L9" s="2592"/>
      <c r="M9" s="2592"/>
      <c r="N9" s="2592"/>
      <c r="O9" s="2592"/>
      <c r="P9" s="2592"/>
    </row>
    <row r="10" spans="1:16">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631</v>
      </c>
      <c r="D16" s="2745">
        <f>SUM(D8:D15)</f>
        <v>0</v>
      </c>
      <c r="E16" s="2751">
        <f>SUM(E8:E15)</f>
        <v>134.04</v>
      </c>
      <c r="F16" s="2592"/>
      <c r="G16" s="2592"/>
      <c r="H16" s="2752" t="s">
        <v>632</v>
      </c>
      <c r="I16" s="2786"/>
      <c r="J16" s="2288"/>
      <c r="K16" s="3247" t="s">
        <v>632</v>
      </c>
      <c r="L16" s="3248"/>
      <c r="M16" s="3248"/>
      <c r="N16" s="3248"/>
      <c r="O16" s="3248"/>
      <c r="P16" s="3249"/>
    </row>
    <row r="17" spans="1:19" ht="15">
      <c r="A17" s="2703" t="s">
        <v>633</v>
      </c>
      <c r="B17" s="2753" t="s">
        <v>634</v>
      </c>
      <c r="C17" s="2262" t="s">
        <v>635</v>
      </c>
      <c r="D17" s="2754" t="s">
        <v>608</v>
      </c>
      <c r="E17" s="2755" t="s">
        <v>609</v>
      </c>
      <c r="F17" s="2756"/>
      <c r="G17" s="2757"/>
      <c r="H17" s="2758" t="s">
        <v>636</v>
      </c>
      <c r="I17" s="2787" t="s">
        <v>637</v>
      </c>
      <c r="J17" s="2288"/>
      <c r="K17" s="3250" t="s">
        <v>638</v>
      </c>
      <c r="L17" s="3251"/>
      <c r="M17" s="3252"/>
      <c r="N17" s="3250" t="s">
        <v>639</v>
      </c>
      <c r="O17" s="3251"/>
      <c r="P17" s="3252"/>
      <c r="R17" s="2177" t="s">
        <v>640</v>
      </c>
      <c r="S17" s="2231"/>
    </row>
    <row r="18" spans="1:19" ht="15">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c r="A19" s="2764"/>
      <c r="B19" s="2745" t="s">
        <v>648</v>
      </c>
      <c r="C19" s="2765" t="s">
        <v>2801</v>
      </c>
      <c r="D19" s="2241">
        <f>ROUND($D$3*E19/$E$3,2)</f>
        <v>0</v>
      </c>
      <c r="E19" s="2766">
        <f t="shared" ref="E19:E26" si="1">SUM(F19:G19)</f>
        <v>134.04</v>
      </c>
      <c r="F19" s="2767">
        <f>'数据-基础表'!I13</f>
        <v>134.04</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134.04</v>
      </c>
    </row>
    <row r="20" spans="1:19">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649</v>
      </c>
      <c r="D27" s="2772">
        <f>SUM(D19:D26)</f>
        <v>0</v>
      </c>
      <c r="E27" s="2773">
        <f>IF(SUM(E19:E26)='数据-基础表'!BA5,SUM(E19:E26),IF(F27="地上面积有误","面积有误","地下面积有误"))</f>
        <v>134.04</v>
      </c>
      <c r="F27" s="2772">
        <f>IF(SUM(F19:F26)=E8,SUM(F19:F26),"地上面积有误")</f>
        <v>134.04</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134.04</v>
      </c>
    </row>
    <row r="28" spans="1:19">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653</v>
      </c>
      <c r="D31" s="2779">
        <f>D27+D30</f>
        <v>0</v>
      </c>
      <c r="E31" s="2779">
        <f>E27+E30</f>
        <v>134.04</v>
      </c>
      <c r="F31" s="2780">
        <f>F27+F30</f>
        <v>134.04</v>
      </c>
      <c r="G31" s="2781">
        <f>G27+G30</f>
        <v>0</v>
      </c>
      <c r="H31" s="2592"/>
      <c r="I31" s="2592"/>
      <c r="J31" s="2592"/>
      <c r="K31" s="2592"/>
      <c r="L31" s="2592"/>
      <c r="M31" s="2592"/>
      <c r="N31" s="2592"/>
      <c r="O31" s="2592"/>
      <c r="P31" s="2592"/>
    </row>
    <row r="32" spans="1:19">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W32" sqref="W32"/>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7"/>
    <col min="41" max="41" width="11.625" style="897" customWidth="1"/>
    <col min="42" max="42" width="9.75" style="897" customWidth="1"/>
    <col min="43" max="67" width="13.75" style="897"/>
    <col min="68" max="16384" width="13.75" style="2217"/>
  </cols>
  <sheetData>
    <row r="1" spans="1:67" ht="18.75">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5">
      <c r="A2" s="2561" t="s">
        <v>656</v>
      </c>
      <c r="B2" s="2562">
        <f>项目基本情况!D3</f>
        <v>45973</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4.25">
      <c r="A6" s="2572" t="str">
        <f>'数据-汇总表'!C19</f>
        <v>办公</v>
      </c>
      <c r="B6" s="2573" t="str">
        <f>IF(A6=0,"","经营性")</f>
        <v>经营性</v>
      </c>
      <c r="C6" s="2574" t="s">
        <v>230</v>
      </c>
      <c r="D6" s="2575">
        <f>SUMIF(项目基本情况!C$12:I$12,C6,项目基本情况!C$14:I$14)</f>
        <v>50</v>
      </c>
      <c r="E6" s="2576">
        <f>IF(B6="","",SUMIF(项目基本情况!C$12:I$12,C6,项目基本情况!C$13:I$13))</f>
        <v>59138</v>
      </c>
      <c r="F6" s="2577">
        <f>SUMIF(项目基本情况!C$12:I$12,C6,项目基本情况!C$15:I$15)</f>
        <v>36.06</v>
      </c>
      <c r="G6" s="2578">
        <f>IF(ISERROR(ROUND(POWER(1+H6,D6-F6)*(POWER(1+H6,F6)-1)/(POWER(1+H6,D6)-1),3)),0,ROUND(POWER(1+H6,D6-F6)*(POWER(1+H6,F6)-1)/(POWER(1+H6,D6)-1),3))</f>
        <v>0.90700000000000003</v>
      </c>
      <c r="H6" s="2579">
        <v>0.05</v>
      </c>
      <c r="I6" s="2579">
        <v>5.5E-2</v>
      </c>
      <c r="J6" s="2580">
        <v>7.0000000000000007E-2</v>
      </c>
      <c r="K6" s="2663">
        <f>SUMIF('数据-汇总表'!C$19:C$33,A6,'数据-汇总表'!E$19:E$33)</f>
        <v>134.04</v>
      </c>
      <c r="L6" s="2664">
        <v>4500</v>
      </c>
      <c r="M6" s="2665">
        <f t="shared" ref="M6:M14" si="0">ROUND(K6*L6/10000,0)</f>
        <v>60</v>
      </c>
      <c r="N6" s="2666">
        <f>N20</f>
        <v>0.85</v>
      </c>
      <c r="O6" s="2665" t="str">
        <f>IF($N$5="成新度","——",ROUND(M6*N6,0))</f>
        <v>——</v>
      </c>
      <c r="P6" s="2667" t="str">
        <f>IF($N$5="成新度","——",M6-O6)</f>
        <v>——</v>
      </c>
      <c r="Q6" s="2682">
        <v>0.15</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2</v>
      </c>
      <c r="V6" s="2687">
        <v>0.02</v>
      </c>
      <c r="W6" s="2687">
        <v>0.15</v>
      </c>
      <c r="X6" s="2688"/>
      <c r="Y6" s="2704">
        <f>N6</f>
        <v>0.85</v>
      </c>
      <c r="Z6" s="2705"/>
      <c r="AA6" s="2580"/>
      <c r="AB6" s="2580"/>
      <c r="AC6" s="2688"/>
      <c r="AD6" s="2706"/>
      <c r="AE6" s="2707">
        <f ca="1">IF(AN6="",0,SUMIF(INDIRECT("'"&amp;AN6&amp;"'"&amp;"!E:E"),$AE$5,INDIRECT("'"&amp;AN6&amp;"'"&amp;"!F:F")))</f>
        <v>36.06</v>
      </c>
      <c r="AF6" s="2228"/>
      <c r="AG6" s="1595">
        <f>IF(AF6="",0,AE6-AF6)</f>
        <v>0</v>
      </c>
      <c r="AH6" s="2715"/>
      <c r="AI6" s="2716">
        <v>365</v>
      </c>
      <c r="AJ6" s="2228"/>
      <c r="AK6" s="2717">
        <v>0.01</v>
      </c>
      <c r="AL6" s="2718">
        <v>1E-3</v>
      </c>
      <c r="AM6" s="2719">
        <v>0.01</v>
      </c>
      <c r="AN6" s="2720" t="s">
        <v>285</v>
      </c>
      <c r="AO6" s="1227">
        <f ca="1">SUMIF(INDIRECT("'"&amp;AN6&amp;"'"&amp;"!A:A"),"总价",INDIRECT("'"&amp;AN6&amp;"'"&amp;"!B:B"))</f>
        <v>137.90520000000001</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653</v>
      </c>
      <c r="B16" s="2585"/>
      <c r="C16" s="2182"/>
      <c r="D16" s="2586"/>
      <c r="E16" s="2585"/>
      <c r="F16" s="2585"/>
      <c r="G16" s="2587">
        <f>ROUND(SUMPRODUCT(G6:G13,K6:K13)/SUMPRODUCT((G6:G13&gt;0)*(K6:K13)),3)</f>
        <v>0.90700000000000003</v>
      </c>
      <c r="H16" s="2588">
        <f>ROUND(SUMPRODUCT(H6:H13,K6:K13)/SUMPRODUCT((H6:H13&gt;0)*(K6:K13)),3)</f>
        <v>0.05</v>
      </c>
      <c r="I16" s="2672"/>
      <c r="J16" s="2672"/>
      <c r="K16" s="2673">
        <f>SUM(K6:K15)</f>
        <v>134.04</v>
      </c>
      <c r="L16" s="2674">
        <f>ROUND(M16*10000/SUM(K6:K14),0)</f>
        <v>4476</v>
      </c>
      <c r="M16" s="2674">
        <f>SUM(M6:M14)</f>
        <v>60</v>
      </c>
      <c r="N16" s="2675">
        <f>ROUND(SUMPRODUCT(M6:M14,N6:N14)/M16,3)</f>
        <v>0.85</v>
      </c>
      <c r="O16" s="2674">
        <f>SUM(O6:O14)</f>
        <v>0</v>
      </c>
      <c r="P16" s="2674">
        <f>SUM(P6:P14)</f>
        <v>0</v>
      </c>
      <c r="Q16" s="2697">
        <f>ROUND(SUMPRODUCT(Q6:Q13,K6:K13)/SUMPRODUCT((Q6:Q13&gt;0)*(K6:K13)),2)</f>
        <v>0.15</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2016</v>
      </c>
      <c r="O17" s="2125"/>
      <c r="P17" s="2125"/>
      <c r="Q17" s="2125"/>
      <c r="R17" s="2125"/>
      <c r="S17" s="2125"/>
      <c r="T17" s="2125"/>
      <c r="U17" s="2125">
        <v>444570</v>
      </c>
      <c r="V17" s="3168">
        <f>U17/365/T18</f>
        <v>9.0868397493285595</v>
      </c>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1" t="s">
        <v>699</v>
      </c>
      <c r="B18" s="2591"/>
      <c r="C18" s="2592"/>
      <c r="D18" s="2593"/>
      <c r="E18" s="2592"/>
      <c r="F18" s="2592"/>
      <c r="G18" s="2592"/>
      <c r="H18" s="2592"/>
      <c r="I18" s="2592"/>
      <c r="J18" s="2592"/>
      <c r="K18" s="2676"/>
      <c r="L18" s="2676"/>
      <c r="M18" s="2125"/>
      <c r="N18" s="2125">
        <f>ROUND(1-(2025-N17)/60,2)</f>
        <v>0.85</v>
      </c>
      <c r="O18" s="2125">
        <v>0.5</v>
      </c>
      <c r="P18" s="2125"/>
      <c r="Q18" s="2125"/>
      <c r="R18" s="2125"/>
      <c r="S18" s="2125"/>
      <c r="T18" s="2125">
        <f>'数据-汇总表'!F19</f>
        <v>134.04</v>
      </c>
      <c r="U18" s="2125">
        <v>423400</v>
      </c>
      <c r="V18" s="3168">
        <f>U18/365/K16</f>
        <v>8.6541330945986275</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700</v>
      </c>
      <c r="B19" s="2595">
        <v>0</v>
      </c>
      <c r="C19" s="2596" t="s">
        <v>701</v>
      </c>
      <c r="D19" s="2593"/>
      <c r="E19" s="2592"/>
      <c r="F19" s="2592"/>
      <c r="G19" s="2592"/>
      <c r="H19" s="2592"/>
      <c r="I19" s="2592"/>
      <c r="J19" s="2592"/>
      <c r="K19" s="2676"/>
      <c r="L19" s="2676"/>
      <c r="M19" s="2125"/>
      <c r="N19" s="2125">
        <v>0.85</v>
      </c>
      <c r="O19" s="2125">
        <f>1-O18</f>
        <v>0.5</v>
      </c>
      <c r="P19" s="2125"/>
      <c r="Q19" s="2125"/>
      <c r="R19" s="2125"/>
      <c r="S19" s="2125"/>
      <c r="T19" s="3168">
        <f>ROUND(6.15*3.3,2)</f>
        <v>20.3</v>
      </c>
      <c r="U19" s="2125">
        <v>1</v>
      </c>
      <c r="V19" s="2125">
        <v>2.8</v>
      </c>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702</v>
      </c>
      <c r="B20" s="2598">
        <v>2</v>
      </c>
      <c r="C20" s="2599" t="s">
        <v>703</v>
      </c>
      <c r="D20" s="2593"/>
      <c r="E20" s="2592"/>
      <c r="F20" s="2592"/>
      <c r="G20" s="2592"/>
      <c r="H20" s="2592"/>
      <c r="I20" s="2592"/>
      <c r="J20" s="2592"/>
      <c r="K20" s="2676"/>
      <c r="L20" s="2676"/>
      <c r="M20" s="2125"/>
      <c r="N20" s="2125">
        <f>ROUND(N18*O18+N19*O19,2)</f>
        <v>0.85</v>
      </c>
      <c r="O20" s="2125"/>
      <c r="P20" s="2125"/>
      <c r="Q20" s="2125"/>
      <c r="R20" s="2125"/>
      <c r="S20" s="2125"/>
      <c r="T20" s="3168">
        <f>T18-T19</f>
        <v>113.74</v>
      </c>
      <c r="U20" s="2125">
        <v>0.7</v>
      </c>
      <c r="V20" s="2125">
        <f>V19*U20</f>
        <v>1.9599999999999997</v>
      </c>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f>ROUND((V19*T19+V20*T20)/T18,2)</f>
        <v>2.09</v>
      </c>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714</v>
      </c>
      <c r="B29" s="2614">
        <f>ROUND('数据-取费表'!B28*'数据-取费表'!K16,0)</f>
        <v>26808</v>
      </c>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719</v>
      </c>
      <c r="B33" s="2622">
        <v>0.05</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734</v>
      </c>
      <c r="B41" s="2633">
        <f>B42+B43</f>
        <v>5.6000000000000001E-2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736</v>
      </c>
      <c r="B43" s="2637">
        <f>B42*(B44+B45+B46)+B47</f>
        <v>6.000000000000001E-3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737</v>
      </c>
      <c r="B44" s="2639">
        <v>7.0000000000000007E-2</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754</v>
      </c>
      <c r="B54" s="2652">
        <f>C54</f>
        <v>30</v>
      </c>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755</v>
      </c>
      <c r="B55" s="2652">
        <f t="shared" ref="B55:B59" si="12">C55</f>
        <v>24</v>
      </c>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756</v>
      </c>
      <c r="B56" s="2652">
        <f t="shared" si="12"/>
        <v>18</v>
      </c>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757</v>
      </c>
      <c r="B57" s="2652">
        <f t="shared" si="12"/>
        <v>12</v>
      </c>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758</v>
      </c>
      <c r="B58" s="2652">
        <f t="shared" si="12"/>
        <v>3</v>
      </c>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759</v>
      </c>
      <c r="B59" s="2652">
        <f t="shared" si="12"/>
        <v>1.5</v>
      </c>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5" customWidth="1"/>
    <col min="4" max="4" width="2.625" style="1515" customWidth="1"/>
    <col min="5" max="5" width="5.875" style="1515" customWidth="1"/>
    <col min="6" max="7" width="27" style="1515"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59" t="s">
        <v>764</v>
      </c>
      <c r="B1" s="3260"/>
      <c r="C1" s="3260"/>
      <c r="D1" s="3260"/>
      <c r="E1" s="3260"/>
      <c r="F1" s="3260"/>
      <c r="G1" s="3260"/>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25.5">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c r="A6" s="2511"/>
      <c r="B6" s="1889" t="s">
        <v>772</v>
      </c>
      <c r="C6" s="2516"/>
      <c r="D6" s="2510"/>
      <c r="E6" s="2515"/>
      <c r="F6" s="1889" t="s">
        <v>776</v>
      </c>
      <c r="G6" s="2516" t="s">
        <v>777</v>
      </c>
      <c r="H6" s="2114"/>
      <c r="I6" s="2114"/>
      <c r="J6" s="2114"/>
      <c r="K6" s="2114"/>
      <c r="L6" s="2114"/>
      <c r="M6" s="2114"/>
      <c r="N6" s="2114"/>
      <c r="O6" s="2114"/>
      <c r="P6" s="2114"/>
      <c r="Q6" s="2114"/>
    </row>
    <row r="7" spans="1:29" ht="24">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765</v>
      </c>
      <c r="D14" s="2510"/>
      <c r="E14" s="2530"/>
      <c r="F14" s="2530"/>
      <c r="G14" s="2504" t="s">
        <v>766</v>
      </c>
    </row>
    <row r="15" spans="1:29" ht="25.5">
      <c r="A15" s="2531" t="s">
        <v>767</v>
      </c>
      <c r="B15" s="2532" t="s">
        <v>768</v>
      </c>
      <c r="C15" s="2533">
        <f>C3</f>
        <v>0</v>
      </c>
      <c r="D15" s="2510"/>
      <c r="E15" s="2534" t="s">
        <v>767</v>
      </c>
      <c r="F15" s="2532" t="s">
        <v>769</v>
      </c>
      <c r="G15" s="2535" t="str">
        <f>G3</f>
        <v>估价对象位于XX开发区，园区建设成熟度XX，产业集聚程度XX</v>
      </c>
    </row>
    <row r="16" spans="1:29" ht="38.25">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25.5">
      <c r="A18" s="2536"/>
      <c r="B18" s="2540" t="s">
        <v>772</v>
      </c>
      <c r="C18" s="2541">
        <f>C6</f>
        <v>0</v>
      </c>
      <c r="D18" s="2517"/>
      <c r="E18" s="2539"/>
      <c r="F18" s="2540" t="s">
        <v>778</v>
      </c>
      <c r="G18" s="2541" t="str">
        <f>G7</f>
        <v>该园区内是否有污染型企业，绿化情况，卫生条件，整体环境状况判断</v>
      </c>
    </row>
    <row r="19" spans="1:17" ht="25.5">
      <c r="A19" s="2536"/>
      <c r="B19" s="2540" t="s">
        <v>783</v>
      </c>
      <c r="C19" s="2542"/>
      <c r="D19" s="2510"/>
      <c r="E19" s="2539"/>
      <c r="F19" s="1889" t="s">
        <v>597</v>
      </c>
      <c r="G19" s="2541" t="str">
        <f>G5</f>
        <v>估价对象所在区域公共配套设施齐备情况</v>
      </c>
    </row>
    <row r="20" spans="1:17">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134.04</v>
      </c>
      <c r="C1" s="2486"/>
      <c r="D1" s="2486"/>
      <c r="E1" s="2486"/>
      <c r="F1" s="2486"/>
      <c r="G1" s="2487"/>
      <c r="H1" s="2487"/>
      <c r="I1" s="2487"/>
      <c r="J1" s="2487"/>
      <c r="K1" s="2487"/>
    </row>
    <row r="2" spans="1:11" ht="16.5">
      <c r="A2" s="2485" t="s">
        <v>787</v>
      </c>
      <c r="B2" s="2485">
        <f>SUM(C14:C23)</f>
        <v>0</v>
      </c>
      <c r="C2" s="2486"/>
      <c r="D2" s="2486"/>
      <c r="E2" s="2486"/>
      <c r="F2" s="2486"/>
      <c r="G2" s="2487"/>
      <c r="H2" s="2487"/>
      <c r="I2" s="2487"/>
      <c r="J2" s="2487"/>
      <c r="K2" s="2487"/>
    </row>
    <row r="3" spans="1:11" ht="16.5">
      <c r="A3" s="2485" t="s">
        <v>788</v>
      </c>
      <c r="B3" s="2488">
        <f>项目基本情况!D3</f>
        <v>45973</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233</v>
      </c>
      <c r="C5" s="2485">
        <f ca="1">IF(B5=D14,结果表!H102,ROUND(B5*10000/$B$1,0))</f>
        <v>17397</v>
      </c>
      <c r="D5" s="2485" t="e">
        <f ca="1">ROUND(B5*10000/$B$2,0)</f>
        <v>#DIV/0!</v>
      </c>
      <c r="E5" s="2486"/>
      <c r="F5" s="2487"/>
      <c r="G5" s="2487"/>
      <c r="H5" s="2487"/>
      <c r="I5" s="2487"/>
      <c r="J5" s="2487"/>
      <c r="K5" s="2487"/>
    </row>
    <row r="6" spans="1:11" ht="16.5">
      <c r="A6" s="2485" t="s">
        <v>794</v>
      </c>
      <c r="B6" s="2485">
        <f ca="1">SUM(G14:G23)</f>
        <v>233</v>
      </c>
      <c r="C6" s="2485">
        <f ca="1">IF(B6=G14,结果表!H108,ROUND(B6*10000/$B$1,0))</f>
        <v>17397</v>
      </c>
      <c r="D6" s="2485" t="e">
        <f ca="1">ROUND(B6*10000/$B$2,0)</f>
        <v>#DIV/0!</v>
      </c>
      <c r="E6" s="2486"/>
      <c r="F6" s="2487"/>
      <c r="G6" s="2487"/>
      <c r="H6" s="2487"/>
      <c r="I6" s="2487"/>
      <c r="J6" s="2487"/>
      <c r="K6" s="2487"/>
    </row>
    <row r="7" spans="1:11" ht="16.5">
      <c r="A7" s="2485" t="s">
        <v>795</v>
      </c>
      <c r="B7" s="2485">
        <f>SUM(H14:H23)</f>
        <v>0</v>
      </c>
      <c r="C7" s="2485" t="str">
        <f>IF(B7=H14,结果表!H110,ROUND(B7*10000/$B$1,0))</f>
        <v>——</v>
      </c>
      <c r="D7" s="2485" t="e">
        <f>ROUND(B7*10000/$B$2,0)</f>
        <v>#DIV/0!</v>
      </c>
      <c r="E7" s="2486"/>
      <c r="F7" s="2487"/>
      <c r="G7" s="2487"/>
      <c r="H7" s="2487"/>
      <c r="I7" s="2487"/>
      <c r="J7" s="2487"/>
      <c r="K7" s="2487"/>
    </row>
    <row r="8" spans="1:11" ht="16.5">
      <c r="A8" s="2485" t="s">
        <v>374</v>
      </c>
      <c r="B8" s="2485">
        <f>SUM(I14:I23)</f>
        <v>0</v>
      </c>
      <c r="C8" s="2485" t="str">
        <f>IF(B8=I14,结果表!H112,ROUND(B8*10000/$B$1,0))</f>
        <v>——</v>
      </c>
      <c r="D8" s="2485" t="e">
        <f>ROUND(B8*10000/$B$2,0)</f>
        <v>#DIV/0!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'数据-汇总表'!F19</f>
        <v>134.04</v>
      </c>
      <c r="C14" s="2496"/>
      <c r="D14" s="2496">
        <f ca="1">结果表!G19</f>
        <v>233</v>
      </c>
      <c r="E14" s="2496">
        <f ca="1">ROUND(D14*10000/B14,0)</f>
        <v>17383</v>
      </c>
      <c r="F14" s="2496" t="e">
        <f ca="1">ROUND(D14*10000/C14,0)</f>
        <v>#DIV/0!</v>
      </c>
      <c r="G14" s="2496">
        <f ca="1">D14</f>
        <v>233</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F28" sqref="F28"/>
    </sheetView>
  </sheetViews>
  <sheetFormatPr defaultColWidth="12.625" defaultRowHeight="21.75" customHeight="1"/>
  <cols>
    <col min="1" max="2" width="12.625" style="2217"/>
    <col min="3" max="4" width="12.625" style="2217" customWidth="1"/>
    <col min="5" max="9" width="12.625" style="2217"/>
    <col min="10" max="11" width="12.625" style="898" customWidth="1"/>
    <col min="12" max="12" width="12.625" style="898"/>
    <col min="13" max="13" width="14.125" style="898" customWidth="1"/>
    <col min="14" max="26" width="12.625" style="898"/>
    <col min="27" max="35" width="12.625" style="2218"/>
    <col min="36" max="16384" width="12.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261" t="str">
        <f>项目基本情况!S2</f>
        <v>北京市房地产</v>
      </c>
      <c r="B2" s="3262"/>
      <c r="C2" s="3262"/>
      <c r="D2" s="3262"/>
      <c r="E2" s="3262"/>
      <c r="F2" s="3262"/>
      <c r="G2" s="3262"/>
      <c r="H2" s="3262"/>
      <c r="I2" s="3263"/>
    </row>
    <row r="3" spans="1:12" ht="12.75">
      <c r="A3" s="3264" t="s">
        <v>818</v>
      </c>
      <c r="B3" s="3265"/>
      <c r="C3" s="3265"/>
      <c r="D3" s="3265"/>
      <c r="E3" s="3265"/>
      <c r="F3" s="3265"/>
      <c r="G3" s="3265"/>
      <c r="H3" s="3265"/>
      <c r="I3" s="3265"/>
    </row>
    <row r="4" spans="1:12" ht="14.25">
      <c r="A4" s="2223" t="s">
        <v>819</v>
      </c>
      <c r="B4" s="2224" t="s">
        <v>820</v>
      </c>
      <c r="C4" s="2225" t="s">
        <v>2802</v>
      </c>
      <c r="D4" s="2225" t="s">
        <v>285</v>
      </c>
      <c r="E4" s="3266" t="s">
        <v>821</v>
      </c>
      <c r="F4" s="3267"/>
      <c r="G4" s="3267"/>
      <c r="H4" s="3267"/>
      <c r="I4" s="3268"/>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11" t="s">
        <v>822</v>
      </c>
      <c r="B5" s="3349">
        <v>25</v>
      </c>
      <c r="C5" s="3281"/>
      <c r="D5" s="3280"/>
      <c r="E5" s="1888" t="s">
        <v>823</v>
      </c>
      <c r="F5" s="2229"/>
      <c r="G5" s="2229"/>
      <c r="H5" s="2229"/>
      <c r="I5" s="2109"/>
    </row>
    <row r="6" spans="1:12" ht="12.75">
      <c r="A6" s="3311"/>
      <c r="B6" s="3349"/>
      <c r="C6" s="3282"/>
      <c r="D6" s="3280"/>
      <c r="E6" s="1888" t="s">
        <v>824</v>
      </c>
      <c r="F6" s="2229"/>
      <c r="G6" s="2229"/>
      <c r="H6" s="2229"/>
      <c r="I6" s="2109"/>
    </row>
    <row r="7" spans="1:12" ht="12.75">
      <c r="A7" s="3311"/>
      <c r="B7" s="3349"/>
      <c r="C7" s="3283"/>
      <c r="D7" s="3280"/>
      <c r="E7" s="1888" t="s">
        <v>825</v>
      </c>
      <c r="F7" s="2229"/>
      <c r="G7" s="2229"/>
      <c r="H7" s="2229"/>
      <c r="I7" s="2109"/>
    </row>
    <row r="8" spans="1:12" ht="12.75">
      <c r="A8" s="3311" t="s">
        <v>826</v>
      </c>
      <c r="B8" s="3349">
        <v>15</v>
      </c>
      <c r="C8" s="3281"/>
      <c r="D8" s="3280"/>
      <c r="E8" s="1888" t="s">
        <v>827</v>
      </c>
      <c r="F8" s="2229"/>
      <c r="G8" s="2229"/>
      <c r="H8" s="2229"/>
      <c r="I8" s="2109"/>
    </row>
    <row r="9" spans="1:12" ht="12.75">
      <c r="A9" s="3311"/>
      <c r="B9" s="3349"/>
      <c r="C9" s="3283"/>
      <c r="D9" s="3280"/>
      <c r="E9" s="1888" t="s">
        <v>828</v>
      </c>
      <c r="F9" s="2229"/>
      <c r="G9" s="2229"/>
      <c r="H9" s="2229"/>
      <c r="I9" s="2109"/>
    </row>
    <row r="10" spans="1:12" ht="12.75">
      <c r="A10" s="3311" t="s">
        <v>829</v>
      </c>
      <c r="B10" s="3349">
        <v>15</v>
      </c>
      <c r="C10" s="3281"/>
      <c r="D10" s="3280"/>
      <c r="E10" s="1888" t="s">
        <v>830</v>
      </c>
      <c r="F10" s="2229"/>
      <c r="G10" s="2229"/>
      <c r="H10" s="2229"/>
      <c r="I10" s="2109"/>
    </row>
    <row r="11" spans="1:12" ht="12.75">
      <c r="A11" s="3311"/>
      <c r="B11" s="3349"/>
      <c r="C11" s="3283"/>
      <c r="D11" s="3280"/>
      <c r="E11" s="1888" t="s">
        <v>831</v>
      </c>
      <c r="F11" s="2229"/>
      <c r="G11" s="2229"/>
      <c r="H11" s="2229"/>
      <c r="I11" s="2109"/>
    </row>
    <row r="12" spans="1:12" ht="12.75">
      <c r="A12" s="3311" t="s">
        <v>832</v>
      </c>
      <c r="B12" s="3349">
        <v>15</v>
      </c>
      <c r="C12" s="3281"/>
      <c r="D12" s="3280"/>
      <c r="E12" s="1888" t="s">
        <v>833</v>
      </c>
      <c r="F12" s="2229"/>
      <c r="G12" s="2229"/>
      <c r="H12" s="2229"/>
      <c r="I12" s="2109"/>
    </row>
    <row r="13" spans="1:12" ht="12.75">
      <c r="A13" s="3311"/>
      <c r="B13" s="3349"/>
      <c r="C13" s="3283"/>
      <c r="D13" s="3280"/>
      <c r="E13" s="1888" t="s">
        <v>834</v>
      </c>
      <c r="F13" s="2229"/>
      <c r="G13" s="2229"/>
      <c r="H13" s="2229"/>
      <c r="I13" s="2109"/>
    </row>
    <row r="14" spans="1:12" ht="12.75">
      <c r="A14" s="3311" t="s">
        <v>835</v>
      </c>
      <c r="B14" s="3349">
        <v>30</v>
      </c>
      <c r="C14" s="3281">
        <v>7</v>
      </c>
      <c r="D14" s="3280">
        <v>3</v>
      </c>
      <c r="E14" s="1888" t="s">
        <v>836</v>
      </c>
      <c r="F14" s="2229"/>
      <c r="G14" s="2229"/>
      <c r="H14" s="2229"/>
      <c r="I14" s="2109"/>
    </row>
    <row r="15" spans="1:12" ht="12.75">
      <c r="A15" s="3311"/>
      <c r="B15" s="3349"/>
      <c r="C15" s="3282"/>
      <c r="D15" s="3280"/>
      <c r="E15" s="1888" t="s">
        <v>837</v>
      </c>
      <c r="F15" s="2229"/>
      <c r="G15" s="2229"/>
      <c r="H15" s="2229"/>
      <c r="I15" s="2109"/>
    </row>
    <row r="16" spans="1:12" ht="12.75">
      <c r="A16" s="3311"/>
      <c r="B16" s="3349"/>
      <c r="C16" s="3283"/>
      <c r="D16" s="3280"/>
      <c r="E16" s="1888" t="s">
        <v>838</v>
      </c>
      <c r="F16" s="2229"/>
      <c r="G16" s="2229"/>
      <c r="H16" s="2229"/>
      <c r="I16" s="2109"/>
    </row>
    <row r="17" spans="1:36" ht="15">
      <c r="A17" s="2230" t="s">
        <v>839</v>
      </c>
      <c r="B17" s="2231"/>
      <c r="C17" s="2232">
        <f>SUM(C5:C16)</f>
        <v>7</v>
      </c>
      <c r="D17" s="2232">
        <f>SUM(D5:D16)</f>
        <v>3</v>
      </c>
      <c r="E17" s="939"/>
      <c r="F17" s="939"/>
      <c r="G17" s="939"/>
      <c r="H17" s="939"/>
      <c r="I17" s="939"/>
      <c r="K17" s="1848"/>
      <c r="L17" s="1848" t="s">
        <v>840</v>
      </c>
      <c r="M17" s="1848" t="s">
        <v>841</v>
      </c>
    </row>
    <row r="18" spans="1:36" ht="31.9" customHeight="1">
      <c r="A18" s="2233" t="s">
        <v>842</v>
      </c>
      <c r="B18" s="2234"/>
      <c r="C18" s="2235">
        <f>ROUND(C17/SUM(C17:D17),2)</f>
        <v>0.7</v>
      </c>
      <c r="D18" s="2235">
        <f>1-C18</f>
        <v>0.30000000000000004</v>
      </c>
      <c r="E18" s="3269" t="s">
        <v>843</v>
      </c>
      <c r="F18" s="3270"/>
      <c r="G18" s="3270"/>
      <c r="H18" s="3270"/>
      <c r="I18" s="3270"/>
      <c r="K18" s="1848" t="s">
        <v>504</v>
      </c>
      <c r="L18" s="1848">
        <f>IF(C1="",'数据-汇总表'!E3,SUMIF(项目类型,C1,'数据-汇总表'!E17:E26)+SUMIF(项目类型,C1,'数据-汇总表'!I17:I26))</f>
        <v>134.04</v>
      </c>
      <c r="M18" s="1848">
        <f>IF(C1="",'数据-汇总表'!E3,SUMIF(项目类型,C1,'数据-汇总表'!E17:E26))</f>
        <v>134.04</v>
      </c>
    </row>
    <row r="19" spans="1:36" ht="15">
      <c r="A19" s="1230" t="s">
        <v>844</v>
      </c>
      <c r="B19" s="2236" t="s">
        <v>845</v>
      </c>
      <c r="C19" s="2237">
        <f ca="1">SUMIF(INDIRECT("'"&amp;C4&amp;"'"&amp;"!A:A"),结果表!B19,INDIRECT("'"&amp;C4&amp;"'"&amp;"!B:B"))</f>
        <v>274.03140000000002</v>
      </c>
      <c r="D19" s="1348">
        <f ca="1">SUMIF(INDIRECT("'"&amp;D4&amp;"'"&amp;"!A:A"),结果表!B19,INDIRECT("'"&amp;D4&amp;"'"&amp;"!B:B"))</f>
        <v>137.90520000000001</v>
      </c>
      <c r="E19" s="1230" t="s">
        <v>846</v>
      </c>
      <c r="F19" s="2236" t="s">
        <v>845</v>
      </c>
      <c r="G19" s="2238">
        <f ca="1">ROUND(C19*$C$18+D19*$D$18,0)</f>
        <v>233</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5">
      <c r="A20" s="2240"/>
      <c r="B20" s="2241" t="s">
        <v>848</v>
      </c>
      <c r="C20" s="1592">
        <f ca="1">SUMIF(INDIRECT("'"&amp;C4&amp;"'"&amp;"!A:A"),结果表!B20,INDIRECT("'"&amp;C4&amp;"'"&amp;"!B:B"))</f>
        <v>20444</v>
      </c>
      <c r="D20" s="1595">
        <f ca="1">SUMIF(INDIRECT("'"&amp;D4&amp;"'"&amp;"!A:A"),结果表!B20,INDIRECT("'"&amp;D4&amp;"'"&amp;"!B:B"))</f>
        <v>10288</v>
      </c>
      <c r="E20" s="2240"/>
      <c r="F20" s="2241" t="s">
        <v>848</v>
      </c>
      <c r="G20" s="2242">
        <f ca="1">ROUND(C20*$C$18+D20*$D$18,0)</f>
        <v>17397</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25">
      <c r="A22" s="2248" t="s">
        <v>851</v>
      </c>
      <c r="B22" s="2249"/>
      <c r="C22" s="2250"/>
      <c r="D22" s="2251">
        <f ca="1">IF(C19&lt;D19,D19/C19-1,C19/D19-1)</f>
        <v>0.98709983379887056</v>
      </c>
      <c r="E22" s="939"/>
      <c r="F22" s="939"/>
      <c r="G22" s="939"/>
      <c r="H22" s="939"/>
      <c r="I22" s="939"/>
    </row>
    <row r="23" spans="1:36" ht="12.75">
      <c r="A23" s="1991"/>
      <c r="B23" s="1991"/>
      <c r="C23" s="1991"/>
      <c r="D23" s="1991"/>
      <c r="E23" s="939"/>
      <c r="F23" s="939"/>
      <c r="G23" s="939"/>
      <c r="H23" s="939"/>
      <c r="I23" s="939"/>
    </row>
    <row r="24" spans="1:36" ht="14.25">
      <c r="A24" s="3342" t="s">
        <v>852</v>
      </c>
      <c r="B24" s="2236" t="s">
        <v>845</v>
      </c>
      <c r="C24" s="2238">
        <f>IF(B30=0,0,D30)</f>
        <v>0</v>
      </c>
      <c r="D24" s="2252"/>
      <c r="E24" s="939"/>
      <c r="F24" s="939"/>
      <c r="G24" s="939"/>
      <c r="H24" s="939"/>
      <c r="I24" s="939"/>
    </row>
    <row r="25" spans="1:36" ht="14.25">
      <c r="A25" s="3343"/>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f ca="1">G20/0.85</f>
        <v>20467.058823529413</v>
      </c>
      <c r="H26" s="939"/>
      <c r="I26" s="939"/>
    </row>
    <row r="27" spans="1:36" ht="14.25">
      <c r="A27" s="2255"/>
      <c r="B27" s="2256">
        <v>0</v>
      </c>
      <c r="C27" s="2256">
        <v>0</v>
      </c>
      <c r="D27" s="2257">
        <f>ROUND(C27*B27/10000,0)</f>
        <v>0</v>
      </c>
      <c r="E27" s="939"/>
      <c r="F27" s="939"/>
      <c r="G27" s="939">
        <f>25000/0.85</f>
        <v>29411.764705882353</v>
      </c>
      <c r="H27" s="939"/>
      <c r="I27" s="939"/>
    </row>
    <row r="28" spans="1:36" ht="14.25">
      <c r="A28" s="2255"/>
      <c r="B28" s="2256"/>
      <c r="C28" s="2256"/>
      <c r="D28" s="2257"/>
      <c r="E28" s="939"/>
      <c r="F28" s="939"/>
      <c r="G28" s="939"/>
      <c r="H28" s="939"/>
      <c r="I28" s="939"/>
    </row>
    <row r="29" spans="1:36" ht="14.25">
      <c r="A29" s="2255"/>
      <c r="B29" s="2256"/>
      <c r="C29" s="2256"/>
      <c r="D29" s="2257"/>
      <c r="E29" s="939"/>
      <c r="F29" s="939"/>
      <c r="G29" s="939"/>
      <c r="H29" s="939"/>
      <c r="I29" s="939"/>
    </row>
    <row r="30" spans="1:36" ht="14.25">
      <c r="A30" s="2256" t="s">
        <v>857</v>
      </c>
      <c r="B30" s="2256"/>
      <c r="C30" s="2256"/>
      <c r="D30" s="2256"/>
      <c r="E30" s="2258" t="s">
        <v>858</v>
      </c>
      <c r="F30" s="939"/>
      <c r="G30" s="939"/>
      <c r="H30" s="939"/>
      <c r="I30" s="939"/>
    </row>
    <row r="31" spans="1:36" s="2216" customFormat="1" ht="26.45"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860</v>
      </c>
      <c r="B32" s="2262"/>
      <c r="C32" s="2263">
        <f ca="1">IF(D32="总价",G19-C24,G20-C25)</f>
        <v>17397</v>
      </c>
      <c r="D32" s="2264" t="s">
        <v>2780</v>
      </c>
      <c r="E32" s="939"/>
      <c r="F32" s="939"/>
      <c r="G32" s="939"/>
      <c r="H32" s="939"/>
      <c r="I32" s="939"/>
    </row>
    <row r="33" spans="1:15" ht="15">
      <c r="A33" s="2130" t="s">
        <v>861</v>
      </c>
      <c r="B33" s="1888"/>
      <c r="C33" s="2265"/>
      <c r="D33" s="2266"/>
      <c r="E33" s="2267" t="s">
        <v>862</v>
      </c>
      <c r="F33" s="2268" t="str">
        <f>IF(D32="楼面单价","取值（单价）","取值（总价）")</f>
        <v>取值（单价）</v>
      </c>
      <c r="G33" s="939"/>
      <c r="H33" s="939"/>
      <c r="I33" s="939"/>
    </row>
    <row r="34" spans="1:15" ht="15">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5">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5">
      <c r="A36" s="3344" t="s">
        <v>867</v>
      </c>
      <c r="B36" s="2281" t="s">
        <v>868</v>
      </c>
      <c r="C36" s="2282"/>
      <c r="D36" s="2283"/>
      <c r="E36" s="2284"/>
      <c r="F36" s="2285"/>
      <c r="G36" s="939"/>
      <c r="H36" s="939"/>
      <c r="I36" s="939"/>
    </row>
    <row r="37" spans="1:15" ht="15">
      <c r="A37" s="3345"/>
      <c r="B37" s="2286" t="s">
        <v>869</v>
      </c>
      <c r="C37" s="2287"/>
      <c r="D37" s="2288"/>
      <c r="E37" s="2288"/>
      <c r="F37" s="2285"/>
      <c r="G37" s="939"/>
      <c r="H37" s="939"/>
      <c r="I37" s="939"/>
    </row>
    <row r="38" spans="1:15" ht="15">
      <c r="A38" s="3346"/>
      <c r="B38" s="2289" t="s">
        <v>870</v>
      </c>
      <c r="C38" s="2290"/>
      <c r="D38" s="2291" t="s">
        <v>871</v>
      </c>
      <c r="E38" s="2288"/>
      <c r="F38" s="2285"/>
      <c r="G38" s="939"/>
      <c r="H38" s="939"/>
      <c r="I38" s="939"/>
    </row>
    <row r="39" spans="1:15" ht="15">
      <c r="A39" s="2240" t="s">
        <v>872</v>
      </c>
      <c r="B39" s="2292" t="s">
        <v>854</v>
      </c>
      <c r="C39" s="2293" t="s">
        <v>855</v>
      </c>
      <c r="D39" s="2293" t="s">
        <v>873</v>
      </c>
      <c r="E39" s="2294" t="s">
        <v>856</v>
      </c>
      <c r="F39" s="2285"/>
      <c r="G39" s="939"/>
      <c r="H39" s="939"/>
      <c r="I39" s="939"/>
    </row>
    <row r="40" spans="1:15" ht="14.25">
      <c r="A40" s="2295" t="s">
        <v>874</v>
      </c>
      <c r="B40" s="2296"/>
      <c r="C40" s="957"/>
      <c r="D40" s="957"/>
      <c r="E40" s="2297"/>
      <c r="F40" s="2285"/>
      <c r="G40" s="939"/>
      <c r="H40" s="939"/>
      <c r="I40" s="939"/>
    </row>
    <row r="41" spans="1:15" ht="14.25">
      <c r="A41" s="2295" t="s">
        <v>875</v>
      </c>
      <c r="B41" s="2296"/>
      <c r="C41" s="957"/>
      <c r="D41" s="957"/>
      <c r="E41" s="2297"/>
      <c r="F41" s="2285"/>
      <c r="G41" s="939"/>
      <c r="H41" s="939"/>
      <c r="I41" s="939"/>
    </row>
    <row r="42" spans="1:15" ht="14.25">
      <c r="A42" s="2298"/>
      <c r="B42" s="2299"/>
      <c r="C42" s="2300"/>
      <c r="D42" s="2300"/>
      <c r="E42" s="2280"/>
      <c r="F42" s="2285"/>
      <c r="G42" s="939"/>
      <c r="H42" s="939"/>
      <c r="I42" s="939"/>
    </row>
    <row r="43" spans="1:15" ht="12.75">
      <c r="A43" s="2301"/>
      <c r="B43" s="2301"/>
      <c r="C43" s="2301"/>
      <c r="D43" s="2301"/>
      <c r="E43" s="2301"/>
      <c r="F43" s="2302"/>
      <c r="G43" s="2302"/>
      <c r="H43" s="2302"/>
      <c r="I43" s="2354"/>
    </row>
    <row r="44" spans="1:15" ht="18.75">
      <c r="A44" s="2303" t="s">
        <v>876</v>
      </c>
      <c r="B44" s="2304"/>
      <c r="C44" s="2304"/>
      <c r="D44" s="2305"/>
      <c r="E44" s="2305"/>
      <c r="F44" s="2306"/>
      <c r="G44" s="2306"/>
      <c r="H44" s="2306"/>
      <c r="I44" s="2306"/>
      <c r="J44" s="851" t="s">
        <v>877</v>
      </c>
      <c r="K44" s="681"/>
      <c r="L44" s="681"/>
      <c r="M44" s="681"/>
      <c r="N44" s="681"/>
      <c r="O44" s="681"/>
    </row>
    <row r="45" spans="1:15" ht="14.25" customHeight="1">
      <c r="A45" s="3271" t="s">
        <v>878</v>
      </c>
      <c r="B45" s="3272"/>
      <c r="C45" s="3273"/>
      <c r="D45" s="1847">
        <f ca="1">ROUND(H101*F45,0)</f>
        <v>233</v>
      </c>
      <c r="E45" s="2307" t="s">
        <v>879</v>
      </c>
      <c r="F45" s="2308">
        <v>1</v>
      </c>
      <c r="G45" s="1858" t="s">
        <v>880</v>
      </c>
      <c r="H45" s="939"/>
      <c r="I45" s="939"/>
      <c r="J45" s="3274" t="s">
        <v>881</v>
      </c>
      <c r="K45" s="3274"/>
      <c r="L45" s="3274"/>
      <c r="M45" s="3274"/>
      <c r="N45" s="3274"/>
      <c r="O45" s="3274"/>
    </row>
    <row r="46" spans="1:15" ht="14.25" customHeight="1">
      <c r="A46" s="3275" t="s">
        <v>882</v>
      </c>
      <c r="B46" s="3276"/>
      <c r="C46" s="3276"/>
      <c r="D46" s="3276"/>
      <c r="E46" s="3276"/>
      <c r="F46" s="3276"/>
      <c r="G46" s="3277"/>
      <c r="H46" s="2309"/>
      <c r="I46" s="940"/>
      <c r="J46" s="580">
        <v>1</v>
      </c>
      <c r="K46" s="3278" t="s">
        <v>883</v>
      </c>
      <c r="L46" s="3278"/>
      <c r="M46" s="3279"/>
      <c r="N46" s="3279"/>
      <c r="O46" s="3279"/>
    </row>
    <row r="47" spans="1:15" ht="12" customHeight="1">
      <c r="A47" s="2310" t="s">
        <v>884</v>
      </c>
      <c r="B47" s="2311"/>
      <c r="C47" s="2312"/>
      <c r="D47" s="1897" t="s">
        <v>885</v>
      </c>
      <c r="E47" s="1848" t="s">
        <v>886</v>
      </c>
      <c r="F47" s="2313" t="s">
        <v>887</v>
      </c>
      <c r="G47" s="2314" t="s">
        <v>888</v>
      </c>
      <c r="H47" s="2315"/>
      <c r="I47" s="940"/>
      <c r="J47" s="580">
        <v>2</v>
      </c>
      <c r="K47" s="3278" t="s">
        <v>889</v>
      </c>
      <c r="L47" s="3278"/>
      <c r="M47" s="3284">
        <f>'数据-取费表'!B2</f>
        <v>45973</v>
      </c>
      <c r="N47" s="3284"/>
      <c r="O47" s="3284"/>
    </row>
    <row r="48" spans="1:15" ht="25.5">
      <c r="A48" s="3285" t="s">
        <v>890</v>
      </c>
      <c r="B48" s="3286"/>
      <c r="C48" s="3286"/>
      <c r="D48" s="1998" t="b">
        <f>IF(H48="情况1",0,IF(H48="情况2",D52,IF(H48="情况3",D53,IF(H48="情况4",D54))))</f>
        <v>0</v>
      </c>
      <c r="E48" s="1901" t="str">
        <f>IF(H48="情况4","(销售额-原购置价)×税（费）率","销售额×税（费）率")</f>
        <v>销售额×税（费）率</v>
      </c>
      <c r="F48" s="2317">
        <f>IF(H48="情况1","免征",'数据-取费表'!B41)</f>
        <v>5.6000000000000001E-2</v>
      </c>
      <c r="G48" s="2318" t="s">
        <v>891</v>
      </c>
      <c r="H48" s="2319"/>
      <c r="I48" s="2309"/>
      <c r="J48" s="580">
        <v>3</v>
      </c>
      <c r="K48" s="3278" t="s">
        <v>892</v>
      </c>
      <c r="L48" s="3278"/>
      <c r="M48" s="3287">
        <f ca="1">H101</f>
        <v>233</v>
      </c>
      <c r="N48" s="3287"/>
      <c r="O48" s="3287"/>
    </row>
    <row r="49" spans="1:35" ht="25.5" customHeight="1">
      <c r="A49" s="2316" t="s">
        <v>893</v>
      </c>
      <c r="B49" s="3288" t="s">
        <v>894</v>
      </c>
      <c r="C49" s="3288"/>
      <c r="D49" s="2320">
        <v>0</v>
      </c>
      <c r="E49" s="1907" t="s">
        <v>895</v>
      </c>
      <c r="F49" s="2321" t="s">
        <v>124</v>
      </c>
      <c r="G49" s="3294"/>
      <c r="H49" s="2322" t="s">
        <v>896</v>
      </c>
      <c r="I49" s="2356"/>
      <c r="J49" s="580">
        <v>4</v>
      </c>
      <c r="K49" s="3278" t="str">
        <f>IF(项目基本情况!E8="房地产抵押价值","房地产抵押价值","抵押担保权已注销时的房地产抵押价值")</f>
        <v>房地产抵押价值</v>
      </c>
      <c r="L49" s="3278"/>
      <c r="M49" s="3287">
        <f ca="1">IF(项目基本情况!E8="房地产抵押价值",H107,H109)</f>
        <v>233</v>
      </c>
      <c r="N49" s="3287"/>
      <c r="O49" s="3287"/>
    </row>
    <row r="50" spans="1:35" ht="25.5" customHeight="1">
      <c r="A50" s="2323"/>
      <c r="B50" s="3288" t="s">
        <v>897</v>
      </c>
      <c r="C50" s="3288"/>
      <c r="D50" s="2324"/>
      <c r="E50" s="1922"/>
      <c r="F50" s="2321"/>
      <c r="G50" s="3295"/>
      <c r="H50" s="2325" t="s">
        <v>898</v>
      </c>
      <c r="I50" s="2356"/>
      <c r="J50" s="3274" t="s">
        <v>899</v>
      </c>
      <c r="K50" s="3274"/>
      <c r="L50" s="3274"/>
      <c r="M50" s="3274"/>
      <c r="N50" s="3274"/>
      <c r="O50" s="3274"/>
    </row>
    <row r="51" spans="1:35" ht="20.45" customHeight="1">
      <c r="A51" s="2326"/>
      <c r="B51" s="3288" t="s">
        <v>900</v>
      </c>
      <c r="C51" s="3288"/>
      <c r="D51" s="1897"/>
      <c r="E51" s="1911"/>
      <c r="F51" s="2321"/>
      <c r="G51" s="3296"/>
      <c r="H51" s="2325" t="s">
        <v>901</v>
      </c>
      <c r="I51" s="2356"/>
      <c r="J51" s="2355" t="s">
        <v>902</v>
      </c>
      <c r="K51" s="3278" t="s">
        <v>903</v>
      </c>
      <c r="L51" s="3278"/>
      <c r="M51" s="2355" t="s">
        <v>904</v>
      </c>
      <c r="N51" s="2355" t="s">
        <v>905</v>
      </c>
      <c r="O51" s="2355" t="s">
        <v>906</v>
      </c>
    </row>
    <row r="52" spans="1:35" ht="24" customHeight="1">
      <c r="A52" s="2327" t="s">
        <v>907</v>
      </c>
      <c r="B52" s="3288" t="s">
        <v>908</v>
      </c>
      <c r="C52" s="3288"/>
      <c r="D52" s="1897">
        <f ca="1">ROUND(D45*'数据-取费表'!B41/(1+'数据-取费表'!C42),0)</f>
        <v>12</v>
      </c>
      <c r="E52" s="1901" t="s">
        <v>909</v>
      </c>
      <c r="F52" s="2328">
        <f>'数据-取费表'!B41</f>
        <v>5.6000000000000001E-2</v>
      </c>
      <c r="G52" s="2329"/>
      <c r="H52" s="2012"/>
      <c r="I52" s="2357"/>
      <c r="J52" s="580">
        <v>1</v>
      </c>
      <c r="K52" s="3290" t="s">
        <v>910</v>
      </c>
      <c r="L52" s="3290"/>
      <c r="M52" s="2358" t="b">
        <f>D48</f>
        <v>0</v>
      </c>
      <c r="N52" s="580" t="str">
        <f>E48</f>
        <v>销售额×税（费）率</v>
      </c>
      <c r="O52" s="2359">
        <f>F48</f>
        <v>5.6000000000000001E-2</v>
      </c>
    </row>
    <row r="53" spans="1:35" ht="12" customHeight="1">
      <c r="A53" s="2327" t="s">
        <v>911</v>
      </c>
      <c r="B53" s="3291" t="s">
        <v>912</v>
      </c>
      <c r="C53" s="3292"/>
      <c r="D53" s="1897">
        <f ca="1">ROUND(D45*'数据-取费表'!B41/(1+'数据-取费表'!C42),0)</f>
        <v>12</v>
      </c>
      <c r="E53" s="1901" t="s">
        <v>909</v>
      </c>
      <c r="F53" s="2328">
        <f>'数据-取费表'!B41</f>
        <v>5.6000000000000001E-2</v>
      </c>
      <c r="G53" s="2329"/>
      <c r="H53" s="2012"/>
      <c r="I53" s="2357"/>
      <c r="J53" s="580">
        <v>2</v>
      </c>
      <c r="K53" s="3290" t="s">
        <v>913</v>
      </c>
      <c r="L53" s="3290"/>
      <c r="M53" s="2358">
        <f t="shared" ref="M53:O54" ca="1" si="0">D55</f>
        <v>0</v>
      </c>
      <c r="N53" s="580" t="str">
        <f t="shared" si="0"/>
        <v>销售额×税（费）率</v>
      </c>
      <c r="O53" s="2359" t="str">
        <f t="shared" si="0"/>
        <v>免征</v>
      </c>
    </row>
    <row r="54" spans="1:35" ht="12" customHeight="1">
      <c r="A54" s="2327" t="s">
        <v>914</v>
      </c>
      <c r="B54" s="3291" t="s">
        <v>915</v>
      </c>
      <c r="C54" s="3292"/>
      <c r="D54" s="1897">
        <f ca="1">C68</f>
        <v>12</v>
      </c>
      <c r="E54" s="1911" t="s">
        <v>916</v>
      </c>
      <c r="F54" s="2328">
        <f>'数据-取费表'!B41</f>
        <v>5.6000000000000001E-2</v>
      </c>
      <c r="G54" s="2329"/>
      <c r="H54" s="2330"/>
      <c r="I54" s="2357"/>
      <c r="J54" s="580">
        <v>3</v>
      </c>
      <c r="K54" s="3290" t="s">
        <v>917</v>
      </c>
      <c r="L54" s="3290"/>
      <c r="M54" s="2358">
        <f t="shared" ca="1" si="0"/>
        <v>132</v>
      </c>
      <c r="N54" s="580" t="str">
        <f t="shared" si="0"/>
        <v>增值额×税（费）率</v>
      </c>
      <c r="O54" s="2360" t="str">
        <f t="shared" si="0"/>
        <v>免征</v>
      </c>
    </row>
    <row r="55" spans="1:35" ht="24" customHeight="1">
      <c r="A55" s="3293" t="s">
        <v>918</v>
      </c>
      <c r="B55" s="3286"/>
      <c r="C55" s="3286"/>
      <c r="D55" s="1998">
        <f ca="1">IF(H55="个人住宅",0,ROUND(D45*I55,0))</f>
        <v>0</v>
      </c>
      <c r="E55" s="1901" t="s">
        <v>919</v>
      </c>
      <c r="F55" s="2328" t="str">
        <f>IF(H55="正常",I55,"免征")</f>
        <v>免征</v>
      </c>
      <c r="G55" s="2329"/>
      <c r="H55" s="2319"/>
      <c r="I55" s="2361">
        <f>'数据-取费表'!B49</f>
        <v>5.0000000000000001E-4</v>
      </c>
      <c r="J55" s="580">
        <f>IF(H59="非个人房产","",4)</f>
        <v>4</v>
      </c>
      <c r="K55" s="3290" t="str">
        <f>IF(H59="非个人房产","——","个人所得税")</f>
        <v>个人所得税</v>
      </c>
      <c r="L55" s="3290"/>
      <c r="M55" s="2362">
        <f ca="1">D59</f>
        <v>2</v>
      </c>
      <c r="N55" s="561" t="str">
        <f>E59</f>
        <v>差额计税</v>
      </c>
      <c r="O55" s="2363">
        <f>F59</f>
        <v>0.01</v>
      </c>
    </row>
    <row r="56" spans="1:35" ht="24.75">
      <c r="A56" s="3293" t="s">
        <v>920</v>
      </c>
      <c r="B56" s="3286"/>
      <c r="C56" s="3286"/>
      <c r="D56" s="1998">
        <f ca="1">IF(H56="个人住宅",D57,D58)</f>
        <v>132</v>
      </c>
      <c r="E56" s="1901" t="s">
        <v>921</v>
      </c>
      <c r="F56" s="2328" t="str">
        <f>IF(H56="正常",F58,"免征")</f>
        <v>免征</v>
      </c>
      <c r="G56" s="2331" t="s">
        <v>922</v>
      </c>
      <c r="H56" s="2332"/>
      <c r="I56" s="2341"/>
      <c r="J56" s="580" t="str">
        <f>IF(项目基本情况!K6="上海银行",IF(J55="",4,J55+1),"")</f>
        <v/>
      </c>
      <c r="K56" s="3297" t="str">
        <f>IF(项目基本情况!K6="上海银行","其他处置费用","")</f>
        <v/>
      </c>
      <c r="L56" s="3298"/>
      <c r="M56" s="2358" t="str">
        <f>IF(项目基本情况!K6="上海银行",M69,"")</f>
        <v/>
      </c>
      <c r="N56" s="3297" t="str">
        <f>IF(项目基本情况!K6="上海银行","包含处置中涉及的律师、诉讼、拍卖、评估等费用","")</f>
        <v/>
      </c>
      <c r="O56" s="3299"/>
    </row>
    <row r="57" spans="1:35" ht="12.75">
      <c r="A57" s="2327" t="s">
        <v>893</v>
      </c>
      <c r="B57" s="3291" t="s">
        <v>923</v>
      </c>
      <c r="C57" s="3292"/>
      <c r="D57" s="2320">
        <v>0</v>
      </c>
      <c r="E57" s="1907" t="s">
        <v>895</v>
      </c>
      <c r="F57" s="1848"/>
      <c r="G57" s="2329"/>
      <c r="H57" s="2333"/>
      <c r="I57" s="2341"/>
      <c r="J57" s="3290">
        <f>IF(AND(J55="",J56=""),4,IF(项目基本情况!K6="上海银行",结果表!J56+1,结果表!J55+1))</f>
        <v>5</v>
      </c>
      <c r="K57" s="3290" t="s">
        <v>924</v>
      </c>
      <c r="L57" s="2364" t="s">
        <v>925</v>
      </c>
      <c r="M57" s="2365"/>
      <c r="N57" s="2366">
        <f ca="1">SUMIF(M52:M56,"&lt;9e307")</f>
        <v>134</v>
      </c>
      <c r="O57" s="2367"/>
      <c r="P57" s="2368">
        <f ca="1">N57/M49</f>
        <v>0.57510729613733902</v>
      </c>
    </row>
    <row r="58" spans="1:35" ht="24.75">
      <c r="A58" s="2327" t="s">
        <v>907</v>
      </c>
      <c r="B58" s="3291" t="s">
        <v>926</v>
      </c>
      <c r="C58" s="3288"/>
      <c r="D58" s="1998">
        <f ca="1">IF(H58="转让取得",C81,C97)</f>
        <v>132</v>
      </c>
      <c r="E58" s="1901" t="s">
        <v>921</v>
      </c>
      <c r="F58" s="1848" t="s">
        <v>124</v>
      </c>
      <c r="G58" s="2329"/>
      <c r="H58" s="2332"/>
      <c r="I58" s="2341"/>
      <c r="J58" s="3290"/>
      <c r="K58" s="3290"/>
      <c r="L58" s="2364" t="s">
        <v>927</v>
      </c>
      <c r="M58" s="2369"/>
      <c r="N58" s="2370" t="str">
        <f ca="1">NUMBERSTRING(INT(N57*10000),2)&amp;"元整"</f>
        <v>壹佰叁拾肆万元整</v>
      </c>
      <c r="O58" s="2371"/>
    </row>
    <row r="59" spans="1:35" ht="24">
      <c r="A59" s="3300" t="s">
        <v>928</v>
      </c>
      <c r="B59" s="3301"/>
      <c r="C59" s="3301"/>
      <c r="D59" s="2334">
        <f ca="1">IF(H59="非个人房产","——",IF(H59="个人住宅（满五唯一有凭证）",0,IF(H59="个人其他（无凭证）",ROUND(D45/(1+'数据-取费表'!C42)*F59,0),ROUND(C67*F59,0))))</f>
        <v>2</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05">
        <f>J57+1</f>
        <v>6</v>
      </c>
      <c r="K59" s="3290" t="s">
        <v>930</v>
      </c>
      <c r="L59" s="580" t="s">
        <v>925</v>
      </c>
      <c r="M59" s="2373"/>
      <c r="N59" s="2374">
        <f ca="1">M49-N57</f>
        <v>99</v>
      </c>
      <c r="O59" s="2375"/>
    </row>
    <row r="60" spans="1:35" ht="12" customHeight="1">
      <c r="A60" s="2339"/>
      <c r="B60" s="1991"/>
      <c r="C60" s="1991"/>
      <c r="D60" s="1991"/>
      <c r="E60" s="2340"/>
      <c r="F60" s="2341"/>
      <c r="G60" s="2341"/>
      <c r="H60" s="940"/>
      <c r="I60" s="939"/>
      <c r="J60" s="3306"/>
      <c r="K60" s="3290"/>
      <c r="L60" s="2364" t="s">
        <v>927</v>
      </c>
      <c r="M60" s="2369"/>
      <c r="N60" s="2370" t="str">
        <f ca="1">NUMBERSTRING(INT(N59*10000),2)&amp;"元整"</f>
        <v>玖拾玖万元整</v>
      </c>
      <c r="O60" s="2371"/>
    </row>
    <row r="61" spans="1:35" ht="12.75">
      <c r="A61" s="3302" t="s">
        <v>931</v>
      </c>
      <c r="B61" s="3302"/>
      <c r="C61" s="3302"/>
      <c r="D61" s="3302"/>
      <c r="E61" s="3302"/>
      <c r="F61" s="2341"/>
      <c r="G61" s="2341"/>
      <c r="H61" s="940"/>
      <c r="I61" s="939"/>
      <c r="J61" s="580">
        <f>J59+1</f>
        <v>7</v>
      </c>
      <c r="K61" s="3290" t="s">
        <v>932</v>
      </c>
      <c r="L61" s="3290"/>
      <c r="M61" s="2376"/>
      <c r="N61" s="2377">
        <f ca="1">ROUND(N59*10000/'数据-汇总表'!E3,0)</f>
        <v>7386</v>
      </c>
      <c r="O61" s="2378"/>
    </row>
    <row r="62" spans="1:35" ht="12.75">
      <c r="A62" s="3303" t="s">
        <v>933</v>
      </c>
      <c r="B62" s="3304"/>
      <c r="C62" s="532"/>
      <c r="D62" s="532" t="s">
        <v>934</v>
      </c>
      <c r="E62" s="2342" t="s">
        <v>888</v>
      </c>
      <c r="F62" s="2341"/>
      <c r="G62" s="2341"/>
      <c r="H62" s="940"/>
      <c r="I62" s="939"/>
    </row>
    <row r="63" spans="1:35" ht="12.75">
      <c r="A63" s="2343" t="s">
        <v>935</v>
      </c>
      <c r="B63" s="590" t="s">
        <v>936</v>
      </c>
      <c r="C63" s="2344">
        <f ca="1">ROUND((C64+C65)/(1+'数据-取费表'!C42),0)</f>
        <v>222</v>
      </c>
      <c r="D63" s="590"/>
      <c r="E63" s="2345"/>
      <c r="F63" s="2341"/>
      <c r="G63" s="2341"/>
      <c r="H63" s="940"/>
      <c r="I63" s="939"/>
      <c r="J63" s="3289" t="s">
        <v>937</v>
      </c>
      <c r="K63" s="2379" t="s">
        <v>938</v>
      </c>
      <c r="L63" s="2379">
        <f ca="1">IF(M49&gt;10000,M49*0.5%,IF(AND(M49&gt;1000,M49&lt;=10000),M49*1%,IF(AND(M49&gt;100,M49&lt;=1000),M49*3%,IF(AND(M49&gt;10,M49&lt;=100),M49*5%,M49*8%))))</f>
        <v>6.9899999999999993</v>
      </c>
      <c r="M63" s="1848">
        <f ca="1">ROUND(L63,1)</f>
        <v>7</v>
      </c>
      <c r="N63" s="2380"/>
      <c r="Z63" s="2218"/>
      <c r="AI63" s="2217"/>
    </row>
    <row r="64" spans="1:35" ht="14.25" customHeight="1">
      <c r="A64" s="2346" t="s">
        <v>939</v>
      </c>
      <c r="B64" s="513" t="s">
        <v>940</v>
      </c>
      <c r="C64" s="2347">
        <f ca="1">D45</f>
        <v>233</v>
      </c>
      <c r="D64" s="513" t="s">
        <v>124</v>
      </c>
      <c r="E64" s="2348"/>
      <c r="F64" s="2341"/>
      <c r="G64" s="2341"/>
      <c r="H64" s="940"/>
      <c r="I64" s="939"/>
      <c r="J64" s="3289"/>
      <c r="K64" s="2379" t="s">
        <v>941</v>
      </c>
      <c r="L64" s="2379">
        <f ca="1">IF(M49&gt;2000,M49*0.5%,IF(AND(M49&gt;1000,M49&lt;=2000),M49*0.6%,IF(AND(M49&gt;500,M49&lt;=1000),M49*0.7%,IF(AND(M49&gt;200,M49&lt;=500),M49*0.8%,IF(AND(M49&gt;100,M49&lt;=200),M49*0.9%,IF(AND(M49&gt;50,M49&lt;=100),M49*1%,IF(AND(M49&gt;20,M49&lt;=50),M49*1.5%,IF(AND(M49&gt;10,M49&lt;=20),M49*2%,IF(AND(M49&gt;1,M49&lt;=10),M49*2.5%)))))))))</f>
        <v>1.8640000000000001</v>
      </c>
      <c r="M64" s="1848">
        <f t="shared" ref="M64:M65" ca="1" si="1">ROUND(L64,1)</f>
        <v>1.9</v>
      </c>
      <c r="N64" s="2012" t="s">
        <v>942</v>
      </c>
      <c r="Z64" s="2218"/>
      <c r="AI64" s="2217"/>
    </row>
    <row r="65" spans="1:35" ht="14.25" customHeight="1">
      <c r="A65" s="2346" t="s">
        <v>943</v>
      </c>
      <c r="B65" s="513" t="s">
        <v>944</v>
      </c>
      <c r="C65" s="2382"/>
      <c r="D65" s="513"/>
      <c r="E65" s="2348"/>
      <c r="F65" s="2341"/>
      <c r="G65" s="2341"/>
      <c r="H65" s="940"/>
      <c r="I65" s="939"/>
      <c r="J65" s="3289"/>
      <c r="K65" s="2379" t="s">
        <v>945</v>
      </c>
      <c r="L65" s="2379">
        <f ca="1">IF(M49&gt;1000,M49*0.1%,IF(AND(M49&gt;500,M49&lt;=1000),M49*0.5%,IF(AND(M49&gt;50,M49&lt;=500),M49*1%,IF(AND(M49&gt;1,M49&lt;=50),M49*1.5%))))</f>
        <v>2.33</v>
      </c>
      <c r="M65" s="1848">
        <f t="shared" ca="1" si="1"/>
        <v>2.2999999999999998</v>
      </c>
      <c r="N65" s="2012" t="s">
        <v>942</v>
      </c>
      <c r="Z65" s="2218"/>
      <c r="AI65" s="2217"/>
    </row>
    <row r="66" spans="1:35" ht="14.25" customHeight="1">
      <c r="A66" s="2343" t="s">
        <v>946</v>
      </c>
      <c r="B66" s="2383" t="s">
        <v>947</v>
      </c>
      <c r="C66" s="2384"/>
      <c r="D66" s="2383" t="s">
        <v>124</v>
      </c>
      <c r="E66" s="2385" t="s">
        <v>948</v>
      </c>
      <c r="F66" s="2341"/>
      <c r="G66" s="2341"/>
      <c r="H66" s="940"/>
      <c r="I66" s="939"/>
      <c r="J66" s="3289"/>
      <c r="K66" s="2379" t="s">
        <v>949</v>
      </c>
      <c r="L66" s="2379">
        <f ca="1">M49*0.5%</f>
        <v>1.165</v>
      </c>
      <c r="M66" s="1848">
        <f ca="1">IF(L66&gt;0.5,0.5,ROUND(L66,0))</f>
        <v>0.5</v>
      </c>
      <c r="N66" s="2012" t="s">
        <v>950</v>
      </c>
      <c r="Z66" s="2218"/>
      <c r="AI66" s="2217"/>
    </row>
    <row r="67" spans="1:35" ht="14.25" customHeight="1">
      <c r="A67" s="2343" t="s">
        <v>951</v>
      </c>
      <c r="B67" s="2383" t="s">
        <v>952</v>
      </c>
      <c r="C67" s="2386">
        <f ca="1">C63-C66</f>
        <v>222</v>
      </c>
      <c r="D67" s="513" t="s">
        <v>124</v>
      </c>
      <c r="E67" s="2348"/>
      <c r="F67" s="2341"/>
      <c r="G67" s="2341"/>
      <c r="H67" s="940"/>
      <c r="I67" s="939"/>
      <c r="J67" s="3289"/>
      <c r="K67" s="2379" t="s">
        <v>953</v>
      </c>
      <c r="L67" s="2379">
        <f ca="1">IF(M49&gt;=10000,(8.25+(M49-10000)*0.01%),IF(AND(M49&gt;=8000,M49&lt;10000),(7.85+(M49-8000)*0.02%),IF(AND(M49&gt;=5000,M49&lt;8000),(6.65+(M49-5000)*0.04%),IF(AND(M49&gt;=2000,M49&lt;5000),(4.25+(PM49-2000)*0.08%),IF(AND(M49&gt;=1000,M49&lt;2000),(2.75+(M49-1000)*0.15%),IF(AND(M49&gt;=100,M49&lt;1000),(0.5+(M49-100)*0.25%),IF(AND(M49&gt;0,M49&lt;100),M49*0.5%)))))))</f>
        <v>0.83250000000000002</v>
      </c>
      <c r="M67" s="1848">
        <f ca="1">ROUND(L67*0.9,1)</f>
        <v>0.7</v>
      </c>
      <c r="N67" s="2380"/>
      <c r="Z67" s="2218"/>
      <c r="AI67" s="2217"/>
    </row>
    <row r="68" spans="1:35" ht="14.25" customHeight="1">
      <c r="A68" s="2387" t="s">
        <v>954</v>
      </c>
      <c r="B68" s="2388" t="s">
        <v>955</v>
      </c>
      <c r="C68" s="2389">
        <f ca="1">IF(C67&lt;=0,0,ROUND(C67*D68,0))</f>
        <v>12</v>
      </c>
      <c r="D68" s="775">
        <f>'数据-取费表'!B41</f>
        <v>5.6000000000000001E-2</v>
      </c>
      <c r="E68" s="2390"/>
      <c r="F68" s="2341"/>
      <c r="G68" s="2341"/>
      <c r="H68" s="940"/>
      <c r="I68" s="939"/>
      <c r="J68" s="3289"/>
      <c r="K68" s="2379" t="s">
        <v>956</v>
      </c>
      <c r="L68" s="2379">
        <f ca="1">IF(M49&gt;10000,M49*0.5%,IF(AND(M49&gt;5000,M49&lt;=10000),M49*1%,IF(AND(M49&gt;1000,M49&lt;=5000),M49*2%,IF(AND(M49&gt;200,M49&lt;=1000),M49*3%,M49*5%))))</f>
        <v>6.9899999999999993</v>
      </c>
      <c r="M68" s="1848">
        <f ca="1">ROUND(L68,1)</f>
        <v>7</v>
      </c>
      <c r="N68" s="2380"/>
      <c r="Z68" s="2218"/>
      <c r="AI68" s="2217"/>
    </row>
    <row r="69" spans="1:35" ht="16.5" customHeight="1">
      <c r="A69" s="2391"/>
      <c r="B69" s="2392"/>
      <c r="C69" s="2393"/>
      <c r="D69" s="697"/>
      <c r="E69" s="2394"/>
      <c r="F69" s="2340"/>
      <c r="G69" s="2340"/>
      <c r="H69" s="2301"/>
      <c r="I69" s="1991"/>
      <c r="J69" s="3289"/>
      <c r="K69" s="2379" t="s">
        <v>957</v>
      </c>
      <c r="L69" s="2379"/>
      <c r="M69" s="1848">
        <f ca="1">ROUND(SUM(M63:M68),0)</f>
        <v>19</v>
      </c>
      <c r="N69" s="2454">
        <f ca="1">M69/M49</f>
        <v>8.15450643776824E-2</v>
      </c>
      <c r="Z69" s="2218"/>
      <c r="AI69" s="2217"/>
    </row>
    <row r="70" spans="1:35" s="880" customFormat="1" ht="14.25">
      <c r="A70" s="3327" t="s">
        <v>958</v>
      </c>
      <c r="B70" s="3328"/>
      <c r="C70" s="3328"/>
      <c r="D70" s="3328"/>
      <c r="E70" s="3328"/>
      <c r="F70" s="3328"/>
      <c r="G70" s="3328"/>
      <c r="H70" s="3328"/>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4.25">
      <c r="A71" s="3303" t="s">
        <v>933</v>
      </c>
      <c r="B71" s="3304"/>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4.25">
      <c r="A72" s="2343" t="s">
        <v>935</v>
      </c>
      <c r="B72" s="2383" t="s">
        <v>959</v>
      </c>
      <c r="C72" s="2386">
        <f ca="1">ROUND(D45/(1+'数据-取费表'!C42),0)</f>
        <v>222</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4.25">
      <c r="A73" s="2343" t="s">
        <v>946</v>
      </c>
      <c r="B73" s="2313" t="s">
        <v>960</v>
      </c>
      <c r="C73" s="2386">
        <f ca="1">C74+C78</f>
        <v>1</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14.25">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91" t="s">
        <v>968</v>
      </c>
      <c r="F76" s="3288"/>
      <c r="G76" s="3288"/>
      <c r="H76" s="3329"/>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1</v>
      </c>
      <c r="D78" s="2409">
        <f>'数据-取费表'!B43</f>
        <v>6.000000000000001E-3</v>
      </c>
      <c r="E78" s="3330" t="s">
        <v>973</v>
      </c>
      <c r="F78" s="3331"/>
      <c r="G78" s="3331"/>
      <c r="H78" s="3332"/>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4.25">
      <c r="A79" s="2343" t="s">
        <v>951</v>
      </c>
      <c r="B79" s="2383" t="s">
        <v>974</v>
      </c>
      <c r="C79" s="2386">
        <f ca="1">C72-C73</f>
        <v>221</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221</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132</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4.25">
      <c r="A83" s="3327" t="s">
        <v>978</v>
      </c>
      <c r="B83" s="3328"/>
      <c r="C83" s="3328"/>
      <c r="D83" s="3328"/>
      <c r="E83" s="3328"/>
      <c r="F83" s="3328"/>
      <c r="G83" s="3328"/>
      <c r="H83" s="3328"/>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4.25">
      <c r="A84" s="3303" t="s">
        <v>933</v>
      </c>
      <c r="B84" s="3304"/>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4.25">
      <c r="A85" s="2343" t="s">
        <v>935</v>
      </c>
      <c r="B85" s="2383" t="s">
        <v>959</v>
      </c>
      <c r="C85" s="2386">
        <f ca="1">ROUND(D45/(1+'数据-取费表'!C42),0)</f>
        <v>222</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4.25">
      <c r="A86" s="2343" t="s">
        <v>946</v>
      </c>
      <c r="B86" s="2313" t="s">
        <v>960</v>
      </c>
      <c r="C86" s="2386">
        <f ca="1">IF(H88="仅含出让金",C87+C90+C91+C92+C93+C94,C87+C91+C92+C93+C94)</f>
        <v>1</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4.25">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25">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4.25">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25">
      <c r="A90" s="2346" t="s">
        <v>943</v>
      </c>
      <c r="B90" s="513" t="s">
        <v>985</v>
      </c>
      <c r="C90" s="2423"/>
      <c r="D90" s="2409"/>
      <c r="E90" s="2424" t="str">
        <f>IF(H88="-","土地取得成本中已包含该笔费用"," ")</f>
        <v xml:space="preserve"> </v>
      </c>
      <c r="F90" s="2411"/>
      <c r="G90" s="3339" t="s">
        <v>986</v>
      </c>
      <c r="H90" s="3340"/>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330" t="s">
        <v>990</v>
      </c>
      <c r="F91" s="3331"/>
      <c r="G91" s="3331"/>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330" t="s">
        <v>993</v>
      </c>
      <c r="F92" s="3331"/>
      <c r="G92" s="3331"/>
      <c r="H92" s="3332"/>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1</v>
      </c>
      <c r="D93" s="2409">
        <f>'数据-取费表'!B43</f>
        <v>6.000000000000001E-3</v>
      </c>
      <c r="E93" s="3330" t="s">
        <v>973</v>
      </c>
      <c r="F93" s="3331"/>
      <c r="G93" s="3331"/>
      <c r="H93" s="3332"/>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352" t="s">
        <v>998</v>
      </c>
      <c r="F94" s="3353"/>
      <c r="G94" s="3353"/>
      <c r="H94" s="3354"/>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4.25">
      <c r="A95" s="2343" t="s">
        <v>951</v>
      </c>
      <c r="B95" s="2383" t="s">
        <v>974</v>
      </c>
      <c r="C95" s="2386">
        <f ca="1">ROUND(C85-C86,0)</f>
        <v>221</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221</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132</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5" t="s">
        <v>1000</v>
      </c>
      <c r="B100" s="3256"/>
      <c r="C100" s="3256"/>
      <c r="D100" s="3315"/>
      <c r="E100" s="3256" t="s">
        <v>1001</v>
      </c>
      <c r="F100" s="3256"/>
      <c r="G100" s="3256"/>
      <c r="H100" s="3315"/>
      <c r="I100" s="939"/>
    </row>
    <row r="101" spans="1:35" ht="18.75" customHeight="1">
      <c r="A101" s="3316" t="s">
        <v>1002</v>
      </c>
      <c r="B101" s="3317"/>
      <c r="C101" s="2431" t="str">
        <f>C4</f>
        <v>比较法-办公</v>
      </c>
      <c r="D101" s="2432" t="str">
        <f>D4</f>
        <v>收益法 (元)</v>
      </c>
      <c r="E101" s="3338" t="s">
        <v>1003</v>
      </c>
      <c r="F101" s="3334"/>
      <c r="G101" s="2434" t="s">
        <v>1004</v>
      </c>
      <c r="H101" s="2435">
        <f ca="1">H118</f>
        <v>233</v>
      </c>
      <c r="I101" s="939"/>
    </row>
    <row r="102" spans="1:35" ht="18.75" customHeight="1">
      <c r="A102" s="3347" t="s">
        <v>1005</v>
      </c>
      <c r="B102" s="2436" t="s">
        <v>1004</v>
      </c>
      <c r="C102" s="2431">
        <f ca="1">IF(D32="楼面单价",ROUND(C19,0),C19)</f>
        <v>274</v>
      </c>
      <c r="D102" s="2432">
        <f ca="1">IF(D32="楼面单价",ROUND(D19,0),D19)</f>
        <v>138</v>
      </c>
      <c r="E102" s="3338"/>
      <c r="F102" s="3334"/>
      <c r="G102" s="2434" t="s">
        <v>99</v>
      </c>
      <c r="H102" s="2329">
        <f ca="1">I118</f>
        <v>17397</v>
      </c>
      <c r="I102" s="939"/>
    </row>
    <row r="103" spans="1:35" ht="42.75" customHeight="1">
      <c r="A103" s="3347"/>
      <c r="B103" s="2436" t="s">
        <v>99</v>
      </c>
      <c r="C103" s="2437">
        <f ca="1">C20</f>
        <v>20444</v>
      </c>
      <c r="D103" s="2438">
        <f ca="1">D20</f>
        <v>10288</v>
      </c>
      <c r="E103" s="3318" t="s">
        <v>1006</v>
      </c>
      <c r="F103" s="3319"/>
      <c r="G103" s="2439" t="s">
        <v>102</v>
      </c>
      <c r="H103" s="2435">
        <f>IF(D36="正常操作",H104+H105+H106,H105+H106)</f>
        <v>0</v>
      </c>
      <c r="I103" s="939"/>
    </row>
    <row r="104" spans="1:35" ht="18.75" customHeight="1">
      <c r="A104" s="3347" t="s">
        <v>1007</v>
      </c>
      <c r="B104" s="2440" t="s">
        <v>1004</v>
      </c>
      <c r="C104" s="2441">
        <f ca="1">H118</f>
        <v>233</v>
      </c>
      <c r="D104" s="2442"/>
      <c r="E104" s="2286" t="s">
        <v>1008</v>
      </c>
      <c r="F104" s="2443"/>
      <c r="G104" s="2439" t="s">
        <v>102</v>
      </c>
      <c r="H104" s="2444">
        <f>IF(D36="同一抵押权人同一抵押物续贷",C36&amp;"（续贷，未扣减，详见特别提示）",C36)</f>
        <v>0</v>
      </c>
      <c r="I104" s="939"/>
    </row>
    <row r="105" spans="1:35" ht="18.75" customHeight="1">
      <c r="A105" s="3348"/>
      <c r="B105" s="2445" t="s">
        <v>99</v>
      </c>
      <c r="C105" s="2446">
        <f ca="1">I118</f>
        <v>17397</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f ca="1">H108*B118</f>
        <v>2331893.88</v>
      </c>
      <c r="E107" s="3333" t="str">
        <f>IF(项目基本情况!E8="已注销","——","3.房地产抵押价值")</f>
        <v>3.房地产抵押价值</v>
      </c>
      <c r="F107" s="3334"/>
      <c r="G107" s="2434" t="s">
        <v>1004</v>
      </c>
      <c r="H107" s="2435">
        <f ca="1">IF(E107="——","——",H101-H103)</f>
        <v>233</v>
      </c>
      <c r="I107" s="939"/>
    </row>
    <row r="108" spans="1:35" ht="18.75" customHeight="1">
      <c r="A108" s="939"/>
      <c r="B108" s="939"/>
      <c r="C108" s="939"/>
      <c r="D108" s="939"/>
      <c r="E108" s="3333"/>
      <c r="F108" s="3334"/>
      <c r="G108" s="2434" t="s">
        <v>99</v>
      </c>
      <c r="H108" s="2329">
        <f ca="1">IF(H107=H101,H102,ROUND(H107*10000/'数据-汇总表'!E3,0))</f>
        <v>17397</v>
      </c>
      <c r="I108" s="939"/>
    </row>
    <row r="109" spans="1:35" ht="18.75" customHeight="1">
      <c r="A109" s="939"/>
      <c r="B109" s="939"/>
      <c r="C109" s="939"/>
      <c r="D109" s="939"/>
      <c r="E109" s="3333" t="str">
        <f>IF(项目基本情况!E8="已注销及未注销","4.抵押担保权已注销时的房地产抵押价值",IF(项目基本情况!E8="已注销","3.抵押担保权已注销时的房地产抵押价值","——"))</f>
        <v>——</v>
      </c>
      <c r="F109" s="3334"/>
      <c r="G109" s="2434" t="s">
        <v>1004</v>
      </c>
      <c r="H109" s="2450" t="str">
        <f>IF(E109="——","——",H101-H105-H106)</f>
        <v>——</v>
      </c>
      <c r="I109" s="939"/>
    </row>
    <row r="110" spans="1:35" ht="18.75" customHeight="1">
      <c r="A110" s="939"/>
      <c r="B110" s="939"/>
      <c r="C110" s="939"/>
      <c r="D110" s="939"/>
      <c r="E110" s="3333"/>
      <c r="F110" s="3334"/>
      <c r="G110" s="2434" t="s">
        <v>99</v>
      </c>
      <c r="H110" s="2329" t="str">
        <f>IF(H109="——","——",ROUND(H109*10000/'数据-汇总表'!E3,0))</f>
        <v>——</v>
      </c>
      <c r="I110" s="939"/>
    </row>
    <row r="111" spans="1:35" ht="18.75" customHeight="1">
      <c r="A111" s="939"/>
      <c r="B111" s="939"/>
      <c r="C111" s="939"/>
      <c r="D111" s="939"/>
      <c r="E111" s="3335" t="str">
        <f>IF(项目基本情况!E9="抵押净值",IF(OR(项目基本情况!E8="已注销",项目基本情况!E8="房地产抵押价值"),"4.抵押净值","5.抵押净值"),"——")</f>
        <v>——</v>
      </c>
      <c r="F111" s="3307"/>
      <c r="G111" s="2434" t="s">
        <v>1004</v>
      </c>
      <c r="H111" s="2435" t="str">
        <f>IF(E111="——","——",N59)</f>
        <v>——</v>
      </c>
      <c r="I111" s="939"/>
    </row>
    <row r="112" spans="1:35" ht="18.75" customHeight="1">
      <c r="A112" s="939"/>
      <c r="B112" s="939"/>
      <c r="C112" s="939"/>
      <c r="D112" s="939"/>
      <c r="E112" s="3336"/>
      <c r="F112" s="3337"/>
      <c r="G112" s="2451" t="s">
        <v>99</v>
      </c>
      <c r="H112" s="2452" t="str">
        <f>IF(E111="——","——",N61)</f>
        <v>——</v>
      </c>
      <c r="I112" s="939"/>
    </row>
    <row r="113" spans="1:27" ht="18.75" customHeight="1">
      <c r="A113" s="939"/>
      <c r="B113" s="939"/>
      <c r="C113" s="939"/>
      <c r="D113" s="939"/>
      <c r="E113" s="3320" t="s">
        <v>1010</v>
      </c>
      <c r="F113" s="3320"/>
      <c r="G113" s="3320"/>
      <c r="H113" s="3320"/>
      <c r="I113" s="939"/>
    </row>
    <row r="114" spans="1:27" ht="3.75" customHeight="1">
      <c r="A114" s="1991"/>
      <c r="B114" s="1991"/>
      <c r="C114" s="1991"/>
      <c r="D114" s="1991"/>
      <c r="E114" s="2339"/>
      <c r="F114" s="2339"/>
      <c r="G114" s="2339"/>
      <c r="H114" s="2339"/>
      <c r="I114" s="1991"/>
    </row>
    <row r="115" spans="1:27" ht="18.75" customHeight="1">
      <c r="A115" s="3321" t="s">
        <v>1012</v>
      </c>
      <c r="B115" s="3322"/>
      <c r="C115" s="3322"/>
      <c r="D115" s="3322"/>
      <c r="E115" s="3322"/>
      <c r="F115" s="3322"/>
      <c r="G115" s="3322"/>
      <c r="H115" s="3322"/>
      <c r="I115" s="3323"/>
    </row>
    <row r="116" spans="1:27" ht="27" customHeight="1">
      <c r="A116" s="3311" t="s">
        <v>1013</v>
      </c>
      <c r="B116" s="3350" t="s">
        <v>1014</v>
      </c>
      <c r="C116" s="3350" t="s">
        <v>1015</v>
      </c>
      <c r="D116" s="3324" t="s">
        <v>1016</v>
      </c>
      <c r="E116" s="3325"/>
      <c r="F116" s="3326" t="s">
        <v>1017</v>
      </c>
      <c r="G116" s="3326"/>
      <c r="H116" s="3311" t="s">
        <v>1018</v>
      </c>
      <c r="I116" s="3311"/>
    </row>
    <row r="117" spans="1:27" ht="18.75" customHeight="1">
      <c r="A117" s="3311"/>
      <c r="B117" s="3351"/>
      <c r="C117" s="3351"/>
      <c r="D117" s="872" t="s">
        <v>1019</v>
      </c>
      <c r="E117" s="872" t="s">
        <v>848</v>
      </c>
      <c r="F117" s="872" t="s">
        <v>1019</v>
      </c>
      <c r="G117" s="872" t="s">
        <v>848</v>
      </c>
      <c r="H117" s="872" t="s">
        <v>1019</v>
      </c>
      <c r="I117" s="872" t="s">
        <v>848</v>
      </c>
    </row>
    <row r="118" spans="1:27" ht="24.75" customHeight="1">
      <c r="A118" s="2453" t="str">
        <f>项目基本情况!S2</f>
        <v>北京市房地产</v>
      </c>
      <c r="B118" s="872">
        <f>M18</f>
        <v>134.04</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233</v>
      </c>
      <c r="I118" s="872">
        <f ca="1">ROUND(IF(D32="楼面单价",C32,H118*10000/B118),0)</f>
        <v>17397</v>
      </c>
    </row>
    <row r="119" spans="1:27" ht="18.75" customHeight="1">
      <c r="A119" s="3311" t="s">
        <v>1020</v>
      </c>
      <c r="B119" s="3311"/>
      <c r="C119" s="3311"/>
      <c r="D119" s="3312" t="e">
        <f ca="1">NUMBERSTRING(INT(D118*10000),2)&amp;"元整"</f>
        <v>#REF!</v>
      </c>
      <c r="E119" s="3314"/>
      <c r="F119" s="3312" t="e">
        <f ca="1">NUMBERSTRING(INT(F118*10000),2)&amp;"元整"</f>
        <v>#REF!</v>
      </c>
      <c r="G119" s="3314"/>
      <c r="H119" s="3312" t="str">
        <f ca="1">NUMBERSTRING(INT(H118*10000),2)&amp;"元整"</f>
        <v>贰佰叁拾叁万元整</v>
      </c>
      <c r="I119" s="3314"/>
    </row>
    <row r="120" spans="1:27" ht="18.75" customHeight="1">
      <c r="A120" s="3308" t="str">
        <f>IF(项目基本情况!B9="房地产市场价值","",MID(E103,3,LEN(E103)-2))</f>
        <v>估价师知悉的法定优先受偿款</v>
      </c>
      <c r="B120" s="3309"/>
      <c r="C120" s="3310"/>
      <c r="D120" s="3308">
        <f>H103</f>
        <v>0</v>
      </c>
      <c r="E120" s="3309"/>
      <c r="F120" s="3309"/>
      <c r="G120" s="3309"/>
      <c r="H120" s="3309"/>
      <c r="I120" s="3310"/>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12" t="s">
        <v>1020</v>
      </c>
      <c r="B121" s="3313"/>
      <c r="C121" s="3314"/>
      <c r="D121" s="3312" t="str">
        <f>IF(D120=0,"零元整",NUMBERSTRING(INT(D120*10000),2)&amp;"元整")</f>
        <v>零元整</v>
      </c>
      <c r="E121" s="3313"/>
      <c r="F121" s="3313"/>
      <c r="G121" s="3313"/>
      <c r="H121" s="3313"/>
      <c r="I121" s="3314"/>
      <c r="AA121" s="898"/>
    </row>
    <row r="122" spans="1:27" ht="18.75" customHeight="1">
      <c r="A122" s="3307" t="str">
        <f>IF(项目基本情况!B9="房地产市场价值","",MID(E107,3,LEN(E107)-2))</f>
        <v>房地产抵押价值</v>
      </c>
      <c r="B122" s="3307"/>
      <c r="C122" s="3307"/>
      <c r="D122" s="3308">
        <f ca="1">H107</f>
        <v>233</v>
      </c>
      <c r="E122" s="3309"/>
      <c r="F122" s="3309"/>
      <c r="G122" s="3309"/>
      <c r="H122" s="3309"/>
      <c r="I122" s="3310"/>
      <c r="AA122" s="898"/>
    </row>
    <row r="123" spans="1:27" ht="18.75" customHeight="1">
      <c r="A123" s="3311" t="s">
        <v>1020</v>
      </c>
      <c r="B123" s="3311"/>
      <c r="C123" s="3311"/>
      <c r="D123" s="3312" t="str">
        <f ca="1">NUMBERSTRING(INT(D122*10000),2)&amp;"元整"</f>
        <v>贰佰叁拾叁万元整</v>
      </c>
      <c r="E123" s="3313"/>
      <c r="F123" s="3313"/>
      <c r="G123" s="3313"/>
      <c r="H123" s="3313"/>
      <c r="I123" s="3314"/>
      <c r="AA123" s="898"/>
    </row>
    <row r="124" spans="1:27" ht="18.75" customHeight="1">
      <c r="A124" s="3307" t="str">
        <f>IF(项目基本情况!B9="房地产市场价值","",MID(E109,3,LEN(E109)-2))</f>
        <v/>
      </c>
      <c r="B124" s="3307"/>
      <c r="C124" s="3307"/>
      <c r="D124" s="3308" t="str">
        <f>H109</f>
        <v>——</v>
      </c>
      <c r="E124" s="3309"/>
      <c r="F124" s="3309"/>
      <c r="G124" s="3309"/>
      <c r="H124" s="3309"/>
      <c r="I124" s="3310"/>
      <c r="AA124" s="898"/>
    </row>
    <row r="125" spans="1:27" ht="18.75" customHeight="1">
      <c r="A125" s="3311" t="s">
        <v>1020</v>
      </c>
      <c r="B125" s="3311"/>
      <c r="C125" s="3311"/>
      <c r="D125" s="3312" t="e">
        <f>NUMBERSTRING(INT(D124*10000),2)&amp;"元整"</f>
        <v>#VALUE!</v>
      </c>
      <c r="E125" s="3313"/>
      <c r="F125" s="3313"/>
      <c r="G125" s="3313"/>
      <c r="H125" s="3313"/>
      <c r="I125" s="3314"/>
      <c r="AA125" s="898"/>
    </row>
    <row r="126" spans="1:27" ht="18.75" customHeight="1">
      <c r="A126" s="3307" t="str">
        <f>IF(项目基本情况!B9="房地产市场价值","",MID(E111,3,LEN(E111)-2))</f>
        <v/>
      </c>
      <c r="B126" s="3307"/>
      <c r="C126" s="3307"/>
      <c r="D126" s="3308" t="str">
        <f>H111</f>
        <v>——</v>
      </c>
      <c r="E126" s="3309"/>
      <c r="F126" s="3309"/>
      <c r="G126" s="3309"/>
      <c r="H126" s="3309"/>
      <c r="I126" s="3310"/>
      <c r="AA126" s="898"/>
    </row>
    <row r="127" spans="1:27" ht="18.75" customHeight="1">
      <c r="A127" s="3311" t="s">
        <v>1020</v>
      </c>
      <c r="B127" s="3311"/>
      <c r="C127" s="3311"/>
      <c r="D127" s="3312" t="e">
        <f>NUMBERSTRING(INT(D126*10000),2)&amp;"元整"</f>
        <v>#VALUE!</v>
      </c>
      <c r="E127" s="3313"/>
      <c r="F127" s="3313"/>
      <c r="G127" s="3313"/>
      <c r="H127" s="3313"/>
      <c r="I127" s="3314"/>
      <c r="AA127" s="898"/>
    </row>
    <row r="128" spans="1:27" ht="21.75" customHeight="1">
      <c r="A128" s="3341" t="s">
        <v>113</v>
      </c>
      <c r="B128" s="3341"/>
      <c r="C128" s="3341"/>
      <c r="D128" s="3341"/>
      <c r="E128" s="3341"/>
      <c r="F128" s="3341"/>
      <c r="G128" s="3341"/>
      <c r="H128" s="3341"/>
      <c r="I128" s="3341"/>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4"/>
      <c r="C1" s="341"/>
      <c r="D1" s="341"/>
      <c r="E1" s="341"/>
      <c r="F1" s="341"/>
      <c r="G1" s="2206">
        <f>MATCH(B1,'数据-取费表'!A6:A16,0)+5</f>
        <v>7</v>
      </c>
    </row>
    <row r="2" spans="1:9" s="331" customFormat="1" ht="18" customHeight="1">
      <c r="A2" s="343" t="s">
        <v>1029</v>
      </c>
      <c r="B2" s="344">
        <f ca="1">IF(D2="——",C52,C52-E2)</f>
        <v>36351</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2711952</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26808</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26808</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3</v>
      </c>
      <c r="D10" s="369">
        <f ca="1">IF(B1="",'数据-汇总表'!E6,IF(INDIRECT("'数据-取费表'!c"&amp;$G$1)="住宅",INDIRECT("'数据-取费表'!s"&amp;$G$1),INDIRECT("'数据-取费表'!k"&amp;$G$1)+INDIRECT("'数据-取费表'!s"&amp;$G$1)))</f>
        <v>134.04</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3</v>
      </c>
      <c r="D19" s="354">
        <f ca="1">D9+D10</f>
        <v>134.04</v>
      </c>
      <c r="E19" s="353">
        <f>'数据-取费表'!B31</f>
        <v>200</v>
      </c>
      <c r="F19" s="375"/>
      <c r="G19" s="2212"/>
    </row>
    <row r="20" spans="1:7" s="333" customFormat="1" ht="13.5" customHeight="1">
      <c r="A20" s="351" t="s">
        <v>1067</v>
      </c>
      <c r="B20" s="352" t="s">
        <v>1068</v>
      </c>
      <c r="C20" s="376">
        <f ca="1">ROUND((C5+C19)*F20,0)</f>
        <v>804</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1729</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1704</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25</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4142</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ROUND((C5+C19+C20)*F27*'数据-取费表'!B21/'数据-取费表'!B20,0)</f>
        <v>4142</v>
      </c>
      <c r="D28" s="379"/>
      <c r="E28" s="380"/>
      <c r="F28" s="394"/>
      <c r="G28" s="395"/>
    </row>
    <row r="29" spans="1:7" s="333" customFormat="1" ht="13.5" customHeight="1">
      <c r="A29" s="384" t="s">
        <v>1040</v>
      </c>
      <c r="B29" s="396" t="s">
        <v>1088</v>
      </c>
      <c r="C29" s="386">
        <f ca="1">ROUND(C21*F27*'数据-取费表'!B21/'数据-取费表'!B20,4)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36276</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67</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60</v>
      </c>
      <c r="D34" s="359"/>
      <c r="E34" s="362"/>
      <c r="F34" s="405">
        <f ca="1">IF('数据-取费表'!B24=0,1,IF(B1="",'数据-取费表'!N16,INDIRECT("'数据-取费表'!n"&amp;$G$1)))</f>
        <v>1</v>
      </c>
      <c r="G34" s="361" t="s">
        <v>1097</v>
      </c>
    </row>
    <row r="35" spans="1:7" ht="13.5" customHeight="1">
      <c r="A35" s="384" t="s">
        <v>1040</v>
      </c>
      <c r="B35" s="357" t="s">
        <v>1098</v>
      </c>
      <c r="C35" s="362">
        <f ca="1">ROUND(C34*F35,0)</f>
        <v>3</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3</v>
      </c>
      <c r="D37" s="359">
        <f ca="1">D19</f>
        <v>134.04</v>
      </c>
      <c r="E37" s="397">
        <f>'数据-取费表'!B35</f>
        <v>200</v>
      </c>
      <c r="F37" s="406"/>
      <c r="G37" s="408" t="s">
        <v>1103</v>
      </c>
    </row>
    <row r="38" spans="1:7" ht="13.5" customHeight="1">
      <c r="A38" s="384" t="s">
        <v>1104</v>
      </c>
      <c r="B38" s="357" t="s">
        <v>970</v>
      </c>
      <c r="C38" s="362">
        <f ca="1">ROUND(C34*F38,0)</f>
        <v>1</v>
      </c>
      <c r="D38" s="362"/>
      <c r="E38" s="362"/>
      <c r="F38" s="406">
        <f>'数据-取费表'!B36</f>
        <v>0.02</v>
      </c>
      <c r="G38" s="361" t="s">
        <v>1099</v>
      </c>
    </row>
    <row r="39" spans="1:7" s="333" customFormat="1" ht="13.5" customHeight="1">
      <c r="A39" s="351" t="s">
        <v>1065</v>
      </c>
      <c r="B39" s="352" t="s">
        <v>1068</v>
      </c>
      <c r="C39" s="376">
        <f ca="1">ROUND(C33*F20,0)</f>
        <v>2</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2</v>
      </c>
      <c r="D42" s="386"/>
      <c r="E42" s="386"/>
      <c r="F42" s="387"/>
      <c r="G42" s="3355" t="s">
        <v>1108</v>
      </c>
    </row>
    <row r="43" spans="1:7" ht="13.5" customHeight="1">
      <c r="A43" s="384" t="s">
        <v>1040</v>
      </c>
      <c r="B43" s="357" t="s">
        <v>1078</v>
      </c>
      <c r="C43" s="386">
        <f ca="1">ROUND(IF('数据-取费表'!B22&lt;=1,C39*F22*'数据-取费表'!B21/2,C39*(POWER((1+F22),'数据-取费表'!B21/2)-1)),0)</f>
        <v>0</v>
      </c>
      <c r="D43" s="386"/>
      <c r="E43" s="386"/>
      <c r="F43" s="387"/>
      <c r="G43" s="3356"/>
    </row>
    <row r="44" spans="1:7" ht="13.5" customHeight="1">
      <c r="A44" s="384" t="s">
        <v>1042</v>
      </c>
      <c r="B44" s="357" t="s">
        <v>1080</v>
      </c>
      <c r="C44" s="386">
        <f ca="1">ROUND(IF('数据-取费表'!B22&lt;=1,C40*F22*'数据-取费表'!B21/2,C40*(POWER((1+F22),'数据-取费表'!B21/2)-1)),4)</f>
        <v>5.9999999999999995E-4</v>
      </c>
      <c r="D44" s="386"/>
      <c r="E44" s="386"/>
      <c r="F44" s="387"/>
      <c r="G44" s="3357"/>
    </row>
    <row r="45" spans="1:7" s="333" customFormat="1" ht="13.5" customHeight="1">
      <c r="A45" s="351" t="s">
        <v>1074</v>
      </c>
      <c r="B45" s="392" t="s">
        <v>1085</v>
      </c>
      <c r="C45" s="393">
        <f ca="1">C46</f>
        <v>10</v>
      </c>
      <c r="D45" s="379">
        <f ca="1">C47</f>
        <v>3.0000000000000001E-3</v>
      </c>
      <c r="E45" s="380" t="s">
        <v>1106</v>
      </c>
      <c r="F45" s="394">
        <f ca="1">F27</f>
        <v>0.15</v>
      </c>
      <c r="G45" s="395" t="s">
        <v>1109</v>
      </c>
    </row>
    <row r="46" spans="1:7" s="333" customFormat="1" ht="13.5" customHeight="1">
      <c r="A46" s="384" t="s">
        <v>1038</v>
      </c>
      <c r="B46" s="396" t="s">
        <v>1110</v>
      </c>
      <c r="C46" s="397">
        <f ca="1">ROUND((C33+C39)*F27,0)</f>
        <v>10</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379">
        <f>ROUND(F30/(1+'数据-取费表'!C42),4)</f>
        <v>5.33E-2</v>
      </c>
      <c r="D48" s="380" t="s">
        <v>1106</v>
      </c>
      <c r="E48" s="376"/>
      <c r="F48" s="383">
        <f>F30</f>
        <v>5.6000000000000001E-2</v>
      </c>
      <c r="G48" s="381" t="s">
        <v>1112</v>
      </c>
    </row>
    <row r="49" spans="1:7" ht="16.5" customHeight="1">
      <c r="A49" s="351" t="s">
        <v>1089</v>
      </c>
      <c r="B49" s="352" t="s">
        <v>1113</v>
      </c>
      <c r="C49" s="376">
        <f ca="1">ROUND((C33+C39+C41+C45)/(1-C40-D41-D45-C48),0)</f>
        <v>88</v>
      </c>
      <c r="D49" s="376"/>
      <c r="E49" s="376"/>
      <c r="F49" s="411"/>
      <c r="G49" s="381" t="s">
        <v>1114</v>
      </c>
    </row>
    <row r="50" spans="1:7" s="335" customFormat="1" ht="24">
      <c r="A50" s="351" t="s">
        <v>1115</v>
      </c>
      <c r="B50" s="352" t="s">
        <v>1116</v>
      </c>
      <c r="C50" s="376"/>
      <c r="D50" s="376"/>
      <c r="E50" s="376"/>
      <c r="F50" s="411">
        <f>IF('数据-取费表'!B24=0,'数据-取费表'!N16,1)</f>
        <v>0.85</v>
      </c>
      <c r="G50" s="395" t="s">
        <v>1117</v>
      </c>
    </row>
    <row r="51" spans="1:7" ht="16.5" customHeight="1">
      <c r="A51" s="351" t="s">
        <v>1118</v>
      </c>
      <c r="B51" s="352" t="s">
        <v>1119</v>
      </c>
      <c r="C51" s="376">
        <f ca="1">ROUND(C49*F50,0)</f>
        <v>75</v>
      </c>
      <c r="D51" s="376"/>
      <c r="E51" s="376"/>
      <c r="F51" s="411"/>
      <c r="G51" s="381" t="s">
        <v>1120</v>
      </c>
    </row>
    <row r="52" spans="1:7" s="332" customFormat="1" ht="15.75">
      <c r="A52" s="412" t="s">
        <v>1121</v>
      </c>
      <c r="B52" s="413"/>
      <c r="C52" s="414">
        <f ca="1">C31+C51</f>
        <v>36351</v>
      </c>
      <c r="D52" s="413"/>
      <c r="E52" s="413"/>
      <c r="F52" s="413"/>
      <c r="G52" s="415"/>
    </row>
    <row r="55" spans="1:7" ht="15">
      <c r="B55" s="416" t="s">
        <v>1122</v>
      </c>
      <c r="C55" s="417"/>
    </row>
    <row r="56" spans="1:7">
      <c r="B56" s="418" t="s">
        <v>1123</v>
      </c>
      <c r="C56" s="420">
        <f ca="1">1-C57</f>
        <v>0.998</v>
      </c>
    </row>
    <row r="57" spans="1:7">
      <c r="B57" s="418" t="s">
        <v>1124</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73" t="str">
        <f>项目基本情况!B1</f>
        <v>北京市房地产抵押价值预评估</v>
      </c>
      <c r="C37" s="3173"/>
      <c r="D37" s="3173"/>
      <c r="E37" s="3173"/>
      <c r="F37" s="3173"/>
      <c r="G37" s="3173"/>
      <c r="H37" s="3173"/>
      <c r="I37" s="3173"/>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8" sqref="I2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t="e">
        <f ca="1">ROUND(IF(D2="——",C52/10000,C52/10000-E2),4)</f>
        <v>#DIV/0!</v>
      </c>
      <c r="C2" s="342" t="s">
        <v>1030</v>
      </c>
      <c r="D2" s="2208" t="s">
        <v>124</v>
      </c>
      <c r="E2" s="2209" t="e">
        <f ca="1">SUMIF(INDIRECT("'"&amp;G2&amp;"'"&amp;"!A:A"),"承租人权益价值",INDIRECT("'"&amp;G2&amp;"'"&amp;"!c:c"))</f>
        <v>#REF!</v>
      </c>
      <c r="F2" s="2210" t="s">
        <v>1030</v>
      </c>
      <c r="G2" s="2211"/>
    </row>
    <row r="3" spans="1:8" s="331" customFormat="1" ht="18" customHeight="1">
      <c r="A3" s="346" t="s">
        <v>1031</v>
      </c>
      <c r="B3" s="347" t="e">
        <f ca="1">ROUND(B2*10000/(IF(B1="",'数据-汇总表'!E3,INDIRECT("'数据-取费表'!k"&amp;$G$1))),0)</f>
        <v>#DIV/0!</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t="e">
        <f ca="1">C6+C7+C8</f>
        <v>#DIV/0!</v>
      </c>
      <c r="D5" s="353" t="s">
        <v>1036</v>
      </c>
      <c r="E5" s="354" t="s">
        <v>1037</v>
      </c>
      <c r="F5" s="354" t="s">
        <v>934</v>
      </c>
      <c r="G5" s="355"/>
    </row>
    <row r="6" spans="1:8" s="333" customFormat="1" ht="13.5" customHeight="1">
      <c r="A6" s="356" t="s">
        <v>1038</v>
      </c>
      <c r="B6" s="357" t="s">
        <v>1039</v>
      </c>
      <c r="C6" s="358" t="e">
        <f>ROUND(基准地价修正!T6*基准地价修正!U6,0)</f>
        <v>#DIV/0!</v>
      </c>
      <c r="D6" s="359"/>
      <c r="E6" s="360"/>
      <c r="F6" s="360"/>
      <c r="G6" s="361"/>
    </row>
    <row r="7" spans="1:8" s="333" customFormat="1" ht="13.5" customHeight="1">
      <c r="A7" s="356" t="s">
        <v>1040</v>
      </c>
      <c r="B7" s="357" t="s">
        <v>1041</v>
      </c>
      <c r="C7" s="362" t="e">
        <f>ROUND(C6*F7,0)</f>
        <v>#DIV/0!</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26808</v>
      </c>
      <c r="D8" s="364"/>
      <c r="E8" s="362"/>
      <c r="F8" s="363"/>
      <c r="G8" s="2212" t="s">
        <v>2784</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26808</v>
      </c>
      <c r="D10" s="369">
        <f ca="1">IF(B1="",'数据-汇总表'!E6,IF(INDIRECT("'数据-取费表'!c"&amp;$G$1)="住宅",INDIRECT("'数据-取费表'!s"&amp;$G$1),INDIRECT("'数据-取费表'!k"&amp;$G$1)+INDIRECT("'数据-取费表'!s"&amp;$G$1)))</f>
        <v>134.04</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134.04</v>
      </c>
      <c r="E19" s="353">
        <f>'数据-取费表'!B31</f>
        <v>200</v>
      </c>
      <c r="F19" s="375"/>
      <c r="G19" s="2212" t="s">
        <v>2785</v>
      </c>
    </row>
    <row r="20" spans="1:7" s="333" customFormat="1" ht="13.5" customHeight="1">
      <c r="A20" s="351" t="s">
        <v>1067</v>
      </c>
      <c r="B20" s="352" t="s">
        <v>1068</v>
      </c>
      <c r="C20" s="376" t="e">
        <f ca="1">ROUND((C5+C19)*F20,0)</f>
        <v>#DIV/0!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t="e">
        <f ca="1">ROUND(SUM(C23:C25),0)</f>
        <v>#DIV/0!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t="e">
        <f ca="1">ROUND(IF('数据-取费表'!B22&lt;=1,C5*F22*'数据-取费表'!B22,C5*(POWER((1+F22),'数据-取费表'!B22)-1)),0)</f>
        <v>#DIV/0!</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t="e">
        <f ca="1">ROUND(IF('数据-取费表'!B22&lt;=1,C20*F22*'数据-取费表'!B22/2,C20*(POWER((1+F22),'数据-取费表'!B22/2)-1)),0)</f>
        <v>#DIV/0!</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t="e">
        <f ca="1">C28</f>
        <v>#DIV/0!</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t="e">
        <f ca="1">ROUND((C5+C19+C20)*F27,0)</f>
        <v>#DIV/0!</v>
      </c>
      <c r="D28" s="379"/>
      <c r="E28" s="380"/>
      <c r="F28" s="394"/>
      <c r="G28" s="395"/>
    </row>
    <row r="29" spans="1:7" s="333" customFormat="1" ht="13.5" customHeight="1">
      <c r="A29" s="384" t="s">
        <v>1040</v>
      </c>
      <c r="B29" s="396" t="s">
        <v>1088</v>
      </c>
      <c r="C29" s="386">
        <f ca="1">ROUND(C21*F27,4)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t="e">
        <f ca="1">ROUND((C5+C19+C20+C22+C27)/(1-C21-D22-D27-C30),0)</f>
        <v>#DIV/0!</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672211</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603180</v>
      </c>
      <c r="D34" s="359"/>
      <c r="E34" s="362"/>
      <c r="F34" s="405"/>
      <c r="G34" s="361"/>
    </row>
    <row r="35" spans="1:7" ht="13.5" customHeight="1">
      <c r="A35" s="384" t="s">
        <v>1040</v>
      </c>
      <c r="B35" s="357" t="s">
        <v>1098</v>
      </c>
      <c r="C35" s="362">
        <f ca="1">ROUND(C34*F35,0)</f>
        <v>30159</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26808</v>
      </c>
      <c r="D37" s="359">
        <f ca="1">D19</f>
        <v>134.04</v>
      </c>
      <c r="E37" s="397">
        <f>'数据-取费表'!B35</f>
        <v>200</v>
      </c>
      <c r="F37" s="406"/>
      <c r="G37" s="408"/>
    </row>
    <row r="38" spans="1:7" ht="13.5" customHeight="1">
      <c r="A38" s="384" t="s">
        <v>1104</v>
      </c>
      <c r="B38" s="357" t="s">
        <v>970</v>
      </c>
      <c r="C38" s="362">
        <f ca="1">ROUND(C34*F38,0)</f>
        <v>12064</v>
      </c>
      <c r="D38" s="362"/>
      <c r="E38" s="362"/>
      <c r="F38" s="406">
        <f>'数据-取费表'!B36</f>
        <v>0.02</v>
      </c>
      <c r="G38" s="361" t="s">
        <v>1099</v>
      </c>
    </row>
    <row r="39" spans="1:7" s="333" customFormat="1" ht="13.5" customHeight="1">
      <c r="A39" s="351" t="s">
        <v>1065</v>
      </c>
      <c r="B39" s="352" t="s">
        <v>1068</v>
      </c>
      <c r="C39" s="376">
        <f ca="1">ROUND(C33*F20,0)</f>
        <v>20166</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21671</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21040</v>
      </c>
      <c r="D42" s="386"/>
      <c r="E42" s="386"/>
      <c r="F42" s="387"/>
      <c r="G42" s="3355" t="s">
        <v>1128</v>
      </c>
    </row>
    <row r="43" spans="1:7" ht="13.5" customHeight="1">
      <c r="A43" s="384" t="s">
        <v>1040</v>
      </c>
      <c r="B43" s="357" t="s">
        <v>1078</v>
      </c>
      <c r="C43" s="386">
        <f ca="1">ROUND(IF('数据-取费表'!B22&lt;=1,C39*F22*'数据-取费表'!B20/2,C39*(POWER((1+F22),'数据-取费表'!B20/2)-1)),0)</f>
        <v>631</v>
      </c>
      <c r="D43" s="386"/>
      <c r="E43" s="386"/>
      <c r="F43" s="387"/>
      <c r="G43" s="3356"/>
    </row>
    <row r="44" spans="1:7" ht="13.5" customHeight="1">
      <c r="A44" s="384" t="s">
        <v>1042</v>
      </c>
      <c r="B44" s="357" t="s">
        <v>1080</v>
      </c>
      <c r="C44" s="386">
        <f ca="1">ROUND(IF('数据-取费表'!B22&lt;=1,C40*F22*'数据-取费表'!B20/2,C40*(POWER((1+F22),'数据-取费表'!B20/2)-1)),4)</f>
        <v>5.9999999999999995E-4</v>
      </c>
      <c r="D44" s="386"/>
      <c r="E44" s="386"/>
      <c r="F44" s="387"/>
      <c r="G44" s="3357"/>
    </row>
    <row r="45" spans="1:7" s="333" customFormat="1" ht="13.5" customHeight="1">
      <c r="A45" s="351" t="s">
        <v>1074</v>
      </c>
      <c r="B45" s="392" t="s">
        <v>1085</v>
      </c>
      <c r="C45" s="393">
        <f ca="1">C46</f>
        <v>103857</v>
      </c>
      <c r="D45" s="379">
        <f ca="1">C47</f>
        <v>3.0000000000000001E-3</v>
      </c>
      <c r="E45" s="380" t="s">
        <v>1106</v>
      </c>
      <c r="F45" s="394">
        <f ca="1">F27</f>
        <v>0.15</v>
      </c>
      <c r="G45" s="395" t="s">
        <v>1109</v>
      </c>
    </row>
    <row r="46" spans="1:7" s="333" customFormat="1" ht="13.5" customHeight="1">
      <c r="A46" s="384" t="s">
        <v>1038</v>
      </c>
      <c r="B46" s="396" t="s">
        <v>1110</v>
      </c>
      <c r="C46" s="397">
        <f ca="1">ROUND((C33+C39)*F27,0)</f>
        <v>103857</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409">
        <f>ROUND(F30/(1+'数据-取费表'!C42),4)</f>
        <v>5.33E-2</v>
      </c>
      <c r="D48" s="380" t="s">
        <v>1106</v>
      </c>
      <c r="E48" s="376"/>
      <c r="F48" s="383">
        <f>F30</f>
        <v>5.6000000000000001E-2</v>
      </c>
      <c r="G48" s="381" t="s">
        <v>1112</v>
      </c>
    </row>
    <row r="49" spans="1:7" ht="16.5" customHeight="1">
      <c r="A49" s="351" t="s">
        <v>1089</v>
      </c>
      <c r="B49" s="352" t="s">
        <v>1129</v>
      </c>
      <c r="C49" s="376">
        <f ca="1">ROUND((C33+C39+C41+C45)/(1-C40-D41-D45-C48),0)</f>
        <v>886042</v>
      </c>
      <c r="D49" s="376"/>
      <c r="E49" s="376"/>
      <c r="F49" s="411"/>
      <c r="G49" s="381" t="s">
        <v>1114</v>
      </c>
    </row>
    <row r="50" spans="1:7" s="335" customFormat="1">
      <c r="A50" s="351" t="s">
        <v>1115</v>
      </c>
      <c r="B50" s="352" t="s">
        <v>1116</v>
      </c>
      <c r="C50" s="376"/>
      <c r="D50" s="376"/>
      <c r="E50" s="376"/>
      <c r="F50" s="411">
        <f>IF('数据-取费表'!B24=0,'数据-取费表'!N16,1)</f>
        <v>0.85</v>
      </c>
      <c r="G50" s="395"/>
    </row>
    <row r="51" spans="1:7" ht="16.5" customHeight="1">
      <c r="A51" s="351" t="s">
        <v>1118</v>
      </c>
      <c r="B51" s="352" t="s">
        <v>1130</v>
      </c>
      <c r="C51" s="376">
        <f ca="1">ROUND(C49*F50,0)</f>
        <v>753136</v>
      </c>
      <c r="D51" s="376"/>
      <c r="E51" s="376"/>
      <c r="F51" s="411"/>
      <c r="G51" s="381" t="s">
        <v>1120</v>
      </c>
    </row>
    <row r="52" spans="1:7" s="332" customFormat="1" ht="15.75">
      <c r="A52" s="412" t="s">
        <v>1121</v>
      </c>
      <c r="B52" s="413"/>
      <c r="C52" s="414" t="e">
        <f ca="1">C31+C51</f>
        <v>#DIV/0!</v>
      </c>
      <c r="D52" s="413"/>
      <c r="E52" s="413"/>
      <c r="F52" s="413"/>
      <c r="G52" s="415"/>
    </row>
    <row r="55" spans="1:7" ht="15">
      <c r="B55" s="416" t="s">
        <v>1122</v>
      </c>
      <c r="C55" s="417"/>
    </row>
    <row r="56" spans="1:7">
      <c r="B56" s="418" t="s">
        <v>1123</v>
      </c>
      <c r="C56" s="420" t="e">
        <f ca="1">1-C57</f>
        <v>#DIV/0!</v>
      </c>
    </row>
    <row r="57" spans="1:7">
      <c r="B57" s="418" t="s">
        <v>1124</v>
      </c>
      <c r="C57" s="419" t="e">
        <f ca="1">ROUND(C51/C52,3)</f>
        <v>#DIV/0!</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0" customWidth="1"/>
    <col min="3" max="3" width="10.375" style="2121" customWidth="1"/>
    <col min="4" max="4" width="9.875" style="2120" customWidth="1"/>
    <col min="5" max="5" width="9.5" style="987"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39" t="s">
        <v>1131</v>
      </c>
      <c r="B1" s="939"/>
      <c r="C1" s="2122"/>
      <c r="D1" s="2123"/>
      <c r="E1" s="2124"/>
      <c r="F1" s="2124"/>
      <c r="G1" s="2125"/>
      <c r="H1" s="2124"/>
      <c r="I1" s="2124"/>
      <c r="J1" s="2124"/>
      <c r="K1" s="2192">
        <f>MATCH(C1,'数据-取费表'!A6:A16,0)+5</f>
        <v>7</v>
      </c>
    </row>
    <row r="2" spans="1:33" ht="18" customHeight="1">
      <c r="A2" s="343" t="s">
        <v>1029</v>
      </c>
      <c r="B2" s="347">
        <f ca="1">C32</f>
        <v>30855</v>
      </c>
      <c r="C2" s="2126" t="s">
        <v>1132</v>
      </c>
      <c r="D2" s="2126"/>
      <c r="E2" s="2124"/>
      <c r="F2" s="2124"/>
      <c r="G2" s="2124"/>
      <c r="H2" s="2124"/>
      <c r="I2" s="2124"/>
      <c r="J2" s="2124"/>
      <c r="K2" s="2124"/>
    </row>
    <row r="3" spans="1:33" ht="18" customHeight="1">
      <c r="A3" s="346" t="s">
        <v>1031</v>
      </c>
      <c r="B3" s="347">
        <f ca="1">ROUND(B2*10000/IF(C1="",'数据-汇总表'!E3,INDIRECT("'数据-取费表'!K"&amp;$K$1)),0)</f>
        <v>2301925</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5">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0.05</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134.04</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134.04</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-26805</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3</v>
      </c>
      <c r="D20" s="2149">
        <f ca="1">IF(C1="",'数据-汇总表'!E6,IF(INDIRECT("'数据-取费表'!c"&amp;$K$1)="住宅",INDIRECT("'数据-取费表'!s"&amp;$K$1),INDIRECT("'数据-取费表'!k"&amp;$K$1)+INDIRECT("'数据-取费表'!s"&amp;$K$1)))</f>
        <v>134.04</v>
      </c>
      <c r="E20" s="950">
        <f>'数据-取费表'!B28</f>
        <v>200</v>
      </c>
      <c r="F20" s="2150"/>
      <c r="G20" s="1998"/>
      <c r="H20" s="2157"/>
      <c r="I20" s="2157"/>
      <c r="J20" s="2157"/>
      <c r="K20" s="2200"/>
    </row>
    <row r="21" spans="1:33" s="2115" customFormat="1" ht="13.5" customHeight="1">
      <c r="A21" s="2133" t="s">
        <v>939</v>
      </c>
      <c r="B21" s="2158" t="s">
        <v>1163</v>
      </c>
      <c r="C21" s="2159">
        <f ca="1">C16+C17+C18</f>
        <v>-26805</v>
      </c>
      <c r="D21" s="2160"/>
      <c r="E21" s="2161"/>
      <c r="F21" s="2161"/>
      <c r="G21" s="1888" t="s">
        <v>1164</v>
      </c>
      <c r="H21" s="1999"/>
      <c r="I21" s="1999"/>
      <c r="J21" s="1999"/>
      <c r="K21" s="2000"/>
    </row>
    <row r="22" spans="1:33" s="2115" customFormat="1" ht="13.5" customHeight="1">
      <c r="A22" s="2133" t="s">
        <v>943</v>
      </c>
      <c r="B22" s="2158" t="s">
        <v>1165</v>
      </c>
      <c r="C22" s="2159">
        <f ca="1">ROUND(C21*F22,0)</f>
        <v>-804</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-4141</v>
      </c>
      <c r="D28" s="2163">
        <f ca="1">C29</f>
        <v>0</v>
      </c>
      <c r="E28" s="2166" t="s">
        <v>1170</v>
      </c>
      <c r="F28" s="1234">
        <f ca="1">IF(C1="",'数据-取费表'!Q16,INDIRECT("'数据-取费表'!q"&amp;$K$1))</f>
        <v>0.15</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-4141</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5.6000000000000001E-2</v>
      </c>
      <c r="G31" s="2187" t="s">
        <v>1181</v>
      </c>
      <c r="H31" s="2188"/>
      <c r="I31" s="2188"/>
      <c r="J31" s="2188"/>
      <c r="K31" s="2202"/>
    </row>
    <row r="32" spans="1:33" s="2114" customFormat="1" ht="13.5" customHeight="1">
      <c r="A32" s="1236" t="s">
        <v>1182</v>
      </c>
      <c r="B32" s="2189"/>
      <c r="C32" s="2190">
        <f ca="1">ROUND((C4-C21-C22-C23-C25-C28-C31)/(1+C24+D25+D28),0)</f>
        <v>30855</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ROUND(F6*F8*F7*(1-F9)/10000,0)</f>
        <v>0</v>
      </c>
      <c r="D6" s="1847" t="s">
        <v>1199</v>
      </c>
      <c r="E6" s="1848" t="s">
        <v>1200</v>
      </c>
      <c r="F6" s="1849">
        <f ca="1">INDIRECT("'数据-取费表'!u"&amp;$G$1)</f>
        <v>0</v>
      </c>
      <c r="G6" s="718"/>
      <c r="H6" s="1845" t="s">
        <v>939</v>
      </c>
      <c r="I6" s="3360" t="s">
        <v>1198</v>
      </c>
      <c r="J6" s="1919">
        <f ca="1">ROUND(M6*M8*M7*(1-M9)/10000,0)</f>
        <v>0</v>
      </c>
      <c r="K6" s="1847" t="s">
        <v>1201</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0</v>
      </c>
      <c r="G7" s="718"/>
      <c r="H7" s="1854"/>
      <c r="I7" s="3361"/>
      <c r="J7" s="1855"/>
      <c r="K7" s="1852"/>
      <c r="L7" s="1848" t="s">
        <v>1202</v>
      </c>
      <c r="M7" s="1849">
        <f ca="1">F7</f>
        <v>0</v>
      </c>
    </row>
    <row r="8" spans="1:37" ht="18" customHeight="1">
      <c r="A8" s="1854"/>
      <c r="B8" s="3361"/>
      <c r="C8" s="1855"/>
      <c r="D8" s="1852"/>
      <c r="E8" s="1848" t="s">
        <v>1203</v>
      </c>
      <c r="F8" s="1849">
        <f ca="1">INDIRECT("'数据-取费表'!ai"&amp;$G$1)</f>
        <v>0</v>
      </c>
      <c r="G8" s="718"/>
      <c r="H8" s="1854"/>
      <c r="I8" s="3361"/>
      <c r="J8" s="1855"/>
      <c r="K8" s="1852"/>
      <c r="L8" s="1848" t="s">
        <v>1203</v>
      </c>
      <c r="M8" s="1849">
        <f ca="1">INDIRECT("'数据-取费表'!ai"&amp;$G$1)</f>
        <v>0</v>
      </c>
    </row>
    <row r="9" spans="1:37" ht="18" customHeight="1">
      <c r="A9" s="1854"/>
      <c r="B9" s="3362"/>
      <c r="C9" s="1855"/>
      <c r="D9" s="1852"/>
      <c r="E9" s="1848" t="s">
        <v>1204</v>
      </c>
      <c r="F9" s="1856">
        <f ca="1">INDIRECT("'数据-取费表'!w"&amp;$G$1)</f>
        <v>0</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f ca="1">IF(项目基本情况!B11="企业","——",IF(M47="住宅",IF(F6*F7*F8/12/(1+'数据-取费表'!F30)&gt;100000,4%,2.5%),IF(F6*F7*F8/12/(1+'数据-取费表'!F30)&gt;100000,12%,7%)))</f>
        <v>7.0000000000000007E-2</v>
      </c>
      <c r="G31" s="718"/>
      <c r="H31" s="1903" t="s">
        <v>1278</v>
      </c>
      <c r="I31" s="2005"/>
      <c r="J31" s="2006"/>
      <c r="K31" s="939"/>
      <c r="L31" s="2007"/>
      <c r="M31" s="2008"/>
    </row>
    <row r="32" spans="1:37" ht="18" customHeight="1">
      <c r="A32" s="1877" t="s">
        <v>962</v>
      </c>
      <c r="B32" s="1848" t="s">
        <v>1230</v>
      </c>
      <c r="C32" s="950" t="str">
        <f>IF(项目基本情况!B11="自然人","——",ROUND(C6*F32/(1+'数据-取费表'!C42),2))</f>
        <v>——</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t="str">
        <f ca="1">IF(项目基本情况!B11="自然人","——",IF(D33="按租金收入计税",ROUND(C6*F33/(1+'数据-取费表'!C42),2),IF(D33="按房产原值计税",ROUND(C29*F33*0.7,2),INDIRECT("'数据-取费表'!Aj"&amp;$G$1))))</f>
        <v>——</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t="str">
        <f>IF(项目基本情况!B11="自然人","——",ROUND(F34*F35/10000,2))</f>
        <v>——</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27.75">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24">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58" t="s">
        <v>1322</v>
      </c>
      <c r="L53" s="3359"/>
      <c r="O53" s="2026" t="s">
        <v>1147</v>
      </c>
      <c r="P53" s="2027" t="s">
        <v>1323</v>
      </c>
      <c r="Q53" s="2063" t="e">
        <f ca="1">Q47+Q48</f>
        <v>#DIV/0!</v>
      </c>
      <c r="R53" s="2063" t="s">
        <v>1324</v>
      </c>
    </row>
    <row r="54" spans="1:18" s="718" customFormat="1">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24">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f ca="1">IF(项目基本情况!B11="企业","——",IF('数据-取费表'!B10="住宅",IF(F49*F50*F51/12/(1+'数据-取费表'!F30)&gt;100000,4%,2.5%),IF(F49*F50*F51/12/(1+'数据-取费表'!F30)&gt;100000,12%,7%)))</f>
        <v>7.0000000000000007E-2</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t="str">
        <f>IF(项目基本情况!B11="自然人","——",ROUND(C48*F60/(1+'数据-取费表'!C42),2))</f>
        <v>——</v>
      </c>
      <c r="D60" s="1978" t="s">
        <v>1231</v>
      </c>
      <c r="E60" s="1970" t="s">
        <v>1218</v>
      </c>
      <c r="F60" s="1892">
        <f t="shared" ref="F60:F66" si="0">F32</f>
        <v>5.6000000000000001E-2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t="str">
        <f ca="1">IF(项目基本情况!B11="自然人","——",IF(D61="按租金收入计税",ROUND(C49*F61/(1+'数据-取费表'!C42),2),IF(D61="按房产原值计税",ROUND(C57*F61*0.7,2),INDIRECT("'数据-取费表'!Aj"&amp;$G$1))))</f>
        <v>——</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t="str">
        <f>IF(项目基本情况!B11="自然人","——",ROUND(F62*F63/10000,2))</f>
        <v>——</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75">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15.75">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75">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6" zoomScale="85" zoomScaleNormal="70" zoomScaleSheetLayoutView="85" workbookViewId="0">
      <selection activeCell="C21" sqref="C21"/>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274.03140000000002</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20444</v>
      </c>
      <c r="C3" s="1376" t="s">
        <v>1377</v>
      </c>
      <c r="D3" s="1377">
        <f>IF(D1="",'数据-汇总表'!E3,SUMIF('数据-汇总表'!$C19:$C33,D1,'数据-汇总表'!$E19:$E33))</f>
        <v>134.04</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398" t="s">
        <v>1384</v>
      </c>
      <c r="Q4" s="3399"/>
      <c r="R4" s="3404" t="s">
        <v>1380</v>
      </c>
      <c r="S4" s="3405"/>
      <c r="T4" s="3404" t="s">
        <v>1381</v>
      </c>
      <c r="U4" s="3405"/>
      <c r="V4" s="3410" t="s">
        <v>1382</v>
      </c>
      <c r="W4" s="3410"/>
      <c r="X4" s="2095"/>
      <c r="Y4" s="3404" t="s">
        <v>1384</v>
      </c>
      <c r="Z4" s="3405"/>
      <c r="AA4" s="3392" t="s">
        <v>1380</v>
      </c>
      <c r="AB4" s="3392" t="s">
        <v>1381</v>
      </c>
      <c r="AC4" s="3395" t="s">
        <v>1382</v>
      </c>
    </row>
    <row r="5" spans="1:29" ht="15">
      <c r="A5" s="1029"/>
      <c r="B5" s="1030"/>
      <c r="C5" s="3367" t="s">
        <v>2803</v>
      </c>
      <c r="D5" s="3368"/>
      <c r="E5" s="3367" t="s">
        <v>2803</v>
      </c>
      <c r="F5" s="3368"/>
      <c r="G5" s="3367" t="s">
        <v>2803</v>
      </c>
      <c r="H5" s="3368"/>
      <c r="I5" s="3367" t="s">
        <v>2803</v>
      </c>
      <c r="J5" s="3368"/>
      <c r="K5" s="1171"/>
      <c r="L5" s="1172"/>
      <c r="M5" s="1122"/>
      <c r="N5" s="1122"/>
      <c r="O5" s="1122"/>
      <c r="P5" s="3400"/>
      <c r="Q5" s="3401"/>
      <c r="R5" s="3406"/>
      <c r="S5" s="3407"/>
      <c r="T5" s="3406"/>
      <c r="U5" s="3407"/>
      <c r="V5" s="3379"/>
      <c r="W5" s="3379"/>
      <c r="X5" s="1214"/>
      <c r="Y5" s="3406"/>
      <c r="Z5" s="3407"/>
      <c r="AA5" s="3393"/>
      <c r="AB5" s="3393"/>
      <c r="AC5" s="3396"/>
    </row>
    <row r="6" spans="1:29" ht="15">
      <c r="A6" s="1031"/>
      <c r="B6" s="1032"/>
      <c r="C6" s="3369" t="s">
        <v>1389</v>
      </c>
      <c r="D6" s="3370"/>
      <c r="E6" s="3371" t="s">
        <v>1389</v>
      </c>
      <c r="F6" s="3372"/>
      <c r="G6" s="3369" t="s">
        <v>1389</v>
      </c>
      <c r="H6" s="3370"/>
      <c r="I6" s="3369" t="s">
        <v>1389</v>
      </c>
      <c r="J6" s="3370"/>
      <c r="K6" s="1171" t="s">
        <v>1390</v>
      </c>
      <c r="L6" s="1172"/>
      <c r="M6" s="1122"/>
      <c r="N6" s="1122"/>
      <c r="O6" s="1122"/>
      <c r="P6" s="3402"/>
      <c r="Q6" s="3403"/>
      <c r="R6" s="3406"/>
      <c r="S6" s="3407"/>
      <c r="T6" s="3408"/>
      <c r="U6" s="3409"/>
      <c r="V6" s="3379"/>
      <c r="W6" s="3379"/>
      <c r="X6" s="1214"/>
      <c r="Y6" s="3408"/>
      <c r="Z6" s="3409"/>
      <c r="AA6" s="3394"/>
      <c r="AB6" s="3394"/>
      <c r="AC6" s="3397"/>
    </row>
    <row r="7" spans="1:29" s="1008" customFormat="1" ht="15">
      <c r="A7" s="1033" t="s">
        <v>1391</v>
      </c>
      <c r="B7" s="1034"/>
      <c r="C7" s="1035">
        <f>'数据-取费表'!B2</f>
        <v>45973</v>
      </c>
      <c r="D7" s="1036">
        <v>100</v>
      </c>
      <c r="E7" s="1037">
        <v>45962</v>
      </c>
      <c r="F7" s="1038">
        <f>SUMIF(59:59,YEAR(E7)&amp;"-"&amp;MONTH(E7),60:60)</f>
        <v>100</v>
      </c>
      <c r="G7" s="1037">
        <v>45962</v>
      </c>
      <c r="H7" s="1036">
        <f>SUMIF(59:59,YEAR(G7)&amp;"-"&amp;MONTH(G7),60:60)</f>
        <v>100</v>
      </c>
      <c r="I7" s="1037">
        <v>45962</v>
      </c>
      <c r="J7" s="1036">
        <f>SUMIF(59:59,YEAR(I7)&amp;"-"&amp;MONTH(I7),60:60)</f>
        <v>100</v>
      </c>
      <c r="K7" s="1173"/>
      <c r="L7" s="1174"/>
      <c r="M7" s="1175"/>
      <c r="N7" s="1175"/>
      <c r="O7" s="1175"/>
      <c r="P7" s="3373" t="s">
        <v>1392</v>
      </c>
      <c r="Q7" s="3374"/>
      <c r="R7" s="1215" t="s">
        <v>1393</v>
      </c>
      <c r="S7" s="1216">
        <f t="shared" ref="S7:S15" si="0">F7</f>
        <v>100</v>
      </c>
      <c r="T7" s="1215" t="s">
        <v>1393</v>
      </c>
      <c r="U7" s="1216">
        <f t="shared" ref="U7:U15" si="1">H7</f>
        <v>100</v>
      </c>
      <c r="V7" s="1215" t="s">
        <v>1393</v>
      </c>
      <c r="W7" s="1216">
        <f t="shared" ref="W7:W15" si="2">J7</f>
        <v>100</v>
      </c>
      <c r="X7" s="1217"/>
      <c r="Y7" s="3375" t="s">
        <v>1392</v>
      </c>
      <c r="Z7" s="3376"/>
      <c r="AA7" s="1227">
        <f>D7/F7</f>
        <v>1</v>
      </c>
      <c r="AB7" s="1227">
        <f>D7/H7</f>
        <v>1</v>
      </c>
      <c r="AC7" s="2096">
        <f>D7/J7</f>
        <v>1</v>
      </c>
    </row>
    <row r="8" spans="1:29" s="1008" customFormat="1" ht="15">
      <c r="A8" s="1033" t="s">
        <v>1394</v>
      </c>
      <c r="B8" s="1034"/>
      <c r="C8" s="1040" t="s">
        <v>1395</v>
      </c>
      <c r="D8" s="1036">
        <v>100</v>
      </c>
      <c r="E8" s="1040" t="s">
        <v>1396</v>
      </c>
      <c r="F8" s="1038">
        <f>SUMIF(62:62,E8,63:63)-SUMIF(62:62,C8,63:63)+100</f>
        <v>106</v>
      </c>
      <c r="G8" s="1040" t="s">
        <v>1396</v>
      </c>
      <c r="H8" s="1036">
        <f>SUMIF(62:62,G8,63:63)-SUMIF(62:62,C8,63:63)+100</f>
        <v>106</v>
      </c>
      <c r="I8" s="1040" t="s">
        <v>1396</v>
      </c>
      <c r="J8" s="1036">
        <f>SUMIF(62:62,I8,63:63)-SUMIF(62:62,C8,63:63)+100</f>
        <v>106</v>
      </c>
      <c r="K8" s="1173"/>
      <c r="L8" s="1174"/>
      <c r="M8" s="1175"/>
      <c r="N8" s="1175"/>
      <c r="O8" s="1175"/>
      <c r="P8" s="3373" t="s">
        <v>1397</v>
      </c>
      <c r="Q8" s="3376"/>
      <c r="R8" s="1215" t="s">
        <v>1393</v>
      </c>
      <c r="S8" s="1216">
        <f t="shared" si="0"/>
        <v>106</v>
      </c>
      <c r="T8" s="1215" t="s">
        <v>1393</v>
      </c>
      <c r="U8" s="1216">
        <f t="shared" si="1"/>
        <v>106</v>
      </c>
      <c r="V8" s="1215" t="s">
        <v>1393</v>
      </c>
      <c r="W8" s="1216">
        <f t="shared" si="2"/>
        <v>106</v>
      </c>
      <c r="X8" s="1217"/>
      <c r="Y8" s="3375" t="s">
        <v>1397</v>
      </c>
      <c r="Z8" s="3376"/>
      <c r="AA8" s="1227">
        <f t="shared" ref="AA8:AA47" si="3">D8/F8</f>
        <v>0.94339622641509435</v>
      </c>
      <c r="AB8" s="1227">
        <f t="shared" ref="AB8:AB47" si="4">D8/H8</f>
        <v>0.94339622641509435</v>
      </c>
      <c r="AC8" s="2096">
        <f t="shared" ref="AC8:AC47" si="5">D8/J8</f>
        <v>0.94339622641509435</v>
      </c>
    </row>
    <row r="9" spans="1:29" s="1008" customFormat="1">
      <c r="A9" s="1041" t="s">
        <v>1398</v>
      </c>
      <c r="B9" s="1042" t="s">
        <v>1399</v>
      </c>
      <c r="C9" s="2088" t="s">
        <v>2789</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77"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2096">
        <f t="shared" si="5"/>
        <v>1</v>
      </c>
    </row>
    <row r="10" spans="1:29" s="1009" customFormat="1" ht="27">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77"/>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77"/>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77"/>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77"/>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77"/>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80" t="s">
        <v>1406</v>
      </c>
      <c r="Q15" s="625" t="str">
        <f t="shared" si="6"/>
        <v>办公集聚程度</v>
      </c>
      <c r="R15" s="1219" t="s">
        <v>1393</v>
      </c>
      <c r="S15" s="1220">
        <f t="shared" si="0"/>
        <v>100</v>
      </c>
      <c r="T15" s="1219" t="s">
        <v>1393</v>
      </c>
      <c r="U15" s="1220">
        <f t="shared" si="1"/>
        <v>100</v>
      </c>
      <c r="V15" s="1219" t="s">
        <v>1393</v>
      </c>
      <c r="W15" s="1220">
        <f t="shared" si="2"/>
        <v>100</v>
      </c>
      <c r="X15" s="1214"/>
      <c r="Y15" s="3385"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81"/>
      <c r="Q16" s="625"/>
      <c r="R16" s="1219"/>
      <c r="S16" s="1220"/>
      <c r="T16" s="1219"/>
      <c r="U16" s="1220"/>
      <c r="V16" s="1219"/>
      <c r="W16" s="1220"/>
      <c r="X16" s="1214"/>
      <c r="Y16" s="3386"/>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81"/>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81"/>
      <c r="Q18" s="625"/>
      <c r="R18" s="1219"/>
      <c r="S18" s="1220"/>
      <c r="T18" s="1219"/>
      <c r="U18" s="1220"/>
      <c r="V18" s="1219"/>
      <c r="W18" s="1220"/>
      <c r="X18" s="1214"/>
      <c r="Y18" s="3386"/>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81"/>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81"/>
      <c r="Q20" s="625"/>
      <c r="R20" s="1219"/>
      <c r="S20" s="1220"/>
      <c r="T20" s="1219"/>
      <c r="U20" s="1220"/>
      <c r="V20" s="1219"/>
      <c r="W20" s="1220"/>
      <c r="X20" s="1214"/>
      <c r="Y20" s="3386"/>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81"/>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81"/>
      <c r="Q22" s="625"/>
      <c r="R22" s="1219"/>
      <c r="S22" s="1220"/>
      <c r="T22" s="1219"/>
      <c r="U22" s="1220"/>
      <c r="V22" s="1219"/>
      <c r="W22" s="1220"/>
      <c r="X22" s="1214"/>
      <c r="Y22" s="3386"/>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81"/>
      <c r="Q23" s="625" t="str">
        <f>B23</f>
        <v>环境质量</v>
      </c>
      <c r="R23" s="1219" t="s">
        <v>1393</v>
      </c>
      <c r="S23" s="1220">
        <f>F23</f>
        <v>100</v>
      </c>
      <c r="T23" s="1219" t="s">
        <v>1393</v>
      </c>
      <c r="U23" s="1220">
        <f>H23</f>
        <v>100</v>
      </c>
      <c r="V23" s="1219" t="s">
        <v>1393</v>
      </c>
      <c r="W23" s="1220">
        <f>J23</f>
        <v>100</v>
      </c>
      <c r="X23" s="1214"/>
      <c r="Y23" s="3386"/>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81"/>
      <c r="Q24" s="625"/>
      <c r="R24" s="1219"/>
      <c r="S24" s="1220"/>
      <c r="T24" s="1219"/>
      <c r="U24" s="1220"/>
      <c r="V24" s="1219"/>
      <c r="W24" s="1220"/>
      <c r="X24" s="1214"/>
      <c r="Y24" s="3386"/>
      <c r="Z24" s="1204"/>
      <c r="AA24" s="1204">
        <v>1</v>
      </c>
      <c r="AB24" s="1204">
        <v>1</v>
      </c>
      <c r="AC24" s="2097">
        <v>1</v>
      </c>
    </row>
    <row r="25" spans="1:29" ht="27">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81"/>
      <c r="Q25" s="625" t="str">
        <f>B25</f>
        <v>毗邻道路的类型与等级</v>
      </c>
      <c r="R25" s="1219" t="s">
        <v>1393</v>
      </c>
      <c r="S25" s="1220">
        <f>F25</f>
        <v>100</v>
      </c>
      <c r="T25" s="1219" t="s">
        <v>1393</v>
      </c>
      <c r="U25" s="1220">
        <f>H25</f>
        <v>100</v>
      </c>
      <c r="V25" s="1219" t="s">
        <v>1393</v>
      </c>
      <c r="W25" s="1220">
        <f>J25</f>
        <v>100</v>
      </c>
      <c r="X25" s="1214"/>
      <c r="Y25" s="3386"/>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81"/>
      <c r="Q26" s="625"/>
      <c r="R26" s="1219"/>
      <c r="S26" s="1220"/>
      <c r="T26" s="1219"/>
      <c r="U26" s="1220"/>
      <c r="V26" s="1219"/>
      <c r="W26" s="1220"/>
      <c r="X26" s="1214"/>
      <c r="Y26" s="3386"/>
      <c r="Z26" s="1204"/>
      <c r="AA26" s="1204">
        <v>1</v>
      </c>
      <c r="AB26" s="1204">
        <v>1</v>
      </c>
      <c r="AC26" s="2097">
        <v>1</v>
      </c>
    </row>
    <row r="27" spans="1:29" ht="15">
      <c r="A27" s="1049"/>
      <c r="B27" s="1076" t="s">
        <v>1413</v>
      </c>
      <c r="C27" s="1083" t="s">
        <v>1416</v>
      </c>
      <c r="D27" s="759">
        <v>100</v>
      </c>
      <c r="E27" s="1083" t="s">
        <v>1415</v>
      </c>
      <c r="F27" s="759">
        <f>SUMIF(89:89,E27,90:90)-SUMIF(89:89,C27,90:90)+100</f>
        <v>97</v>
      </c>
      <c r="G27" s="1083" t="s">
        <v>1416</v>
      </c>
      <c r="H27" s="759">
        <f>SUMIF(89:89,G27,90:90)-SUMIF(89:89,C27,90:90)+100</f>
        <v>100</v>
      </c>
      <c r="I27" s="1083" t="s">
        <v>1416</v>
      </c>
      <c r="J27" s="759">
        <f>SUMIF(89:89,I27,90:90)-SUMIF(89:89,C27,90:90)+100</f>
        <v>100</v>
      </c>
      <c r="K27" s="1190">
        <v>3</v>
      </c>
      <c r="L27" s="1184"/>
      <c r="M27" s="1122"/>
      <c r="N27" s="1122"/>
      <c r="O27" s="1122"/>
      <c r="P27" s="3381"/>
      <c r="Q27" s="625" t="str">
        <f t="shared" ref="Q27:Q47" si="11">B27</f>
        <v>楼层</v>
      </c>
      <c r="R27" s="1219" t="s">
        <v>1393</v>
      </c>
      <c r="S27" s="1220">
        <f>F27</f>
        <v>97</v>
      </c>
      <c r="T27" s="1219" t="s">
        <v>1393</v>
      </c>
      <c r="U27" s="1220">
        <f>H27</f>
        <v>100</v>
      </c>
      <c r="V27" s="1219" t="s">
        <v>1393</v>
      </c>
      <c r="W27" s="1220">
        <f>J27</f>
        <v>100</v>
      </c>
      <c r="X27" s="1214"/>
      <c r="Y27" s="3386"/>
      <c r="Z27" s="1204" t="str">
        <f>Q27</f>
        <v>楼层</v>
      </c>
      <c r="AA27" s="1204">
        <f t="shared" si="3"/>
        <v>1.0309278350515463</v>
      </c>
      <c r="AB27" s="1204">
        <f t="shared" si="4"/>
        <v>1</v>
      </c>
      <c r="AC27" s="2097">
        <f t="shared" si="5"/>
        <v>1</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81"/>
      <c r="Q28" s="794" t="str">
        <f t="shared" si="11"/>
        <v>朝向</v>
      </c>
      <c r="R28" s="1215" t="s">
        <v>1393</v>
      </c>
      <c r="S28" s="1216">
        <f>F28</f>
        <v>100</v>
      </c>
      <c r="T28" s="1215" t="s">
        <v>1393</v>
      </c>
      <c r="U28" s="1216">
        <f>H28</f>
        <v>100</v>
      </c>
      <c r="V28" s="1215" t="s">
        <v>1393</v>
      </c>
      <c r="W28" s="1216">
        <f>J28</f>
        <v>100</v>
      </c>
      <c r="X28" s="1217"/>
      <c r="Y28" s="3386"/>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81"/>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86"/>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81"/>
      <c r="Q30" s="625">
        <f t="shared" si="11"/>
        <v>111</v>
      </c>
      <c r="R30" s="1219" t="s">
        <v>1393</v>
      </c>
      <c r="S30" s="1220">
        <f t="shared" si="12"/>
        <v>100</v>
      </c>
      <c r="T30" s="1219" t="s">
        <v>1393</v>
      </c>
      <c r="U30" s="1220">
        <f t="shared" si="13"/>
        <v>100</v>
      </c>
      <c r="V30" s="1219" t="s">
        <v>1393</v>
      </c>
      <c r="W30" s="1220">
        <f t="shared" si="14"/>
        <v>100</v>
      </c>
      <c r="X30" s="1214"/>
      <c r="Y30" s="3386"/>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81"/>
      <c r="Q31" s="625">
        <f t="shared" si="11"/>
        <v>111</v>
      </c>
      <c r="R31" s="1219" t="s">
        <v>1393</v>
      </c>
      <c r="S31" s="1220">
        <f t="shared" si="12"/>
        <v>100</v>
      </c>
      <c r="T31" s="1219" t="s">
        <v>1393</v>
      </c>
      <c r="U31" s="1220">
        <f t="shared" si="13"/>
        <v>100</v>
      </c>
      <c r="V31" s="1219" t="s">
        <v>1393</v>
      </c>
      <c r="W31" s="1220">
        <f t="shared" si="14"/>
        <v>100</v>
      </c>
      <c r="X31" s="1214"/>
      <c r="Y31" s="3386"/>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81"/>
      <c r="Q32" s="625">
        <f t="shared" si="11"/>
        <v>111</v>
      </c>
      <c r="R32" s="1219" t="s">
        <v>1393</v>
      </c>
      <c r="S32" s="1220">
        <f t="shared" si="12"/>
        <v>100</v>
      </c>
      <c r="T32" s="1219" t="s">
        <v>1393</v>
      </c>
      <c r="U32" s="1220">
        <f t="shared" si="13"/>
        <v>100</v>
      </c>
      <c r="V32" s="1219" t="s">
        <v>1393</v>
      </c>
      <c r="W32" s="1220">
        <f t="shared" si="14"/>
        <v>100</v>
      </c>
      <c r="X32" s="1214"/>
      <c r="Y32" s="3386"/>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82" t="s">
        <v>1421</v>
      </c>
      <c r="Q33" s="625" t="str">
        <f t="shared" si="11"/>
        <v>建筑类型</v>
      </c>
      <c r="R33" s="1219" t="s">
        <v>1393</v>
      </c>
      <c r="S33" s="1220">
        <f t="shared" si="12"/>
        <v>100</v>
      </c>
      <c r="T33" s="1219" t="s">
        <v>1393</v>
      </c>
      <c r="U33" s="1220">
        <f t="shared" si="13"/>
        <v>100</v>
      </c>
      <c r="V33" s="1219" t="s">
        <v>1393</v>
      </c>
      <c r="W33" s="1220">
        <f t="shared" si="14"/>
        <v>100</v>
      </c>
      <c r="X33" s="1214"/>
      <c r="Y33" s="3387"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134.04</v>
      </c>
      <c r="D34" s="1048">
        <v>100</v>
      </c>
      <c r="E34" s="1381">
        <v>249.04</v>
      </c>
      <c r="F34" s="1046">
        <f>LOOKUP(E34,104:104,105:105)-LOOKUP(C34,104:104,105:105)+100</f>
        <v>100</v>
      </c>
      <c r="G34" s="1381">
        <v>150.54</v>
      </c>
      <c r="H34" s="1048">
        <f>LOOKUP(G34,104:104,105:105)-LOOKUP(C34,104:104,105:105)+100</f>
        <v>100</v>
      </c>
      <c r="I34" s="1381">
        <v>119.85</v>
      </c>
      <c r="J34" s="1048">
        <f>LOOKUP(I34,104:104,105:105)-LOOKUP(C34,104:104,105:105)+100</f>
        <v>100</v>
      </c>
      <c r="K34" s="1189"/>
      <c r="L34" s="1182"/>
      <c r="M34" s="1191"/>
      <c r="N34" s="1191"/>
      <c r="O34" s="1191"/>
      <c r="P34" s="3383"/>
      <c r="Q34" s="1415" t="str">
        <f t="shared" si="11"/>
        <v>项目建筑规模</v>
      </c>
      <c r="R34" s="1221" t="s">
        <v>1393</v>
      </c>
      <c r="S34" s="1222">
        <f t="shared" si="12"/>
        <v>100</v>
      </c>
      <c r="T34" s="1221" t="s">
        <v>1393</v>
      </c>
      <c r="U34" s="1222">
        <f t="shared" si="13"/>
        <v>100</v>
      </c>
      <c r="V34" s="1221" t="s">
        <v>1393</v>
      </c>
      <c r="W34" s="1222">
        <f t="shared" si="14"/>
        <v>100</v>
      </c>
      <c r="X34" s="1223"/>
      <c r="Y34" s="3387"/>
      <c r="Z34" s="1228" t="str">
        <f t="shared" si="15"/>
        <v>项目建筑规模</v>
      </c>
      <c r="AA34" s="1204">
        <f t="shared" si="3"/>
        <v>1</v>
      </c>
      <c r="AB34" s="1204">
        <f t="shared" si="4"/>
        <v>1</v>
      </c>
      <c r="AC34" s="2097">
        <f t="shared" si="5"/>
        <v>1</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83"/>
      <c r="Q35" s="625" t="str">
        <f t="shared" si="11"/>
        <v>建筑结构</v>
      </c>
      <c r="R35" s="1219" t="s">
        <v>1393</v>
      </c>
      <c r="S35" s="1220">
        <f t="shared" si="12"/>
        <v>100</v>
      </c>
      <c r="T35" s="1219" t="s">
        <v>1393</v>
      </c>
      <c r="U35" s="1220">
        <f t="shared" si="13"/>
        <v>100</v>
      </c>
      <c r="V35" s="1219" t="s">
        <v>1393</v>
      </c>
      <c r="W35" s="1220">
        <f t="shared" si="14"/>
        <v>100</v>
      </c>
      <c r="X35" s="1214"/>
      <c r="Y35" s="3387"/>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83"/>
      <c r="Q36" s="625" t="str">
        <f t="shared" si="11"/>
        <v>公共部分装修</v>
      </c>
      <c r="R36" s="1219" t="s">
        <v>1393</v>
      </c>
      <c r="S36" s="1220">
        <f t="shared" si="12"/>
        <v>100</v>
      </c>
      <c r="T36" s="1219" t="s">
        <v>1393</v>
      </c>
      <c r="U36" s="1220">
        <f t="shared" si="13"/>
        <v>100</v>
      </c>
      <c r="V36" s="1219" t="s">
        <v>1393</v>
      </c>
      <c r="W36" s="1220">
        <f t="shared" si="14"/>
        <v>100</v>
      </c>
      <c r="X36" s="1214"/>
      <c r="Y36" s="3387"/>
      <c r="Z36" s="1204" t="str">
        <f t="shared" si="15"/>
        <v>公共部分装修</v>
      </c>
      <c r="AA36" s="1204">
        <f t="shared" si="3"/>
        <v>1</v>
      </c>
      <c r="AB36" s="1204">
        <f t="shared" si="4"/>
        <v>1</v>
      </c>
      <c r="AC36" s="2097">
        <f t="shared" si="5"/>
        <v>1</v>
      </c>
    </row>
    <row r="37" spans="1:29" ht="15">
      <c r="A37" s="1098"/>
      <c r="B37" s="1046" t="s">
        <v>683</v>
      </c>
      <c r="C37" s="1391">
        <f>'数据-取费表'!N6</f>
        <v>0.85</v>
      </c>
      <c r="D37" s="759">
        <v>100</v>
      </c>
      <c r="E37" s="1391">
        <f>C37</f>
        <v>0.85</v>
      </c>
      <c r="F37" s="1199">
        <f>LOOKUP(E37,111:111,112:112)-LOOKUP(C37,111:111,112:112)+100</f>
        <v>100</v>
      </c>
      <c r="G37" s="1391">
        <f>E37</f>
        <v>0.85</v>
      </c>
      <c r="H37" s="1199">
        <f>LOOKUP(G37,111:111,112:112)-LOOKUP(C37,111:111,112:112)+100</f>
        <v>100</v>
      </c>
      <c r="I37" s="1391">
        <f>G37</f>
        <v>0.85</v>
      </c>
      <c r="J37" s="759">
        <f>LOOKUP(I37,111:111,112:112)-LOOKUP(C37,111:111,112:112)+100</f>
        <v>100</v>
      </c>
      <c r="K37" s="1190"/>
      <c r="L37" s="1184"/>
      <c r="M37" s="1122"/>
      <c r="N37" s="1122"/>
      <c r="O37" s="1122"/>
      <c r="P37" s="3383"/>
      <c r="Q37" s="625" t="str">
        <f t="shared" si="11"/>
        <v>成新度</v>
      </c>
      <c r="R37" s="1219" t="s">
        <v>1393</v>
      </c>
      <c r="S37" s="1220">
        <f t="shared" si="12"/>
        <v>100</v>
      </c>
      <c r="T37" s="1219" t="s">
        <v>1393</v>
      </c>
      <c r="U37" s="1220">
        <f t="shared" si="13"/>
        <v>100</v>
      </c>
      <c r="V37" s="1219" t="s">
        <v>1393</v>
      </c>
      <c r="W37" s="1220">
        <f t="shared" si="14"/>
        <v>100</v>
      </c>
      <c r="X37" s="1214"/>
      <c r="Y37" s="3387"/>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83"/>
      <c r="Q38" s="794" t="str">
        <f t="shared" si="11"/>
        <v>写字楼等级</v>
      </c>
      <c r="R38" s="1215" t="s">
        <v>1393</v>
      </c>
      <c r="S38" s="1216">
        <f t="shared" si="12"/>
        <v>100</v>
      </c>
      <c r="T38" s="1215" t="s">
        <v>1393</v>
      </c>
      <c r="U38" s="1216">
        <f t="shared" si="13"/>
        <v>100</v>
      </c>
      <c r="V38" s="1215" t="s">
        <v>1393</v>
      </c>
      <c r="W38" s="1216">
        <f t="shared" si="14"/>
        <v>100</v>
      </c>
      <c r="X38" s="1217"/>
      <c r="Y38" s="3387"/>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83" t="s">
        <v>1421</v>
      </c>
      <c r="Q39" s="625" t="str">
        <f t="shared" si="11"/>
        <v>物业管理</v>
      </c>
      <c r="R39" s="1219" t="s">
        <v>1393</v>
      </c>
      <c r="S39" s="1220">
        <f t="shared" si="12"/>
        <v>100</v>
      </c>
      <c r="T39" s="1219" t="s">
        <v>1393</v>
      </c>
      <c r="U39" s="1220">
        <f t="shared" si="13"/>
        <v>100</v>
      </c>
      <c r="V39" s="1219" t="s">
        <v>1393</v>
      </c>
      <c r="W39" s="1220">
        <f t="shared" si="14"/>
        <v>100</v>
      </c>
      <c r="X39" s="1214"/>
      <c r="Y39" s="3387"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83"/>
      <c r="Q40" s="625" t="str">
        <f t="shared" si="11"/>
        <v>市政基础设施</v>
      </c>
      <c r="R40" s="1219" t="s">
        <v>1393</v>
      </c>
      <c r="S40" s="1220">
        <f t="shared" si="12"/>
        <v>100</v>
      </c>
      <c r="T40" s="1219" t="s">
        <v>1393</v>
      </c>
      <c r="U40" s="1220">
        <f t="shared" si="13"/>
        <v>100</v>
      </c>
      <c r="V40" s="1219" t="s">
        <v>1393</v>
      </c>
      <c r="W40" s="1220">
        <f t="shared" si="14"/>
        <v>100</v>
      </c>
      <c r="X40" s="1214"/>
      <c r="Y40" s="3387"/>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83"/>
      <c r="Q41" s="625" t="str">
        <f t="shared" si="11"/>
        <v>层高</v>
      </c>
      <c r="R41" s="1219" t="s">
        <v>1393</v>
      </c>
      <c r="S41" s="1220">
        <f t="shared" si="12"/>
        <v>100</v>
      </c>
      <c r="T41" s="1219" t="s">
        <v>1393</v>
      </c>
      <c r="U41" s="1220">
        <f t="shared" si="13"/>
        <v>100</v>
      </c>
      <c r="V41" s="1219" t="s">
        <v>1393</v>
      </c>
      <c r="W41" s="1220">
        <f t="shared" si="14"/>
        <v>100</v>
      </c>
      <c r="X41" s="1214"/>
      <c r="Y41" s="3387"/>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83"/>
      <c r="Q42" s="1415" t="str">
        <f t="shared" si="11"/>
        <v>单套建筑面积</v>
      </c>
      <c r="R42" s="1221" t="s">
        <v>1393</v>
      </c>
      <c r="S42" s="1222">
        <f t="shared" si="12"/>
        <v>100</v>
      </c>
      <c r="T42" s="1221" t="s">
        <v>1393</v>
      </c>
      <c r="U42" s="1222">
        <f t="shared" si="13"/>
        <v>100</v>
      </c>
      <c r="V42" s="1221" t="s">
        <v>1393</v>
      </c>
      <c r="W42" s="1222">
        <f t="shared" si="14"/>
        <v>100</v>
      </c>
      <c r="X42" s="1223"/>
      <c r="Y42" s="3387"/>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1426</v>
      </c>
      <c r="F43" s="1199">
        <f>SUMIF(123:123,E43,124:124)-SUMIF(123:123,C43,124:124)+100</f>
        <v>104</v>
      </c>
      <c r="G43" s="1394" t="s">
        <v>1460</v>
      </c>
      <c r="H43" s="759">
        <f>SUMIF(123:123,G43,124:124)-SUMIF(123:123,C43,124:124)+100</f>
        <v>102</v>
      </c>
      <c r="I43" s="1394" t="s">
        <v>1460</v>
      </c>
      <c r="J43" s="759">
        <f>SUMIF(123:123,I43,124:124)-SUMIF(123:123,C43,124:124)+100</f>
        <v>102</v>
      </c>
      <c r="K43" s="1190">
        <v>2</v>
      </c>
      <c r="L43" s="1184"/>
      <c r="M43" s="1122"/>
      <c r="N43" s="1122"/>
      <c r="O43" s="1122"/>
      <c r="P43" s="3383"/>
      <c r="Q43" s="625" t="str">
        <f t="shared" si="11"/>
        <v>内部装修</v>
      </c>
      <c r="R43" s="1219" t="s">
        <v>1393</v>
      </c>
      <c r="S43" s="1220">
        <f t="shared" si="12"/>
        <v>104</v>
      </c>
      <c r="T43" s="1219" t="s">
        <v>1393</v>
      </c>
      <c r="U43" s="1220">
        <f t="shared" si="13"/>
        <v>102</v>
      </c>
      <c r="V43" s="1219" t="s">
        <v>1393</v>
      </c>
      <c r="W43" s="1220">
        <f t="shared" si="14"/>
        <v>102</v>
      </c>
      <c r="X43" s="1214"/>
      <c r="Y43" s="3387"/>
      <c r="Z43" s="1204" t="str">
        <f t="shared" si="15"/>
        <v>内部装修</v>
      </c>
      <c r="AA43" s="1204">
        <f t="shared" si="3"/>
        <v>0.96153846153846156</v>
      </c>
      <c r="AB43" s="1204">
        <f t="shared" si="4"/>
        <v>0.98039215686274506</v>
      </c>
      <c r="AC43" s="2097">
        <f t="shared" si="5"/>
        <v>0.98039215686274506</v>
      </c>
    </row>
    <row r="44" spans="1:29" ht="15">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v>2</v>
      </c>
      <c r="L44" s="1184"/>
      <c r="M44" s="1122"/>
      <c r="N44" s="1122"/>
      <c r="O44" s="1122"/>
      <c r="P44" s="3383"/>
      <c r="Q44" s="625" t="str">
        <f t="shared" si="11"/>
        <v>内部装修维护情况</v>
      </c>
      <c r="R44" s="1219" t="s">
        <v>1393</v>
      </c>
      <c r="S44" s="1220">
        <f t="shared" si="12"/>
        <v>100</v>
      </c>
      <c r="T44" s="1219" t="s">
        <v>1393</v>
      </c>
      <c r="U44" s="1220">
        <f t="shared" si="13"/>
        <v>100</v>
      </c>
      <c r="V44" s="1219" t="s">
        <v>1393</v>
      </c>
      <c r="W44" s="1220">
        <f t="shared" si="14"/>
        <v>100</v>
      </c>
      <c r="X44" s="1214"/>
      <c r="Y44" s="3387"/>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83"/>
      <c r="Q45" s="794">
        <f t="shared" si="11"/>
        <v>111</v>
      </c>
      <c r="R45" s="1215" t="s">
        <v>1393</v>
      </c>
      <c r="S45" s="1216">
        <f t="shared" si="12"/>
        <v>100</v>
      </c>
      <c r="T45" s="1215" t="s">
        <v>1393</v>
      </c>
      <c r="U45" s="1216">
        <f t="shared" si="13"/>
        <v>100</v>
      </c>
      <c r="V45" s="1215" t="s">
        <v>1393</v>
      </c>
      <c r="W45" s="1216">
        <f t="shared" si="14"/>
        <v>100</v>
      </c>
      <c r="X45" s="1217"/>
      <c r="Y45" s="3387"/>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83"/>
      <c r="Q46" s="625">
        <f t="shared" si="11"/>
        <v>111</v>
      </c>
      <c r="R46" s="1219" t="s">
        <v>1393</v>
      </c>
      <c r="S46" s="1220">
        <f t="shared" si="12"/>
        <v>100</v>
      </c>
      <c r="T46" s="1219" t="s">
        <v>1393</v>
      </c>
      <c r="U46" s="1220">
        <f t="shared" si="13"/>
        <v>100</v>
      </c>
      <c r="V46" s="1219" t="s">
        <v>1393</v>
      </c>
      <c r="W46" s="1220">
        <f t="shared" si="14"/>
        <v>100</v>
      </c>
      <c r="X46" s="1214"/>
      <c r="Y46" s="3387"/>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84"/>
      <c r="Q47" s="625">
        <f t="shared" si="11"/>
        <v>111</v>
      </c>
      <c r="R47" s="1219" t="s">
        <v>1393</v>
      </c>
      <c r="S47" s="1220">
        <f t="shared" si="12"/>
        <v>100</v>
      </c>
      <c r="T47" s="1219" t="s">
        <v>1393</v>
      </c>
      <c r="U47" s="1220">
        <f t="shared" si="13"/>
        <v>100</v>
      </c>
      <c r="V47" s="1219" t="s">
        <v>1393</v>
      </c>
      <c r="W47" s="1220">
        <f t="shared" si="14"/>
        <v>100</v>
      </c>
      <c r="X47" s="1214"/>
      <c r="Y47" s="3388"/>
      <c r="Z47" s="1204">
        <f t="shared" si="15"/>
        <v>111</v>
      </c>
      <c r="AA47" s="1204">
        <f t="shared" si="3"/>
        <v>1</v>
      </c>
      <c r="AB47" s="1204">
        <f t="shared" si="4"/>
        <v>1</v>
      </c>
      <c r="AC47" s="2097">
        <f t="shared" si="5"/>
        <v>1</v>
      </c>
    </row>
    <row r="48" spans="1:29" ht="15">
      <c r="A48" s="1105" t="s">
        <v>1437</v>
      </c>
      <c r="B48" s="1398"/>
      <c r="C48" s="1399" t="s">
        <v>124</v>
      </c>
      <c r="D48" s="1108"/>
      <c r="E48" s="1109">
        <v>20078</v>
      </c>
      <c r="F48" s="1110"/>
      <c r="G48" s="1109">
        <v>22984</v>
      </c>
      <c r="H48" s="1112"/>
      <c r="I48" s="1109">
        <v>23029</v>
      </c>
      <c r="J48" s="1112"/>
      <c r="K48" s="1195"/>
      <c r="L48" s="1196"/>
      <c r="M48" s="1122"/>
      <c r="N48" s="1122"/>
      <c r="O48" s="1122"/>
      <c r="P48" s="3377" t="str">
        <f>A48</f>
        <v>成交单价（元/平方米）</v>
      </c>
      <c r="Q48" s="3378"/>
      <c r="R48" s="3379">
        <f>E48</f>
        <v>20078</v>
      </c>
      <c r="S48" s="3379"/>
      <c r="T48" s="3379">
        <f>G48</f>
        <v>22984</v>
      </c>
      <c r="U48" s="3379"/>
      <c r="V48" s="3379">
        <f>I48</f>
        <v>23029</v>
      </c>
      <c r="W48" s="3379"/>
      <c r="X48" s="1162"/>
      <c r="Y48" s="1229"/>
      <c r="Z48" s="1162"/>
      <c r="AA48" s="1162"/>
      <c r="AB48" s="1162"/>
      <c r="AC48" s="1067"/>
    </row>
    <row r="49" spans="1:29" ht="15">
      <c r="A49" s="1113" t="s">
        <v>1438</v>
      </c>
      <c r="B49" s="1400"/>
      <c r="C49" s="1401">
        <f>R50</f>
        <v>20444</v>
      </c>
      <c r="D49" s="1116" t="s">
        <v>1439</v>
      </c>
      <c r="E49" s="1402">
        <f>R49</f>
        <v>18776</v>
      </c>
      <c r="F49" s="1117"/>
      <c r="G49" s="1401">
        <f>T49</f>
        <v>21258</v>
      </c>
      <c r="H49" s="1117"/>
      <c r="I49" s="1402">
        <f>V49</f>
        <v>21299</v>
      </c>
      <c r="J49" s="1117"/>
      <c r="K49" s="1197">
        <f>F49+H49+J49</f>
        <v>0</v>
      </c>
      <c r="L49" s="1196"/>
      <c r="M49" s="1122"/>
      <c r="N49" s="1122"/>
      <c r="O49" s="1122"/>
      <c r="P49" s="3377" t="str">
        <f>A49</f>
        <v>比较价值（元/平方米）</v>
      </c>
      <c r="Q49" s="3378"/>
      <c r="R49" s="3379">
        <f>IF(F1="售价",ROUND(PRODUCT(R48,AA7:AA47),0),ROUND(PRODUCT(R48,AA7:AA47),1))</f>
        <v>18776</v>
      </c>
      <c r="S49" s="3379"/>
      <c r="T49" s="3379">
        <f>IF(F1="售价",ROUND(PRODUCT(T48,AB7:AB47),0),ROUND(PRODUCT(T48,AB7:AB47),1))</f>
        <v>21258</v>
      </c>
      <c r="U49" s="3379"/>
      <c r="V49" s="3379">
        <f>IF(F1="售价",ROUND(PRODUCT(V48,AC7:AC47),0),ROUND(PRODUCT(V48,AC7:AC47),1))</f>
        <v>21299</v>
      </c>
      <c r="W49" s="3379"/>
      <c r="X49" s="1162"/>
      <c r="Y49" s="1162"/>
      <c r="Z49" s="1162"/>
      <c r="AA49" s="1162"/>
      <c r="AB49" s="1162"/>
      <c r="AC49" s="1067"/>
    </row>
    <row r="50" spans="1:29" ht="15">
      <c r="A50" s="1119" t="s">
        <v>1440</v>
      </c>
      <c r="B50" s="1120"/>
      <c r="C50" s="1032">
        <f>R50</f>
        <v>20444</v>
      </c>
      <c r="D50" s="1032"/>
      <c r="E50" s="1032"/>
      <c r="F50" s="1032"/>
      <c r="G50" s="1032"/>
      <c r="H50" s="1032"/>
      <c r="I50" s="1032"/>
      <c r="J50" s="1121"/>
      <c r="K50" s="1198"/>
      <c r="L50" s="1196"/>
      <c r="M50" s="1122"/>
      <c r="N50" s="1122"/>
      <c r="O50" s="1122"/>
      <c r="P50" s="3389" t="str">
        <f>A50</f>
        <v>估价对象XX用房的比较价值（楼面单价，元/平方米）</v>
      </c>
      <c r="Q50" s="3390"/>
      <c r="R50" s="3391">
        <f>IF(F1="售价",ROUND(IF(D49="简单平均",AVERAGE(R49:V49),R49*F49+T49*H49+V49*J49),0),ROUND(IF(D49="简单平均",AVERAGE(R49:V49),R49*F49+T49*H49+V49*J49),1))</f>
        <v>20444</v>
      </c>
      <c r="S50" s="3391"/>
      <c r="T50" s="3391"/>
      <c r="U50" s="3391"/>
      <c r="V50" s="3391"/>
      <c r="W50" s="3391"/>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6.9343843204090261E-2</v>
      </c>
      <c r="F53" s="1126" t="str">
        <f>IF(OR(E53&gt;=0.3,E53&lt;=-0.3),"超过30%","")</f>
        <v/>
      </c>
      <c r="G53" s="1125">
        <f>IF(G48&lt;G49,G49/G48-1,G48/G49-1)</f>
        <v>8.1192962649355493E-2</v>
      </c>
      <c r="H53" s="1126" t="str">
        <f>IF(OR(G53&gt;=0.3,G53&lt;=-0.3),"超过30%","")</f>
        <v/>
      </c>
      <c r="I53" s="1125">
        <f>IF(I48&lt;I49,I49/I48-1,I48/I49-1)</f>
        <v>8.1224470632424106E-2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0.13219002982530892</v>
      </c>
      <c r="F54" s="1126" t="str">
        <f>IF(OR(E54&gt;=0.2,E54&lt;=-0.2),"超过20%","")</f>
        <v/>
      </c>
      <c r="G54" s="1125">
        <f>IF(G49&lt;I49,I49/G49-1,G49/I49-1)</f>
        <v>1.9286856712767975E-3</v>
      </c>
      <c r="H54" s="1126" t="str">
        <f>IF(OR(G54&gt;=0.2,G54&lt;=-0.2),"超过20%","")</f>
        <v/>
      </c>
      <c r="I54" s="1125">
        <f>IF(I49&lt;E49,E49/I49-1,I49/E49-1)</f>
        <v>0.13437366851299526</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0.14473553142743301</v>
      </c>
      <c r="F55" s="1126" t="str">
        <f>IF(OR(E55&gt;=0.3,E55&lt;=-0.3),"超过30%","")</f>
        <v/>
      </c>
      <c r="G55" s="1125">
        <f>IF(G48&lt;I48,I48/G48-1,G48/I48-1)</f>
        <v>1.9578837452141062E-3</v>
      </c>
      <c r="H55" s="1126" t="str">
        <f>IF(OR(G55&gt;=0.3,G55&lt;=-0.3),"超过30%","")</f>
        <v/>
      </c>
      <c r="I55" s="1125">
        <f>IF(I48&lt;E48,E48/I48-1,I48/E48-1)</f>
        <v>0.14697679051698387</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5">
      <c r="A59" s="1404" t="s">
        <v>1391</v>
      </c>
      <c r="B59" s="1405"/>
      <c r="C59" s="1406" t="str">
        <f>YEAR(C7)&amp;"-"&amp;MONTH(C7)</f>
        <v>2025-11</v>
      </c>
      <c r="D59" s="1407">
        <f>EDATE(C59,-1)</f>
        <v>45931</v>
      </c>
      <c r="E59" s="1407">
        <f>EDATE(D59,-1)</f>
        <v>45901</v>
      </c>
      <c r="F59" s="1407">
        <f t="shared" ref="F59:O59" si="16">EDATE(E59,-1)</f>
        <v>45870</v>
      </c>
      <c r="G59" s="1407">
        <f t="shared" si="16"/>
        <v>45839</v>
      </c>
      <c r="H59" s="1407">
        <f t="shared" si="16"/>
        <v>45809</v>
      </c>
      <c r="I59" s="1407">
        <f t="shared" si="16"/>
        <v>45778</v>
      </c>
      <c r="J59" s="1407">
        <f t="shared" si="16"/>
        <v>45748</v>
      </c>
      <c r="K59" s="1407">
        <f t="shared" si="16"/>
        <v>45717</v>
      </c>
      <c r="L59" s="1407">
        <f t="shared" si="16"/>
        <v>45689</v>
      </c>
      <c r="M59" s="1407">
        <f t="shared" si="16"/>
        <v>45658</v>
      </c>
      <c r="N59" s="1407">
        <f t="shared" si="16"/>
        <v>45627</v>
      </c>
      <c r="O59" s="1407">
        <f t="shared" si="16"/>
        <v>45597</v>
      </c>
      <c r="P59" s="1467"/>
      <c r="Q59" s="1278"/>
      <c r="R59" s="1278"/>
      <c r="S59" s="1278"/>
      <c r="T59" s="1278"/>
      <c r="U59" s="1278"/>
      <c r="V59" s="1278"/>
      <c r="W59" s="1278"/>
      <c r="X59" s="1278"/>
      <c r="Y59" s="1278"/>
      <c r="Z59" s="1278"/>
      <c r="AA59" s="1278"/>
      <c r="AB59" s="1278"/>
      <c r="AC59" s="1278"/>
    </row>
    <row r="60" spans="1:29" s="1008" customFormat="1" ht="15">
      <c r="A60" s="1078"/>
      <c r="B60" s="1241"/>
      <c r="C60" s="1408">
        <v>100</v>
      </c>
      <c r="D60" s="1245">
        <v>100</v>
      </c>
      <c r="E60" s="1245"/>
      <c r="F60" s="1245"/>
      <c r="G60" s="1245"/>
      <c r="H60" s="1245"/>
      <c r="I60" s="1245"/>
      <c r="J60" s="1245"/>
      <c r="K60" s="1245"/>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ht="15">
      <c r="A63" s="1240"/>
      <c r="B63" s="1241"/>
      <c r="C63" s="1526">
        <v>100</v>
      </c>
      <c r="D63" s="1245">
        <v>106</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5">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500(含)-800</v>
      </c>
      <c r="F103" s="1267" t="str">
        <f t="shared" si="23"/>
        <v>800(含)-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v>800</v>
      </c>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ht="15">
      <c r="A105" s="1256"/>
      <c r="B105" s="1251"/>
      <c r="C105" s="1259">
        <v>98</v>
      </c>
      <c r="D105" s="1248">
        <v>100</v>
      </c>
      <c r="E105" s="1248">
        <v>98</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98</v>
      </c>
      <c r="E124" s="1252">
        <f t="shared" si="30"/>
        <v>96</v>
      </c>
      <c r="F124" s="1252">
        <f t="shared" si="30"/>
        <v>94</v>
      </c>
      <c r="G124" s="1252">
        <f t="shared" si="30"/>
        <v>92</v>
      </c>
      <c r="H124" s="1252">
        <f t="shared" si="30"/>
        <v>90</v>
      </c>
      <c r="I124" s="1252">
        <f t="shared" si="30"/>
        <v>88</v>
      </c>
      <c r="J124" s="1252">
        <f t="shared" si="30"/>
        <v>86</v>
      </c>
      <c r="K124" s="1252">
        <f t="shared" si="30"/>
        <v>84</v>
      </c>
      <c r="L124" s="1252">
        <f t="shared" si="30"/>
        <v>82</v>
      </c>
      <c r="M124" s="1295">
        <f t="shared" si="30"/>
        <v>80</v>
      </c>
      <c r="N124" s="1291"/>
      <c r="O124" s="1291"/>
      <c r="P124" s="1470"/>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98</v>
      </c>
      <c r="E126" s="1252">
        <f>D126-$K44</f>
        <v>96</v>
      </c>
      <c r="F126" s="1252">
        <f>E126-$K44</f>
        <v>94</v>
      </c>
      <c r="G126" s="1252">
        <f>F126-$K44</f>
        <v>92</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24468</v>
      </c>
      <c r="C3" s="1376" t="s">
        <v>1377</v>
      </c>
      <c r="D3" s="1377">
        <f>IF(D1="",'数据-汇总表'!E3,SUMIF('数据-汇总表'!$C19:$C33,D1,'数据-汇总表'!$E19:$E33))</f>
        <v>0</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79" t="s">
        <v>1381</v>
      </c>
      <c r="AC4" s="3417" t="s">
        <v>1382</v>
      </c>
    </row>
    <row r="5" spans="1:29" ht="15">
      <c r="A5" s="1029"/>
      <c r="B5" s="1030"/>
      <c r="C5" s="3411" t="s">
        <v>1385</v>
      </c>
      <c r="D5" s="3368"/>
      <c r="E5" s="3412"/>
      <c r="F5" s="3413"/>
      <c r="G5" s="3411"/>
      <c r="H5" s="3368"/>
      <c r="I5" s="3411"/>
      <c r="J5" s="3368"/>
      <c r="K5" s="1171"/>
      <c r="L5" s="1172"/>
      <c r="M5" s="1122"/>
      <c r="N5" s="1122"/>
      <c r="O5" s="1122"/>
      <c r="P5" s="3420"/>
      <c r="Q5" s="3401"/>
      <c r="R5" s="3406"/>
      <c r="S5" s="3407"/>
      <c r="T5" s="3406"/>
      <c r="U5" s="3407"/>
      <c r="V5" s="3379"/>
      <c r="W5" s="3379"/>
      <c r="X5" s="1214"/>
      <c r="Y5" s="3406"/>
      <c r="Z5" s="3407"/>
      <c r="AA5" s="3393"/>
      <c r="AB5" s="3379"/>
      <c r="AC5" s="3393"/>
    </row>
    <row r="6" spans="1:29" ht="15">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79"/>
      <c r="AC6" s="3394"/>
    </row>
    <row r="7" spans="1:29" s="1008" customFormat="1" ht="15">
      <c r="A7" s="1033" t="s">
        <v>1391</v>
      </c>
      <c r="B7" s="1034"/>
      <c r="C7" s="1035">
        <f>'数据-取费表'!B2</f>
        <v>45973</v>
      </c>
      <c r="D7" s="1036">
        <v>100</v>
      </c>
      <c r="E7" s="1037">
        <v>45901</v>
      </c>
      <c r="F7" s="1038">
        <f>SUMIF(58:58,YEAR(E7)&amp;"-"&amp;MONTH(E7),59:59)</f>
        <v>100.5</v>
      </c>
      <c r="G7" s="1037">
        <v>45901</v>
      </c>
      <c r="H7" s="1036">
        <f>SUMIF(58:58,YEAR(G7)&amp;"-"&amp;MONTH(G7),59:59)</f>
        <v>100.5</v>
      </c>
      <c r="I7" s="1037">
        <v>45901</v>
      </c>
      <c r="J7" s="1036">
        <f>SUMIF(58:58,YEAR(I7)&amp;"-"&amp;MONTH(I7),59:59)</f>
        <v>100.5</v>
      </c>
      <c r="K7" s="1173"/>
      <c r="L7" s="1174"/>
      <c r="M7" s="1175"/>
      <c r="N7" s="1175"/>
      <c r="O7" s="1175"/>
      <c r="P7" s="3375" t="s">
        <v>1392</v>
      </c>
      <c r="Q7" s="3374"/>
      <c r="R7" s="1215" t="s">
        <v>1393</v>
      </c>
      <c r="S7" s="1216">
        <f t="shared" ref="S7:S15" si="0">F7</f>
        <v>100.5</v>
      </c>
      <c r="T7" s="1215" t="s">
        <v>1393</v>
      </c>
      <c r="U7" s="1216">
        <f t="shared" ref="U7:U15" si="1">H7</f>
        <v>100.5</v>
      </c>
      <c r="V7" s="1215" t="s">
        <v>1393</v>
      </c>
      <c r="W7" s="1216">
        <f t="shared" ref="W7:W15" si="2">J7</f>
        <v>100.5</v>
      </c>
      <c r="X7" s="1217"/>
      <c r="Y7" s="3375" t="s">
        <v>1392</v>
      </c>
      <c r="Z7" s="3376"/>
      <c r="AA7" s="1227">
        <f>D7/F7</f>
        <v>0.99502487562189057</v>
      </c>
      <c r="AB7" s="1227">
        <f>D7/H7</f>
        <v>0.99502487562189057</v>
      </c>
      <c r="AC7" s="1227">
        <f>D7/J7</f>
        <v>0.99502487562189057</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75" t="s">
        <v>1397</v>
      </c>
      <c r="Q8" s="3376"/>
      <c r="R8" s="1215" t="s">
        <v>1393</v>
      </c>
      <c r="S8" s="1216">
        <f t="shared" si="0"/>
        <v>102</v>
      </c>
      <c r="T8" s="1215" t="s">
        <v>1393</v>
      </c>
      <c r="U8" s="1216">
        <f t="shared" si="1"/>
        <v>102</v>
      </c>
      <c r="V8" s="1215" t="s">
        <v>1393</v>
      </c>
      <c r="W8" s="1216">
        <f t="shared" si="2"/>
        <v>102</v>
      </c>
      <c r="X8" s="1217"/>
      <c r="Y8" s="3375" t="s">
        <v>1397</v>
      </c>
      <c r="Z8" s="3376"/>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77"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77"/>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77"/>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77"/>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77"/>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77"/>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103</v>
      </c>
      <c r="K15" s="1412">
        <v>3</v>
      </c>
      <c r="L15" s="1184"/>
      <c r="M15" s="1122"/>
      <c r="N15" s="1122"/>
      <c r="O15" s="1122"/>
      <c r="P15" s="3380" t="s">
        <v>1406</v>
      </c>
      <c r="Q15" s="625" t="str">
        <f t="shared" si="6"/>
        <v>商业繁华度</v>
      </c>
      <c r="R15" s="1219" t="s">
        <v>1393</v>
      </c>
      <c r="S15" s="1220">
        <f t="shared" si="0"/>
        <v>100</v>
      </c>
      <c r="T15" s="1219" t="s">
        <v>1393</v>
      </c>
      <c r="U15" s="1220">
        <f t="shared" si="1"/>
        <v>100</v>
      </c>
      <c r="V15" s="1219" t="s">
        <v>1393</v>
      </c>
      <c r="W15" s="1220">
        <f t="shared" si="2"/>
        <v>103</v>
      </c>
      <c r="X15" s="1214"/>
      <c r="Y15" s="3385" t="s">
        <v>1406</v>
      </c>
      <c r="Z15" s="1204" t="str">
        <f t="shared" si="7"/>
        <v>商业繁华度</v>
      </c>
      <c r="AA15" s="1204">
        <f t="shared" si="3"/>
        <v>1</v>
      </c>
      <c r="AB15" s="1204">
        <f t="shared" si="4"/>
        <v>1</v>
      </c>
      <c r="AC15" s="1204">
        <f t="shared" si="5"/>
        <v>0.970873786407767</v>
      </c>
    </row>
    <row r="16" spans="1:29" ht="15">
      <c r="A16" s="1049"/>
      <c r="B16" s="1162"/>
      <c r="C16" s="1068" t="s">
        <v>2765</v>
      </c>
      <c r="D16" s="1069"/>
      <c r="E16" s="1068" t="s">
        <v>2765</v>
      </c>
      <c r="F16" s="1384"/>
      <c r="G16" s="1068" t="s">
        <v>2765</v>
      </c>
      <c r="H16" s="1071"/>
      <c r="I16" s="1068" t="s">
        <v>1407</v>
      </c>
      <c r="J16" s="1069"/>
      <c r="K16" s="1413"/>
      <c r="L16" s="1184"/>
      <c r="M16" s="1122"/>
      <c r="N16" s="1122"/>
      <c r="O16" s="1122"/>
      <c r="P16" s="3381"/>
      <c r="Q16" s="625"/>
      <c r="R16" s="1219"/>
      <c r="S16" s="1220"/>
      <c r="T16" s="1219"/>
      <c r="U16" s="1220"/>
      <c r="V16" s="1219"/>
      <c r="W16" s="1220"/>
      <c r="X16" s="1214"/>
      <c r="Y16" s="3386"/>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102</v>
      </c>
      <c r="K17" s="1412">
        <v>2</v>
      </c>
      <c r="L17" s="1184"/>
      <c r="M17" s="1122"/>
      <c r="N17" s="1122"/>
      <c r="O17" s="1122"/>
      <c r="P17" s="3381"/>
      <c r="Q17" s="625" t="str">
        <f>B17</f>
        <v>交通便捷度</v>
      </c>
      <c r="R17" s="1219" t="s">
        <v>1393</v>
      </c>
      <c r="S17" s="1220">
        <f>F17</f>
        <v>100</v>
      </c>
      <c r="T17" s="1219" t="s">
        <v>1393</v>
      </c>
      <c r="U17" s="1220">
        <f>H17</f>
        <v>100</v>
      </c>
      <c r="V17" s="1219" t="s">
        <v>1393</v>
      </c>
      <c r="W17" s="1220">
        <f>J17</f>
        <v>102</v>
      </c>
      <c r="X17" s="1214"/>
      <c r="Y17" s="3386"/>
      <c r="Z17" s="1204" t="str">
        <f>Q17</f>
        <v>交通便捷度</v>
      </c>
      <c r="AA17" s="1204">
        <f t="shared" si="3"/>
        <v>1</v>
      </c>
      <c r="AB17" s="1204">
        <f t="shared" si="4"/>
        <v>1</v>
      </c>
      <c r="AC17" s="1204">
        <f t="shared" si="5"/>
        <v>0.98039215686274506</v>
      </c>
    </row>
    <row r="18" spans="1:29" ht="15">
      <c r="A18" s="1049"/>
      <c r="B18" s="1095"/>
      <c r="C18" s="1068" t="s">
        <v>2765</v>
      </c>
      <c r="D18" s="1071"/>
      <c r="E18" s="1068" t="s">
        <v>2765</v>
      </c>
      <c r="F18" s="1386"/>
      <c r="G18" s="1068" t="s">
        <v>2765</v>
      </c>
      <c r="H18" s="1069"/>
      <c r="I18" s="1068" t="s">
        <v>1407</v>
      </c>
      <c r="J18" s="1069"/>
      <c r="K18" s="1413"/>
      <c r="L18" s="1184"/>
      <c r="M18" s="1122"/>
      <c r="N18" s="1122"/>
      <c r="O18" s="1122"/>
      <c r="P18" s="3381"/>
      <c r="Q18" s="625"/>
      <c r="R18" s="1219"/>
      <c r="S18" s="1220"/>
      <c r="T18" s="1219"/>
      <c r="U18" s="1220"/>
      <c r="V18" s="1219"/>
      <c r="W18" s="1220"/>
      <c r="X18" s="1214"/>
      <c r="Y18" s="3386"/>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81"/>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81"/>
      <c r="Q20" s="625"/>
      <c r="R20" s="1219"/>
      <c r="S20" s="1220"/>
      <c r="T20" s="1219"/>
      <c r="U20" s="1220"/>
      <c r="V20" s="1219"/>
      <c r="W20" s="1220"/>
      <c r="X20" s="1214"/>
      <c r="Y20" s="3386"/>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81"/>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81"/>
      <c r="Q22" s="625"/>
      <c r="R22" s="1219"/>
      <c r="S22" s="1220"/>
      <c r="T22" s="1219"/>
      <c r="U22" s="1220"/>
      <c r="V22" s="1219"/>
      <c r="W22" s="1220"/>
      <c r="X22" s="1214"/>
      <c r="Y22" s="3386"/>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81"/>
      <c r="Q23" s="625" t="str">
        <f>B23</f>
        <v>自然及人文环境</v>
      </c>
      <c r="R23" s="1219" t="s">
        <v>1393</v>
      </c>
      <c r="S23" s="1220">
        <f>F23</f>
        <v>100</v>
      </c>
      <c r="T23" s="1219" t="s">
        <v>1393</v>
      </c>
      <c r="U23" s="1220">
        <f>H23</f>
        <v>100</v>
      </c>
      <c r="V23" s="1219" t="s">
        <v>1393</v>
      </c>
      <c r="W23" s="1220">
        <f>J23</f>
        <v>100</v>
      </c>
      <c r="X23" s="1214"/>
      <c r="Y23" s="3386"/>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81"/>
      <c r="Q24" s="625"/>
      <c r="R24" s="1219"/>
      <c r="S24" s="1220"/>
      <c r="T24" s="1219"/>
      <c r="U24" s="1220"/>
      <c r="V24" s="1219"/>
      <c r="W24" s="1220"/>
      <c r="X24" s="1214"/>
      <c r="Y24" s="3386"/>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81"/>
      <c r="Q25" s="625" t="str">
        <f t="shared" ref="Q25:Q46" si="11">B25</f>
        <v>临街状况</v>
      </c>
      <c r="R25" s="1219" t="s">
        <v>1393</v>
      </c>
      <c r="S25" s="1220">
        <f>F25</f>
        <v>100</v>
      </c>
      <c r="T25" s="1219" t="s">
        <v>1393</v>
      </c>
      <c r="U25" s="1220">
        <f>H25</f>
        <v>100</v>
      </c>
      <c r="V25" s="1219" t="s">
        <v>1393</v>
      </c>
      <c r="W25" s="1220">
        <f>J25</f>
        <v>100</v>
      </c>
      <c r="X25" s="1214"/>
      <c r="Y25" s="3386"/>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81"/>
      <c r="Q26" s="625" t="str">
        <f t="shared" si="11"/>
        <v>平面位置/可视性</v>
      </c>
      <c r="R26" s="1219" t="s">
        <v>1393</v>
      </c>
      <c r="S26" s="1220">
        <f>F26</f>
        <v>100</v>
      </c>
      <c r="T26" s="1219" t="s">
        <v>1393</v>
      </c>
      <c r="U26" s="1220">
        <f>H26</f>
        <v>100</v>
      </c>
      <c r="V26" s="1219" t="s">
        <v>1393</v>
      </c>
      <c r="W26" s="1220">
        <f>J26</f>
        <v>100</v>
      </c>
      <c r="X26" s="1214"/>
      <c r="Y26" s="3386"/>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81"/>
      <c r="Q27" s="794" t="str">
        <f t="shared" si="11"/>
        <v>人流量</v>
      </c>
      <c r="R27" s="1215" t="s">
        <v>1393</v>
      </c>
      <c r="S27" s="1216">
        <f>F27</f>
        <v>100</v>
      </c>
      <c r="T27" s="1215" t="s">
        <v>1393</v>
      </c>
      <c r="U27" s="1216">
        <f>H27</f>
        <v>100</v>
      </c>
      <c r="V27" s="1215" t="s">
        <v>1393</v>
      </c>
      <c r="W27" s="1216">
        <f>J27</f>
        <v>100</v>
      </c>
      <c r="X27" s="1217"/>
      <c r="Y27" s="3386"/>
      <c r="Z27" s="1227" t="str">
        <f>Q27</f>
        <v>人流量</v>
      </c>
      <c r="AA27" s="1204">
        <f t="shared" si="3"/>
        <v>1</v>
      </c>
      <c r="AB27" s="1204">
        <f t="shared" si="4"/>
        <v>1</v>
      </c>
      <c r="AC27" s="1204">
        <f t="shared" si="5"/>
        <v>1</v>
      </c>
    </row>
    <row r="28" spans="1:29" ht="15">
      <c r="A28" s="1049"/>
      <c r="B28" s="1046" t="s">
        <v>1413</v>
      </c>
      <c r="C28" s="1082" t="s">
        <v>1415</v>
      </c>
      <c r="D28" s="759">
        <v>100</v>
      </c>
      <c r="E28" s="1082" t="s">
        <v>1415</v>
      </c>
      <c r="F28" s="1199">
        <f>SUMIF(92:92,E28,93:93)-SUMIF(92:92,C28,93:93)+100</f>
        <v>100</v>
      </c>
      <c r="G28" s="1082" t="s">
        <v>1415</v>
      </c>
      <c r="H28" s="759">
        <f>SUMIF(92:92,G28,93:93)-SUMIF(92:92,C28,93:93)+100</f>
        <v>100</v>
      </c>
      <c r="I28" s="1082" t="s">
        <v>1414</v>
      </c>
      <c r="J28" s="759">
        <f>SUMIF(92:92,I28,93:93)-SUMIF(92:92,C28,93:93)+100</f>
        <v>104</v>
      </c>
      <c r="K28" s="1189"/>
      <c r="L28" s="1184"/>
      <c r="M28" s="1122"/>
      <c r="N28" s="1122"/>
      <c r="O28" s="1122"/>
      <c r="P28" s="3381"/>
      <c r="Q28" s="625" t="str">
        <f t="shared" si="11"/>
        <v>楼层</v>
      </c>
      <c r="R28" s="1219" t="s">
        <v>1393</v>
      </c>
      <c r="S28" s="1220">
        <f t="shared" ref="S28:S46" si="12">F28</f>
        <v>100</v>
      </c>
      <c r="T28" s="1219" t="s">
        <v>1393</v>
      </c>
      <c r="U28" s="1220">
        <f t="shared" ref="U28:U46" si="13">H28</f>
        <v>100</v>
      </c>
      <c r="V28" s="1219" t="s">
        <v>1393</v>
      </c>
      <c r="W28" s="1220">
        <f t="shared" ref="W28:W46" si="14">J28</f>
        <v>104</v>
      </c>
      <c r="X28" s="1214"/>
      <c r="Y28" s="3386"/>
      <c r="Z28" s="1204" t="str">
        <f t="shared" ref="Z28:Z46" si="15">Q28</f>
        <v>楼层</v>
      </c>
      <c r="AA28" s="1204">
        <f t="shared" si="3"/>
        <v>1</v>
      </c>
      <c r="AB28" s="1204">
        <f t="shared" si="4"/>
        <v>1</v>
      </c>
      <c r="AC28" s="1204">
        <f t="shared" si="5"/>
        <v>0.96153846153846156</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81"/>
      <c r="Q29" s="625">
        <f t="shared" si="11"/>
        <v>111</v>
      </c>
      <c r="R29" s="1219" t="s">
        <v>1393</v>
      </c>
      <c r="S29" s="1220">
        <f t="shared" si="12"/>
        <v>100</v>
      </c>
      <c r="T29" s="1219" t="s">
        <v>1393</v>
      </c>
      <c r="U29" s="1220">
        <f t="shared" si="13"/>
        <v>100</v>
      </c>
      <c r="V29" s="1219" t="s">
        <v>1393</v>
      </c>
      <c r="W29" s="1220">
        <f t="shared" si="14"/>
        <v>100</v>
      </c>
      <c r="X29" s="1214"/>
      <c r="Y29" s="3386"/>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81"/>
      <c r="Q30" s="625">
        <f t="shared" si="11"/>
        <v>111</v>
      </c>
      <c r="R30" s="1219" t="s">
        <v>1393</v>
      </c>
      <c r="S30" s="1220">
        <f t="shared" si="12"/>
        <v>100</v>
      </c>
      <c r="T30" s="1219" t="s">
        <v>1393</v>
      </c>
      <c r="U30" s="1220">
        <f t="shared" si="13"/>
        <v>100</v>
      </c>
      <c r="V30" s="1219" t="s">
        <v>1393</v>
      </c>
      <c r="W30" s="1220">
        <f t="shared" si="14"/>
        <v>100</v>
      </c>
      <c r="X30" s="1214"/>
      <c r="Y30" s="3386"/>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81"/>
      <c r="Q31" s="625">
        <f t="shared" si="11"/>
        <v>111</v>
      </c>
      <c r="R31" s="1219" t="s">
        <v>1393</v>
      </c>
      <c r="S31" s="1220">
        <f t="shared" si="12"/>
        <v>100</v>
      </c>
      <c r="T31" s="1219" t="s">
        <v>1393</v>
      </c>
      <c r="U31" s="1220">
        <f t="shared" si="13"/>
        <v>100</v>
      </c>
      <c r="V31" s="1219" t="s">
        <v>1393</v>
      </c>
      <c r="W31" s="1220">
        <f t="shared" si="14"/>
        <v>100</v>
      </c>
      <c r="X31" s="1214"/>
      <c r="Y31" s="3386"/>
      <c r="Z31" s="1204">
        <f t="shared" si="15"/>
        <v>111</v>
      </c>
      <c r="AA31" s="1204">
        <f t="shared" si="3"/>
        <v>1</v>
      </c>
      <c r="AB31" s="1204">
        <f t="shared" si="4"/>
        <v>1</v>
      </c>
      <c r="AC31" s="1204">
        <f t="shared" si="5"/>
        <v>1</v>
      </c>
    </row>
    <row r="32" spans="1:29" ht="15">
      <c r="A32" s="1062" t="s">
        <v>1418</v>
      </c>
      <c r="B32" s="1042" t="s">
        <v>1630</v>
      </c>
      <c r="C32" s="1389" t="s">
        <v>230</v>
      </c>
      <c r="D32" s="1097">
        <v>100</v>
      </c>
      <c r="E32" s="1389" t="s">
        <v>230</v>
      </c>
      <c r="F32" s="1199">
        <f>SUMIF(100:100,E32,101:101)-SUMIF(100:100,C32,101:101)+100</f>
        <v>100</v>
      </c>
      <c r="G32" s="1389" t="s">
        <v>230</v>
      </c>
      <c r="H32" s="759">
        <f>SUMIF(100:100,G32,101:101)-SUMIF(100:100,C32,101:101)+100</f>
        <v>100</v>
      </c>
      <c r="I32" s="1389" t="s">
        <v>230</v>
      </c>
      <c r="J32" s="1097">
        <f>SUMIF(100:100,I32,101:101)-SUMIF(100:100,C32,101:101)+100</f>
        <v>100</v>
      </c>
      <c r="K32" s="1190"/>
      <c r="L32" s="1184"/>
      <c r="M32" s="1122"/>
      <c r="N32" s="1122"/>
      <c r="O32" s="1122"/>
      <c r="P32" s="3382" t="s">
        <v>1421</v>
      </c>
      <c r="Q32" s="625" t="str">
        <f t="shared" si="11"/>
        <v>商业类型</v>
      </c>
      <c r="R32" s="1219" t="s">
        <v>1393</v>
      </c>
      <c r="S32" s="1220">
        <f t="shared" si="12"/>
        <v>100</v>
      </c>
      <c r="T32" s="1219" t="s">
        <v>1393</v>
      </c>
      <c r="U32" s="1220">
        <f t="shared" si="13"/>
        <v>100</v>
      </c>
      <c r="V32" s="1219" t="s">
        <v>1393</v>
      </c>
      <c r="W32" s="1220">
        <f t="shared" si="14"/>
        <v>100</v>
      </c>
      <c r="X32" s="1214"/>
      <c r="Y32" s="3387"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134.04</v>
      </c>
      <c r="D33" s="1048">
        <v>100</v>
      </c>
      <c r="E33" s="1051">
        <v>54.04</v>
      </c>
      <c r="F33" s="1046">
        <f>LOOKUP(E33,103:103,104:104)-LOOKUP(C33,103:103,104:104)+100</f>
        <v>99</v>
      </c>
      <c r="G33" s="1050">
        <v>194.4</v>
      </c>
      <c r="H33" s="1048">
        <f>LOOKUP(G33,103:103,104:104)-LOOKUP(C33,103:103,104:104)+100</f>
        <v>100</v>
      </c>
      <c r="I33" s="1050">
        <v>187.71</v>
      </c>
      <c r="J33" s="1048">
        <f>LOOKUP(I33,103:103,104:104)-LOOKUP(C33,103:103,104:104)+100</f>
        <v>100</v>
      </c>
      <c r="K33" s="1189"/>
      <c r="L33" s="1182"/>
      <c r="M33" s="1191"/>
      <c r="N33" s="1191"/>
      <c r="O33" s="1191"/>
      <c r="P33" s="3383"/>
      <c r="Q33" s="1415" t="str">
        <f t="shared" si="11"/>
        <v>项目建筑规模</v>
      </c>
      <c r="R33" s="1221" t="s">
        <v>1393</v>
      </c>
      <c r="S33" s="1222">
        <f t="shared" si="12"/>
        <v>99</v>
      </c>
      <c r="T33" s="1221" t="s">
        <v>1393</v>
      </c>
      <c r="U33" s="1222">
        <f t="shared" si="13"/>
        <v>100</v>
      </c>
      <c r="V33" s="1221" t="s">
        <v>1393</v>
      </c>
      <c r="W33" s="1222">
        <f t="shared" si="14"/>
        <v>100</v>
      </c>
      <c r="X33" s="1223"/>
      <c r="Y33" s="3387"/>
      <c r="Z33" s="1228" t="str">
        <f t="shared" si="15"/>
        <v>项目建筑规模</v>
      </c>
      <c r="AA33" s="1204">
        <f t="shared" si="3"/>
        <v>1.0101010101010102</v>
      </c>
      <c r="AB33" s="1204">
        <f t="shared" si="4"/>
        <v>1</v>
      </c>
      <c r="AC33" s="1204">
        <f t="shared" si="5"/>
        <v>1</v>
      </c>
    </row>
    <row r="34" spans="1:29" ht="15">
      <c r="A34" s="1098"/>
      <c r="B34" s="1046" t="s">
        <v>1423</v>
      </c>
      <c r="C34" s="1394" t="s">
        <v>1424</v>
      </c>
      <c r="D34" s="759">
        <v>100</v>
      </c>
      <c r="E34" s="1394" t="s">
        <v>1424</v>
      </c>
      <c r="F34" s="1199">
        <f>SUMIF(105:105,E34,106:106)-SUMIF(105:105,C34,106:106)+100</f>
        <v>100</v>
      </c>
      <c r="G34" s="3167" t="s">
        <v>2786</v>
      </c>
      <c r="H34" s="759">
        <f>SUMIF(105:105,G34,106:106)-SUMIF(105:105,C34,106:106)+100</f>
        <v>100</v>
      </c>
      <c r="I34" s="3167" t="s">
        <v>2786</v>
      </c>
      <c r="J34" s="759">
        <f>SUMIF(105:105,I34,106:106)-SUMIF(105:105,C34,106:106)+100</f>
        <v>100</v>
      </c>
      <c r="K34" s="1190"/>
      <c r="L34" s="1184"/>
      <c r="M34" s="1122"/>
      <c r="N34" s="1122"/>
      <c r="O34" s="1122"/>
      <c r="P34" s="3383"/>
      <c r="Q34" s="625" t="str">
        <f t="shared" si="11"/>
        <v>建筑结构</v>
      </c>
      <c r="R34" s="1219" t="s">
        <v>1393</v>
      </c>
      <c r="S34" s="1220">
        <f t="shared" si="12"/>
        <v>100</v>
      </c>
      <c r="T34" s="1219" t="s">
        <v>1393</v>
      </c>
      <c r="U34" s="1220">
        <f t="shared" si="13"/>
        <v>100</v>
      </c>
      <c r="V34" s="1219" t="s">
        <v>1393</v>
      </c>
      <c r="W34" s="1220">
        <f t="shared" si="14"/>
        <v>100</v>
      </c>
      <c r="X34" s="1214"/>
      <c r="Y34" s="3387"/>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83"/>
      <c r="Q35" s="625" t="str">
        <f t="shared" si="11"/>
        <v>公共部分装修</v>
      </c>
      <c r="R35" s="1219" t="s">
        <v>1393</v>
      </c>
      <c r="S35" s="1220">
        <f t="shared" si="12"/>
        <v>100</v>
      </c>
      <c r="T35" s="1219" t="s">
        <v>1393</v>
      </c>
      <c r="U35" s="1220">
        <f t="shared" si="13"/>
        <v>100</v>
      </c>
      <c r="V35" s="1219" t="s">
        <v>1393</v>
      </c>
      <c r="W35" s="1220">
        <f t="shared" si="14"/>
        <v>100</v>
      </c>
      <c r="X35" s="1214"/>
      <c r="Y35" s="3387"/>
      <c r="Z35" s="1204" t="str">
        <f t="shared" si="15"/>
        <v>公共部分装修</v>
      </c>
      <c r="AA35" s="1204">
        <f t="shared" si="3"/>
        <v>1</v>
      </c>
      <c r="AB35" s="1204">
        <f t="shared" si="4"/>
        <v>1</v>
      </c>
      <c r="AC35" s="1204">
        <f t="shared" si="5"/>
        <v>1</v>
      </c>
    </row>
    <row r="36" spans="1:29" ht="15">
      <c r="A36" s="1098"/>
      <c r="B36" s="1046" t="s">
        <v>683</v>
      </c>
      <c r="C36" s="1391">
        <f>'数据-取费表'!N6</f>
        <v>0.85</v>
      </c>
      <c r="D36" s="759">
        <v>100</v>
      </c>
      <c r="E36" s="1391">
        <f>C36</f>
        <v>0.85</v>
      </c>
      <c r="F36" s="1199">
        <f>LOOKUP(E36,110:110,111:111)-LOOKUP(C36,110:110,111:111)+100</f>
        <v>100</v>
      </c>
      <c r="G36" s="1391">
        <f>E36</f>
        <v>0.85</v>
      </c>
      <c r="H36" s="1199">
        <f>LOOKUP(G36,110:110,111:111)-LOOKUP(C36,110:110,111:111)+100</f>
        <v>100</v>
      </c>
      <c r="I36" s="1391">
        <f>G36</f>
        <v>0.85</v>
      </c>
      <c r="J36" s="759">
        <f>LOOKUP(I36,110:110,111:111)-LOOKUP(C36,110:110,111:111)+100</f>
        <v>100</v>
      </c>
      <c r="K36" s="1190"/>
      <c r="L36" s="1184"/>
      <c r="M36" s="1122"/>
      <c r="N36" s="1122"/>
      <c r="O36" s="1122"/>
      <c r="P36" s="3383"/>
      <c r="Q36" s="625" t="str">
        <f t="shared" si="11"/>
        <v>成新度</v>
      </c>
      <c r="R36" s="1219" t="s">
        <v>1393</v>
      </c>
      <c r="S36" s="1220">
        <f t="shared" si="12"/>
        <v>100</v>
      </c>
      <c r="T36" s="1219" t="s">
        <v>1393</v>
      </c>
      <c r="U36" s="1220">
        <f t="shared" si="13"/>
        <v>100</v>
      </c>
      <c r="V36" s="1219" t="s">
        <v>1393</v>
      </c>
      <c r="W36" s="1220">
        <f t="shared" si="14"/>
        <v>100</v>
      </c>
      <c r="X36" s="1214"/>
      <c r="Y36" s="3387"/>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83"/>
      <c r="Q37" s="794" t="str">
        <f t="shared" si="11"/>
        <v>市政基础设施</v>
      </c>
      <c r="R37" s="1215" t="s">
        <v>1393</v>
      </c>
      <c r="S37" s="1216">
        <f t="shared" si="12"/>
        <v>100</v>
      </c>
      <c r="T37" s="1215" t="s">
        <v>1393</v>
      </c>
      <c r="U37" s="1216">
        <f t="shared" si="13"/>
        <v>100</v>
      </c>
      <c r="V37" s="1215" t="s">
        <v>1393</v>
      </c>
      <c r="W37" s="1216">
        <f t="shared" si="14"/>
        <v>100</v>
      </c>
      <c r="X37" s="1217"/>
      <c r="Y37" s="3387"/>
      <c r="Z37" s="1227" t="str">
        <f t="shared" si="15"/>
        <v>市政基础设施</v>
      </c>
      <c r="AA37" s="1227">
        <f t="shared" si="3"/>
        <v>1</v>
      </c>
      <c r="AB37" s="1227">
        <f t="shared" si="4"/>
        <v>1</v>
      </c>
      <c r="AC37" s="1227">
        <f t="shared" si="5"/>
        <v>1</v>
      </c>
    </row>
    <row r="38" spans="1:29" ht="15">
      <c r="A38" s="1098"/>
      <c r="B38" s="1046" t="s">
        <v>1631</v>
      </c>
      <c r="C38" s="1099"/>
      <c r="D38" s="759">
        <v>100</v>
      </c>
      <c r="E38" s="1099"/>
      <c r="F38" s="1199">
        <f>SUMIF(114:114,E38,115:115)-SUMIF(114:114,C38,115:115)+100</f>
        <v>100</v>
      </c>
      <c r="G38" s="1099"/>
      <c r="H38" s="759">
        <f>SUMIF(114:114,G38,115:115)-SUMIF(114:114,C38,115:115)+100</f>
        <v>100</v>
      </c>
      <c r="I38" s="1099"/>
      <c r="J38" s="759">
        <f>SUMIF(114:114,I38,115:115)-SUMIF(114:114,C38,115:115)+100</f>
        <v>100</v>
      </c>
      <c r="K38" s="1190"/>
      <c r="L38" s="1184"/>
      <c r="M38" s="1122"/>
      <c r="N38" s="1122"/>
      <c r="O38" s="1122"/>
      <c r="P38" s="3383" t="s">
        <v>1421</v>
      </c>
      <c r="Q38" s="625" t="str">
        <f t="shared" si="11"/>
        <v>业态</v>
      </c>
      <c r="R38" s="1219" t="s">
        <v>1393</v>
      </c>
      <c r="S38" s="1220">
        <f t="shared" si="12"/>
        <v>100</v>
      </c>
      <c r="T38" s="1219" t="s">
        <v>1393</v>
      </c>
      <c r="U38" s="1220">
        <f t="shared" si="13"/>
        <v>100</v>
      </c>
      <c r="V38" s="1219" t="s">
        <v>1393</v>
      </c>
      <c r="W38" s="1220">
        <f t="shared" si="14"/>
        <v>100</v>
      </c>
      <c r="X38" s="1214"/>
      <c r="Y38" s="3387" t="s">
        <v>1421</v>
      </c>
      <c r="Z38" s="1204" t="str">
        <f t="shared" si="15"/>
        <v>业态</v>
      </c>
      <c r="AA38" s="1204">
        <f t="shared" si="3"/>
        <v>1</v>
      </c>
      <c r="AB38" s="1204">
        <f t="shared" si="4"/>
        <v>1</v>
      </c>
      <c r="AC38" s="1204">
        <f t="shared" si="5"/>
        <v>1</v>
      </c>
    </row>
    <row r="39" spans="1:29" ht="15">
      <c r="A39" s="1098"/>
      <c r="B39" s="1046" t="s">
        <v>1432</v>
      </c>
      <c r="C39" s="1099" t="s">
        <v>2794</v>
      </c>
      <c r="D39" s="759">
        <v>100</v>
      </c>
      <c r="E39" s="1099" t="s">
        <v>2796</v>
      </c>
      <c r="F39" s="1199">
        <f>SUMIF(116:116,E39,117:117)-SUMIF(116:116,C39,117:117)+100</f>
        <v>104</v>
      </c>
      <c r="G39" s="1099" t="s">
        <v>2796</v>
      </c>
      <c r="H39" s="759">
        <f>SUMIF(116:116,G39,117:117)-SUMIF(116:116,C39,117:117)+100</f>
        <v>104</v>
      </c>
      <c r="I39" s="1099" t="s">
        <v>2796</v>
      </c>
      <c r="J39" s="759">
        <f>SUMIF(116:116,I39,117:117)-SUMIF(116:116,C39,117:117)+100</f>
        <v>104</v>
      </c>
      <c r="K39" s="1190">
        <v>-4</v>
      </c>
      <c r="L39" s="1184"/>
      <c r="M39" s="1122"/>
      <c r="N39" s="1122"/>
      <c r="O39" s="1122"/>
      <c r="P39" s="3383"/>
      <c r="Q39" s="625" t="str">
        <f t="shared" si="11"/>
        <v>层高</v>
      </c>
      <c r="R39" s="1219" t="s">
        <v>1393</v>
      </c>
      <c r="S39" s="1220">
        <f t="shared" si="12"/>
        <v>104</v>
      </c>
      <c r="T39" s="1219" t="s">
        <v>1393</v>
      </c>
      <c r="U39" s="1220">
        <f t="shared" si="13"/>
        <v>104</v>
      </c>
      <c r="V39" s="1219" t="s">
        <v>1393</v>
      </c>
      <c r="W39" s="1220">
        <f t="shared" si="14"/>
        <v>104</v>
      </c>
      <c r="X39" s="1214"/>
      <c r="Y39" s="3387"/>
      <c r="Z39" s="1204" t="str">
        <f t="shared" si="15"/>
        <v>层高</v>
      </c>
      <c r="AA39" s="1204">
        <f t="shared" si="3"/>
        <v>0.96153846153846156</v>
      </c>
      <c r="AB39" s="1204">
        <f t="shared" si="4"/>
        <v>0.96153846153846156</v>
      </c>
      <c r="AC39" s="1204">
        <f t="shared" si="5"/>
        <v>0.96153846153846156</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83"/>
      <c r="Q40" s="625" t="str">
        <f t="shared" si="11"/>
        <v>单套建筑面积</v>
      </c>
      <c r="R40" s="1219" t="s">
        <v>1393</v>
      </c>
      <c r="S40" s="1220">
        <f t="shared" si="12"/>
        <v>100</v>
      </c>
      <c r="T40" s="1219" t="s">
        <v>1393</v>
      </c>
      <c r="U40" s="1220">
        <f t="shared" si="13"/>
        <v>100</v>
      </c>
      <c r="V40" s="1219" t="s">
        <v>1393</v>
      </c>
      <c r="W40" s="1220">
        <f t="shared" si="14"/>
        <v>100</v>
      </c>
      <c r="X40" s="1214"/>
      <c r="Y40" s="3387"/>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83"/>
      <c r="Q41" s="1415" t="str">
        <f t="shared" si="11"/>
        <v>进深比</v>
      </c>
      <c r="R41" s="1221" t="s">
        <v>1393</v>
      </c>
      <c r="S41" s="1222">
        <f t="shared" si="12"/>
        <v>100</v>
      </c>
      <c r="T41" s="1221" t="s">
        <v>1393</v>
      </c>
      <c r="U41" s="1222">
        <f t="shared" si="13"/>
        <v>100</v>
      </c>
      <c r="V41" s="1221" t="s">
        <v>1393</v>
      </c>
      <c r="W41" s="1222">
        <f t="shared" si="14"/>
        <v>100</v>
      </c>
      <c r="X41" s="1223"/>
      <c r="Y41" s="3387"/>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v>3</v>
      </c>
      <c r="L42" s="1184"/>
      <c r="M42" s="1122"/>
      <c r="N42" s="1122"/>
      <c r="O42" s="1122"/>
      <c r="P42" s="3383"/>
      <c r="Q42" s="625" t="str">
        <f t="shared" si="11"/>
        <v>内部装修</v>
      </c>
      <c r="R42" s="1219" t="s">
        <v>1393</v>
      </c>
      <c r="S42" s="1220">
        <f t="shared" si="12"/>
        <v>100</v>
      </c>
      <c r="T42" s="1219" t="s">
        <v>1393</v>
      </c>
      <c r="U42" s="1220">
        <f t="shared" si="13"/>
        <v>100</v>
      </c>
      <c r="V42" s="1219" t="s">
        <v>1393</v>
      </c>
      <c r="W42" s="1220">
        <f t="shared" si="14"/>
        <v>100</v>
      </c>
      <c r="X42" s="1214"/>
      <c r="Y42" s="3387"/>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83"/>
      <c r="Q43" s="625" t="str">
        <f t="shared" si="11"/>
        <v>内部装修维护情况</v>
      </c>
      <c r="R43" s="1219" t="s">
        <v>1393</v>
      </c>
      <c r="S43" s="1220">
        <f t="shared" si="12"/>
        <v>100</v>
      </c>
      <c r="T43" s="1219" t="s">
        <v>1393</v>
      </c>
      <c r="U43" s="1220">
        <f t="shared" si="13"/>
        <v>100</v>
      </c>
      <c r="V43" s="1219" t="s">
        <v>1393</v>
      </c>
      <c r="W43" s="1220">
        <f t="shared" si="14"/>
        <v>100</v>
      </c>
      <c r="X43" s="1214"/>
      <c r="Y43" s="3387"/>
      <c r="Z43" s="1204" t="str">
        <f t="shared" si="15"/>
        <v>内部装修维护情况</v>
      </c>
      <c r="AA43" s="1204">
        <f t="shared" si="3"/>
        <v>1</v>
      </c>
      <c r="AB43" s="1204">
        <f t="shared" si="4"/>
        <v>1</v>
      </c>
      <c r="AC43" s="1204">
        <f t="shared" si="5"/>
        <v>1</v>
      </c>
    </row>
    <row r="44" spans="1:29" s="1008" customFormat="1" ht="15">
      <c r="A44" s="1100"/>
      <c r="B44" s="3171" t="s">
        <v>2800</v>
      </c>
      <c r="C44" s="1381" t="s">
        <v>2799</v>
      </c>
      <c r="D44" s="1048">
        <v>100</v>
      </c>
      <c r="E44" s="3172" t="s">
        <v>2798</v>
      </c>
      <c r="F44" s="1046">
        <f>SUMIF(126:126,E44,127:127)-SUMIF(126:126,C44,127:127)+100</f>
        <v>90</v>
      </c>
      <c r="G44" s="3172" t="s">
        <v>2798</v>
      </c>
      <c r="H44" s="1048">
        <f>SUMIF(126:126,G44,127:127)-SUMIF(126:126,C44,127:127)+100</f>
        <v>90</v>
      </c>
      <c r="I44" s="3172" t="s">
        <v>2798</v>
      </c>
      <c r="J44" s="1048">
        <f>SUMIF(126:126,I44,127:127)-SUMIF(126:126,C44,127:127)+100</f>
        <v>90</v>
      </c>
      <c r="K44" s="1189"/>
      <c r="L44" s="1174"/>
      <c r="M44" s="1175"/>
      <c r="N44" s="1175"/>
      <c r="O44" s="1175"/>
      <c r="P44" s="3383"/>
      <c r="Q44" s="794" t="str">
        <f t="shared" si="11"/>
        <v>户型</v>
      </c>
      <c r="R44" s="1215" t="s">
        <v>1393</v>
      </c>
      <c r="S44" s="1216">
        <f t="shared" si="12"/>
        <v>90</v>
      </c>
      <c r="T44" s="1215" t="s">
        <v>1393</v>
      </c>
      <c r="U44" s="1216">
        <f t="shared" si="13"/>
        <v>90</v>
      </c>
      <c r="V44" s="1215" t="s">
        <v>1393</v>
      </c>
      <c r="W44" s="1216">
        <f t="shared" si="14"/>
        <v>90</v>
      </c>
      <c r="X44" s="1217"/>
      <c r="Y44" s="3387"/>
      <c r="Z44" s="1227" t="str">
        <f t="shared" si="15"/>
        <v>户型</v>
      </c>
      <c r="AA44" s="1227">
        <f t="shared" si="3"/>
        <v>1.1111111111111112</v>
      </c>
      <c r="AB44" s="1227">
        <f t="shared" si="4"/>
        <v>1.1111111111111112</v>
      </c>
      <c r="AC44" s="1227">
        <f t="shared" si="5"/>
        <v>1.1111111111111112</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83"/>
      <c r="Q45" s="625">
        <f t="shared" si="11"/>
        <v>111</v>
      </c>
      <c r="R45" s="1219" t="s">
        <v>1393</v>
      </c>
      <c r="S45" s="1220">
        <f t="shared" si="12"/>
        <v>100</v>
      </c>
      <c r="T45" s="1219" t="s">
        <v>1393</v>
      </c>
      <c r="U45" s="1220">
        <f t="shared" si="13"/>
        <v>100</v>
      </c>
      <c r="V45" s="1219" t="s">
        <v>1393</v>
      </c>
      <c r="W45" s="1220">
        <f t="shared" si="14"/>
        <v>100</v>
      </c>
      <c r="X45" s="1214"/>
      <c r="Y45" s="3387"/>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84"/>
      <c r="Q46" s="625">
        <f t="shared" si="11"/>
        <v>111</v>
      </c>
      <c r="R46" s="1219" t="s">
        <v>1393</v>
      </c>
      <c r="S46" s="1220">
        <f t="shared" si="12"/>
        <v>100</v>
      </c>
      <c r="T46" s="1219" t="s">
        <v>1393</v>
      </c>
      <c r="U46" s="1220">
        <f t="shared" si="13"/>
        <v>100</v>
      </c>
      <c r="V46" s="1219" t="s">
        <v>1393</v>
      </c>
      <c r="W46" s="1220">
        <f t="shared" si="14"/>
        <v>100</v>
      </c>
      <c r="X46" s="1214"/>
      <c r="Y46" s="3388"/>
      <c r="Z46" s="1204">
        <f t="shared" si="15"/>
        <v>111</v>
      </c>
      <c r="AA46" s="1204">
        <f t="shared" si="3"/>
        <v>1</v>
      </c>
      <c r="AB46" s="1204">
        <f t="shared" si="4"/>
        <v>1</v>
      </c>
      <c r="AC46" s="1204">
        <f t="shared" si="5"/>
        <v>1</v>
      </c>
    </row>
    <row r="47" spans="1:29" ht="15">
      <c r="A47" s="1105" t="s">
        <v>1437</v>
      </c>
      <c r="B47" s="1398"/>
      <c r="C47" s="1399" t="s">
        <v>124</v>
      </c>
      <c r="D47" s="1108"/>
      <c r="E47" s="1109">
        <v>23131</v>
      </c>
      <c r="F47" s="1110"/>
      <c r="G47" s="1109">
        <v>24588</v>
      </c>
      <c r="H47" s="1112"/>
      <c r="I47" s="1109">
        <v>24559</v>
      </c>
      <c r="J47" s="1112"/>
      <c r="K47" s="1195"/>
      <c r="L47" s="1196"/>
      <c r="M47" s="1122"/>
      <c r="N47" s="1122"/>
      <c r="O47" s="1122"/>
      <c r="P47" s="3378" t="str">
        <f>A47</f>
        <v>成交单价（元/平方米）</v>
      </c>
      <c r="Q47" s="3378"/>
      <c r="R47" s="3379">
        <f>E47</f>
        <v>23131</v>
      </c>
      <c r="S47" s="3379"/>
      <c r="T47" s="3379">
        <f>G47</f>
        <v>24588</v>
      </c>
      <c r="U47" s="3379"/>
      <c r="V47" s="3379">
        <f>I47</f>
        <v>24559</v>
      </c>
      <c r="W47" s="3379"/>
      <c r="X47" s="1162"/>
      <c r="Y47" s="1229"/>
      <c r="Z47" s="1162"/>
      <c r="AA47" s="1162"/>
      <c r="AB47" s="1162"/>
      <c r="AC47" s="1162"/>
    </row>
    <row r="48" spans="1:29" ht="15">
      <c r="A48" s="1113" t="s">
        <v>1438</v>
      </c>
      <c r="B48" s="1400"/>
      <c r="C48" s="1401">
        <f>R49</f>
        <v>24468</v>
      </c>
      <c r="D48" s="1116" t="s">
        <v>1439</v>
      </c>
      <c r="E48" s="1402">
        <f>R48</f>
        <v>24351</v>
      </c>
      <c r="F48" s="1117">
        <v>0.4</v>
      </c>
      <c r="G48" s="1401">
        <f>T48</f>
        <v>25626</v>
      </c>
      <c r="H48" s="1117">
        <v>0.2</v>
      </c>
      <c r="I48" s="1402">
        <f>V48</f>
        <v>23426</v>
      </c>
      <c r="J48" s="1117">
        <v>0.4</v>
      </c>
      <c r="K48" s="1197">
        <f>F48+H48+J48</f>
        <v>1</v>
      </c>
      <c r="L48" s="1196"/>
      <c r="M48" s="1122"/>
      <c r="N48" s="1122"/>
      <c r="O48" s="1122"/>
      <c r="P48" s="3378" t="str">
        <f>A48</f>
        <v>比较价值（元/平方米）</v>
      </c>
      <c r="Q48" s="3378"/>
      <c r="R48" s="3379">
        <f>IF(F1="售价",ROUND(PRODUCT(R47,AA7:AA46),0),ROUND(PRODUCT(R47,AA7:AA46),1))</f>
        <v>24351</v>
      </c>
      <c r="S48" s="3379"/>
      <c r="T48" s="3379">
        <f>IF(F1="售价",ROUND(PRODUCT(T47,AB7:AB46),0),ROUND(PRODUCT(T47,AB7:AB46),1))</f>
        <v>25626</v>
      </c>
      <c r="U48" s="3379"/>
      <c r="V48" s="3379">
        <f>IF(F1="售价",ROUND(PRODUCT(V47,AC7:AC46),0),ROUND(PRODUCT(V47,AC7:AC46),1))</f>
        <v>23426</v>
      </c>
      <c r="W48" s="3379"/>
      <c r="X48" s="1162"/>
      <c r="Y48" s="1162"/>
      <c r="Z48" s="1162"/>
      <c r="AA48" s="1162"/>
      <c r="AB48" s="1162"/>
      <c r="AC48" s="1162"/>
    </row>
    <row r="49" spans="1:29" ht="15">
      <c r="A49" s="1119" t="s">
        <v>1440</v>
      </c>
      <c r="B49" s="1120"/>
      <c r="C49" s="1032">
        <f>R49</f>
        <v>24468</v>
      </c>
      <c r="D49" s="1032"/>
      <c r="E49" s="1032"/>
      <c r="F49" s="1032"/>
      <c r="G49" s="1032"/>
      <c r="H49" s="1032"/>
      <c r="I49" s="1032"/>
      <c r="J49" s="1032"/>
      <c r="K49" s="1198"/>
      <c r="L49" s="1196"/>
      <c r="M49" s="1122"/>
      <c r="N49" s="1122"/>
      <c r="O49" s="1122"/>
      <c r="P49" s="3414" t="str">
        <f>A49</f>
        <v>估价对象XX用房的比较价值（楼面单价，元/平方米）</v>
      </c>
      <c r="Q49" s="3415"/>
      <c r="R49" s="3416">
        <f>IF(F1="售价",ROUND(IF(D48="简单平均",AVERAGE(R48:V48),R48*F48+T48*H48+V48*J48),0),ROUND(IF(D48="简单平均",AVERAGE(R48:V48),R48*F48+T48*H48+V48*J48),1))</f>
        <v>24468</v>
      </c>
      <c r="S49" s="3416"/>
      <c r="T49" s="3416"/>
      <c r="U49" s="3416"/>
      <c r="V49" s="3416"/>
      <c r="W49" s="3416"/>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5.2743072067787722E-2</v>
      </c>
      <c r="F52" s="1126" t="str">
        <f>IF(OR(E52&gt;=0.3,E52&lt;=-0.3),"超过30%","")</f>
        <v/>
      </c>
      <c r="G52" s="1125">
        <f>IF(G47&lt;G48,G48/G47-1,G47/G48-1)</f>
        <v>4.221571498291854E-2</v>
      </c>
      <c r="H52" s="1126" t="str">
        <f>IF(OR(G52&gt;=0.3,G52&lt;=-0.3),"超过30%","")</f>
        <v/>
      </c>
      <c r="I52" s="1125">
        <f>IF(I47&lt;I48,I48/I47-1,I47/I48-1)</f>
        <v>4.8365064458294249E-2</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5.2359246026857154E-2</v>
      </c>
      <c r="F53" s="1126" t="str">
        <f>IF(OR(E53&gt;=0.2,E53&lt;=-0.2),"超过20%","")</f>
        <v/>
      </c>
      <c r="G53" s="1125">
        <f>IF(G48&lt;I48,I48/G48-1,G48/I48-1)</f>
        <v>9.3912746520959711E-2</v>
      </c>
      <c r="H53" s="1126" t="str">
        <f>IF(OR(G53&gt;=0.2,G53&lt;=-0.2),"超过20%","")</f>
        <v/>
      </c>
      <c r="I53" s="1125">
        <f>IF(I48&lt;E48,E48/I48-1,I48/E48-1)</f>
        <v>3.9486041150857965E-2</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6.2989062297349907E-2</v>
      </c>
      <c r="F54" s="1126" t="str">
        <f>IF(OR(E54&gt;=0.3,E54&lt;=-0.3),"超过30%","")</f>
        <v/>
      </c>
      <c r="G54" s="1125">
        <f>IF(G47&lt;I47,I47/G47-1,G47/I47-1)</f>
        <v>1.1808298383484406E-3</v>
      </c>
      <c r="H54" s="1126" t="str">
        <f>IF(OR(G54&gt;=0.3,G54&lt;=-0.3),"超过30%","")</f>
        <v/>
      </c>
      <c r="I54" s="1125">
        <f>IF(I47&lt;E47,E47/I47-1,I47/E47-1)</f>
        <v>6.1735333535082759E-2</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5">
      <c r="A58" s="1404" t="s">
        <v>1391</v>
      </c>
      <c r="B58" s="1405"/>
      <c r="C58" s="1406" t="str">
        <f>YEAR(C7)&amp;"-"&amp;MONTH(C7)</f>
        <v>2025-11</v>
      </c>
      <c r="D58" s="1407">
        <f>EDATE(C58,-1)</f>
        <v>45931</v>
      </c>
      <c r="E58" s="1407">
        <f t="shared" ref="E58:O58" si="16">EDATE(D58,-1)</f>
        <v>45901</v>
      </c>
      <c r="F58" s="1407">
        <f t="shared" si="16"/>
        <v>45870</v>
      </c>
      <c r="G58" s="1407">
        <f t="shared" si="16"/>
        <v>45839</v>
      </c>
      <c r="H58" s="1407">
        <f t="shared" si="16"/>
        <v>45809</v>
      </c>
      <c r="I58" s="1407">
        <f t="shared" si="16"/>
        <v>45778</v>
      </c>
      <c r="J58" s="1407">
        <f t="shared" si="16"/>
        <v>45748</v>
      </c>
      <c r="K58" s="1407">
        <f t="shared" si="16"/>
        <v>45717</v>
      </c>
      <c r="L58" s="1407">
        <f t="shared" si="16"/>
        <v>45689</v>
      </c>
      <c r="M58" s="1407">
        <f t="shared" si="16"/>
        <v>45658</v>
      </c>
      <c r="N58" s="1407">
        <f t="shared" si="16"/>
        <v>45627</v>
      </c>
      <c r="O58" s="1407">
        <f t="shared" si="16"/>
        <v>45597</v>
      </c>
      <c r="P58" s="1532"/>
      <c r="Q58" s="1278"/>
      <c r="R58" s="1278"/>
      <c r="S58" s="1278"/>
      <c r="T58" s="1278"/>
      <c r="U58" s="1278"/>
      <c r="V58" s="1278"/>
      <c r="W58" s="1278"/>
      <c r="X58" s="1278"/>
      <c r="Y58" s="1278"/>
      <c r="Z58" s="1278"/>
      <c r="AA58" s="1278"/>
      <c r="AB58" s="1278"/>
      <c r="AC58" s="1278"/>
    </row>
    <row r="59" spans="1:29" s="1008" customFormat="1" ht="15">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ht="15">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ht="15">
      <c r="A77" s="1049"/>
      <c r="B77" s="1251"/>
      <c r="C77" s="1252">
        <v>100</v>
      </c>
      <c r="D77" s="1252">
        <f>C77-$K15</f>
        <v>97</v>
      </c>
      <c r="E77" s="1252">
        <f>D77-$K15</f>
        <v>94</v>
      </c>
      <c r="F77" s="1252">
        <f>E77-$K15</f>
        <v>91</v>
      </c>
      <c r="G77" s="1252">
        <f>F77-$K15</f>
        <v>88</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ht="15">
      <c r="A79" s="1049"/>
      <c r="B79" s="1251"/>
      <c r="C79" s="1252">
        <v>100</v>
      </c>
      <c r="D79" s="1252">
        <f>C79-$K17</f>
        <v>98</v>
      </c>
      <c r="E79" s="1252">
        <f>D79-$K17</f>
        <v>96</v>
      </c>
      <c r="F79" s="1252">
        <f>E79-$K17</f>
        <v>94</v>
      </c>
      <c r="G79" s="1252">
        <f>F79-$K17</f>
        <v>92</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5">
      <c r="A92" s="1049"/>
      <c r="B92" s="1249" t="str">
        <f>B28</f>
        <v>楼层</v>
      </c>
      <c r="C92" s="3170" t="s">
        <v>2791</v>
      </c>
      <c r="D92" s="3170" t="s">
        <v>2792</v>
      </c>
      <c r="E92" s="3170" t="s">
        <v>2793</v>
      </c>
      <c r="F92" s="3165"/>
      <c r="G92" s="3165"/>
      <c r="H92" s="1257"/>
      <c r="I92" s="1257"/>
      <c r="J92" s="1257"/>
      <c r="K92" s="1257"/>
      <c r="L92" s="1420"/>
      <c r="M92" s="1421"/>
      <c r="N92" s="1289" t="s">
        <v>2768</v>
      </c>
      <c r="O92" s="1289">
        <v>100</v>
      </c>
      <c r="P92" s="1535">
        <f>P97*O92/O97</f>
        <v>130.43478260869566</v>
      </c>
      <c r="Q92" s="1224"/>
      <c r="R92" s="1122"/>
      <c r="S92" s="1122"/>
      <c r="T92" s="1122"/>
      <c r="U92" s="1122"/>
      <c r="V92" s="1122"/>
      <c r="W92" s="1122"/>
      <c r="X92" s="1122"/>
      <c r="Y92" s="1122"/>
      <c r="Z92" s="1122"/>
      <c r="AA92" s="1122"/>
      <c r="AB92" s="1122"/>
      <c r="AC92" s="1122"/>
    </row>
    <row r="93" spans="1:29" ht="15">
      <c r="A93" s="1049"/>
      <c r="B93" s="1251"/>
      <c r="C93" s="1248">
        <v>100</v>
      </c>
      <c r="D93" s="1248">
        <f>C93-2</f>
        <v>98</v>
      </c>
      <c r="E93" s="1248">
        <f>D93-2</f>
        <v>96</v>
      </c>
      <c r="F93" s="3169"/>
      <c r="G93" s="1248"/>
      <c r="H93" s="1248"/>
      <c r="I93" s="1248"/>
      <c r="J93" s="1248"/>
      <c r="K93" s="1248"/>
      <c r="L93" s="1248"/>
      <c r="M93" s="1290"/>
      <c r="N93" s="1289" t="s">
        <v>2769</v>
      </c>
      <c r="O93" s="1291">
        <v>70</v>
      </c>
      <c r="P93" s="1535">
        <f>ROUND(O93/O96*P96,2)</f>
        <v>98.25</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2770</v>
      </c>
      <c r="O94" s="1289">
        <v>60</v>
      </c>
      <c r="P94" s="1535"/>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2771</v>
      </c>
      <c r="O95" s="1291">
        <v>55</v>
      </c>
      <c r="P95" s="1535"/>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2772</v>
      </c>
      <c r="O96" s="3166">
        <f>(O92+O93+O94+O95)/4</f>
        <v>71.25</v>
      </c>
      <c r="P96" s="1535">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2775</v>
      </c>
      <c r="O97" s="3166">
        <f>(O92+O93+O94)/3</f>
        <v>76.666666666666671</v>
      </c>
      <c r="P97" s="1535">
        <v>100</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91" t="s">
        <v>2787</v>
      </c>
      <c r="O98" s="3166">
        <f>(O92+O93)/2</f>
        <v>85</v>
      </c>
      <c r="P98" s="1535">
        <f>ROUND(O92/O98*P96,2)</f>
        <v>117.65</v>
      </c>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c r="A100" s="1062" t="s">
        <v>1418</v>
      </c>
      <c r="B100" s="1246" t="s">
        <v>1630</v>
      </c>
      <c r="C100" s="2099" t="s">
        <v>2789</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100(含)-300</v>
      </c>
      <c r="E102" s="1267" t="str">
        <f t="shared" si="24"/>
        <v>300(含)-500</v>
      </c>
      <c r="F102" s="1267" t="str">
        <f t="shared" si="24"/>
        <v>500(含)-800</v>
      </c>
      <c r="G102" s="1267" t="str">
        <f t="shared" si="24"/>
        <v>800(含)-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300</v>
      </c>
      <c r="F103" s="1235">
        <v>500</v>
      </c>
      <c r="G103" s="1235">
        <v>800</v>
      </c>
      <c r="H103" s="1235"/>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ht="15">
      <c r="A104" s="1256"/>
      <c r="B104" s="1251"/>
      <c r="C104" s="1259">
        <v>98</v>
      </c>
      <c r="D104" s="1248">
        <v>99</v>
      </c>
      <c r="E104" s="1248">
        <v>100</v>
      </c>
      <c r="F104" s="1248">
        <v>99</v>
      </c>
      <c r="G104" s="1248">
        <v>98</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c r="A105" s="1098"/>
      <c r="B105" s="1249" t="s">
        <v>1423</v>
      </c>
      <c r="C105" s="2098" t="s">
        <v>2776</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5">C106-$K34</f>
        <v>100</v>
      </c>
      <c r="E106" s="1252">
        <f t="shared" si="25"/>
        <v>100</v>
      </c>
      <c r="F106" s="1252">
        <f t="shared" si="25"/>
        <v>100</v>
      </c>
      <c r="G106" s="1252">
        <f t="shared" si="25"/>
        <v>100</v>
      </c>
      <c r="H106" s="1252">
        <f t="shared" si="25"/>
        <v>100</v>
      </c>
      <c r="I106" s="1252">
        <f t="shared" si="25"/>
        <v>100</v>
      </c>
      <c r="J106" s="1252">
        <f t="shared" si="25"/>
        <v>100</v>
      </c>
      <c r="K106" s="1252">
        <f t="shared" si="25"/>
        <v>100</v>
      </c>
      <c r="L106" s="1252">
        <f t="shared" si="25"/>
        <v>100</v>
      </c>
      <c r="M106" s="1295">
        <f t="shared" si="25"/>
        <v>100</v>
      </c>
      <c r="N106" s="1291"/>
      <c r="O106" s="1291"/>
      <c r="P106" s="1535"/>
      <c r="Q106" s="1224"/>
      <c r="R106" s="1122"/>
      <c r="S106" s="1122"/>
      <c r="T106" s="1122"/>
      <c r="U106" s="1122"/>
      <c r="V106" s="1122"/>
      <c r="W106" s="1122"/>
      <c r="X106" s="1122"/>
      <c r="Y106" s="1122"/>
      <c r="Z106" s="1122"/>
      <c r="AA106" s="1122"/>
      <c r="AB106" s="1122"/>
      <c r="AC106" s="1122"/>
    </row>
    <row r="107" spans="1:29">
      <c r="A107" s="1098"/>
      <c r="B107" s="1249" t="s">
        <v>1425</v>
      </c>
      <c r="C107" s="2098" t="s">
        <v>2777</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95">
        <f t="shared" si="26"/>
        <v>100</v>
      </c>
      <c r="N108" s="1291"/>
      <c r="O108" s="1291"/>
      <c r="P108" s="1535"/>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7">D111+$K36</f>
        <v>100</v>
      </c>
      <c r="F111" s="1252">
        <f t="shared" si="27"/>
        <v>100</v>
      </c>
      <c r="G111" s="1252">
        <f t="shared" si="27"/>
        <v>100</v>
      </c>
      <c r="H111" s="1252">
        <f t="shared" si="27"/>
        <v>100</v>
      </c>
      <c r="I111" s="1252">
        <f t="shared" si="27"/>
        <v>100</v>
      </c>
      <c r="J111" s="1252">
        <f t="shared" si="27"/>
        <v>100</v>
      </c>
      <c r="K111" s="1252">
        <f t="shared" si="27"/>
        <v>100</v>
      </c>
      <c r="L111" s="1252">
        <f t="shared" si="27"/>
        <v>100</v>
      </c>
      <c r="M111" s="1252">
        <f t="shared" si="27"/>
        <v>100</v>
      </c>
      <c r="N111" s="1291"/>
      <c r="O111" s="1291"/>
      <c r="P111" s="1535"/>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8">D113-$K37</f>
        <v>100</v>
      </c>
      <c r="F113" s="1252">
        <f t="shared" si="28"/>
        <v>100</v>
      </c>
      <c r="G113" s="1252">
        <f t="shared" si="28"/>
        <v>100</v>
      </c>
      <c r="H113" s="1252">
        <f t="shared" si="28"/>
        <v>100</v>
      </c>
      <c r="I113" s="1252">
        <f t="shared" si="28"/>
        <v>100</v>
      </c>
      <c r="J113" s="1252">
        <f t="shared" si="28"/>
        <v>100</v>
      </c>
      <c r="K113" s="1252">
        <f t="shared" si="28"/>
        <v>100</v>
      </c>
      <c r="L113" s="1252">
        <f t="shared" si="28"/>
        <v>100</v>
      </c>
      <c r="M113" s="1252">
        <f t="shared" si="28"/>
        <v>100</v>
      </c>
      <c r="N113" s="1301"/>
      <c r="O113" s="1301"/>
      <c r="P113" s="1540"/>
      <c r="Q113" s="1330"/>
      <c r="R113" s="1191"/>
      <c r="S113" s="1191"/>
      <c r="T113" s="1191"/>
      <c r="U113" s="1191"/>
      <c r="V113" s="1191"/>
      <c r="W113" s="1191"/>
      <c r="X113" s="1191"/>
      <c r="Y113" s="1191"/>
      <c r="Z113" s="1191"/>
      <c r="AA113" s="1191"/>
      <c r="AB113" s="1191"/>
      <c r="AC113" s="1191"/>
    </row>
    <row r="114" spans="1:29">
      <c r="A114" s="1098"/>
      <c r="B114" s="1249" t="s">
        <v>1631</v>
      </c>
      <c r="C114" s="2098" t="s">
        <v>2773</v>
      </c>
      <c r="D114" s="2098" t="s">
        <v>2774</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29">C115-$K38</f>
        <v>100</v>
      </c>
      <c r="E115" s="1252">
        <f t="shared" si="29"/>
        <v>100</v>
      </c>
      <c r="F115" s="1252">
        <f t="shared" si="29"/>
        <v>100</v>
      </c>
      <c r="G115" s="1252">
        <f t="shared" si="29"/>
        <v>100</v>
      </c>
      <c r="H115" s="1252">
        <f t="shared" si="29"/>
        <v>100</v>
      </c>
      <c r="I115" s="1252">
        <f t="shared" si="29"/>
        <v>100</v>
      </c>
      <c r="J115" s="1252">
        <f t="shared" si="29"/>
        <v>100</v>
      </c>
      <c r="K115" s="1252">
        <f t="shared" si="29"/>
        <v>100</v>
      </c>
      <c r="L115" s="1252">
        <f t="shared" si="29"/>
        <v>100</v>
      </c>
      <c r="M115" s="1295">
        <f t="shared" si="29"/>
        <v>100</v>
      </c>
      <c r="N115" s="1291"/>
      <c r="O115" s="1291"/>
      <c r="P115" s="1535"/>
      <c r="Q115" s="1224"/>
      <c r="R115" s="1122"/>
      <c r="S115" s="1122"/>
      <c r="T115" s="1122"/>
      <c r="U115" s="1122"/>
      <c r="V115" s="1122"/>
      <c r="W115" s="1122"/>
      <c r="X115" s="1122"/>
      <c r="Y115" s="1122"/>
      <c r="Z115" s="1122"/>
      <c r="AA115" s="1122"/>
      <c r="AB115" s="1122"/>
      <c r="AC115" s="1122"/>
    </row>
    <row r="116" spans="1:29">
      <c r="A116" s="1098"/>
      <c r="B116" s="1249" t="s">
        <v>1432</v>
      </c>
      <c r="C116" s="2098" t="s">
        <v>2795</v>
      </c>
      <c r="D116" s="2098" t="s">
        <v>2797</v>
      </c>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104</v>
      </c>
      <c r="E117" s="1252">
        <f>D117-$K39</f>
        <v>108</v>
      </c>
      <c r="F117" s="1252">
        <f>E117-$K39</f>
        <v>112</v>
      </c>
      <c r="G117" s="1252">
        <f>F117-$K39</f>
        <v>116</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0">D121-$K41</f>
        <v>100</v>
      </c>
      <c r="F121" s="1252">
        <f t="shared" si="30"/>
        <v>100</v>
      </c>
      <c r="G121" s="1252">
        <f t="shared" si="30"/>
        <v>100</v>
      </c>
      <c r="H121" s="1252">
        <f t="shared" si="30"/>
        <v>100</v>
      </c>
      <c r="I121" s="1252">
        <f t="shared" si="30"/>
        <v>100</v>
      </c>
      <c r="J121" s="1252">
        <f t="shared" si="30"/>
        <v>100</v>
      </c>
      <c r="K121" s="1252">
        <f t="shared" si="30"/>
        <v>100</v>
      </c>
      <c r="L121" s="1252">
        <f t="shared" si="30"/>
        <v>100</v>
      </c>
      <c r="M121" s="1295">
        <f t="shared" si="30"/>
        <v>100</v>
      </c>
      <c r="N121" s="1301"/>
      <c r="O121" s="1301"/>
      <c r="P121" s="1540"/>
      <c r="Q121" s="1330"/>
      <c r="R121" s="1191"/>
      <c r="S121" s="1191"/>
      <c r="T121" s="1191"/>
      <c r="U121" s="1191"/>
      <c r="V121" s="1191"/>
      <c r="W121" s="1191"/>
      <c r="X121" s="1191"/>
      <c r="Y121" s="1191"/>
      <c r="Z121" s="1191"/>
      <c r="AA121" s="1191"/>
      <c r="AB121" s="1191"/>
      <c r="AC121" s="1191"/>
    </row>
    <row r="122" spans="1:29">
      <c r="A122" s="1098"/>
      <c r="B122" s="1249" t="s">
        <v>1434</v>
      </c>
      <c r="C122" s="2098" t="s">
        <v>2777</v>
      </c>
      <c r="D122" s="2098" t="s">
        <v>2778</v>
      </c>
      <c r="E122" s="2098" t="s">
        <v>2779</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1">C123-$K42</f>
        <v>97</v>
      </c>
      <c r="E123" s="1252">
        <f t="shared" si="31"/>
        <v>94</v>
      </c>
      <c r="F123" s="1252">
        <f t="shared" si="31"/>
        <v>91</v>
      </c>
      <c r="G123" s="1252">
        <f t="shared" si="31"/>
        <v>88</v>
      </c>
      <c r="H123" s="1252">
        <f t="shared" si="31"/>
        <v>85</v>
      </c>
      <c r="I123" s="1252">
        <f t="shared" si="31"/>
        <v>82</v>
      </c>
      <c r="J123" s="1252">
        <f t="shared" si="31"/>
        <v>79</v>
      </c>
      <c r="K123" s="1252">
        <f t="shared" si="31"/>
        <v>76</v>
      </c>
      <c r="L123" s="1252">
        <f t="shared" si="31"/>
        <v>73</v>
      </c>
      <c r="M123" s="1295">
        <f t="shared" si="31"/>
        <v>70</v>
      </c>
      <c r="N123" s="1291"/>
      <c r="O123" s="1291"/>
      <c r="P123" s="1535"/>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t="str">
        <f>B44</f>
        <v>户型</v>
      </c>
      <c r="C126" s="2098" t="s">
        <v>2798</v>
      </c>
      <c r="D126" s="1257" t="s">
        <v>2799</v>
      </c>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ht="15">
      <c r="A127" s="1256"/>
      <c r="B127" s="1251"/>
      <c r="C127" s="1259">
        <v>90</v>
      </c>
      <c r="D127" s="1248">
        <v>100</v>
      </c>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E56" sqref="E56"/>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t="s">
        <v>230</v>
      </c>
      <c r="D1" s="1820" t="s">
        <v>124</v>
      </c>
      <c r="E1" s="1821" t="s">
        <v>1185</v>
      </c>
      <c r="F1" s="1822">
        <f ca="1">J53</f>
        <v>36.06</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137.90520000000001</v>
      </c>
      <c r="C2" s="1826" t="s">
        <v>1187</v>
      </c>
      <c r="D2" s="1827">
        <f ca="1">C40+J29+L46</f>
        <v>1379052</v>
      </c>
      <c r="E2" s="1828" t="s">
        <v>1462</v>
      </c>
      <c r="F2" s="1829"/>
      <c r="G2" s="1830"/>
      <c r="H2" s="1831"/>
      <c r="I2" s="1831"/>
      <c r="J2" s="1831"/>
      <c r="K2" s="1986"/>
      <c r="L2" s="1831"/>
      <c r="M2" s="1831"/>
    </row>
    <row r="3" spans="1:37" ht="18" customHeight="1">
      <c r="A3" s="1832" t="s">
        <v>1188</v>
      </c>
      <c r="B3" s="1833">
        <f ca="1">IF(ISERROR(D2/F43),0,ROUND(D2/F43,0))</f>
        <v>10288</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83276</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ROUND(F6*F8*F7*(1-F9),0)</f>
        <v>83172</v>
      </c>
      <c r="D6" s="1847" t="s">
        <v>1463</v>
      </c>
      <c r="E6" s="1848" t="s">
        <v>1200</v>
      </c>
      <c r="F6" s="1849">
        <f ca="1">INDIRECT("'数据-取费表'!u"&amp;$G$1)</f>
        <v>2</v>
      </c>
      <c r="G6" s="718"/>
      <c r="H6" s="1845" t="s">
        <v>939</v>
      </c>
      <c r="I6" s="3360" t="s">
        <v>1198</v>
      </c>
      <c r="J6" s="1919">
        <f ca="1">ROUND(M6*M8*M7*(1-M9),0)</f>
        <v>0</v>
      </c>
      <c r="K6" s="1989" t="s">
        <v>1464</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134.04</v>
      </c>
      <c r="G7" s="718"/>
      <c r="H7" s="1854"/>
      <c r="I7" s="3361"/>
      <c r="J7" s="1855"/>
      <c r="K7" s="1852"/>
      <c r="L7" s="1848" t="s">
        <v>1202</v>
      </c>
      <c r="M7" s="1849">
        <f ca="1">F7</f>
        <v>134.04</v>
      </c>
    </row>
    <row r="8" spans="1:37" ht="18" customHeight="1">
      <c r="A8" s="1854"/>
      <c r="B8" s="3361"/>
      <c r="C8" s="1855"/>
      <c r="D8" s="1852"/>
      <c r="E8" s="1848" t="s">
        <v>1203</v>
      </c>
      <c r="F8" s="1849">
        <f ca="1">INDIRECT("'数据-取费表'!ai"&amp;$G$1)</f>
        <v>365</v>
      </c>
      <c r="G8" s="718"/>
      <c r="H8" s="1854"/>
      <c r="I8" s="3361"/>
      <c r="J8" s="1855"/>
      <c r="K8" s="1852"/>
      <c r="L8" s="1848" t="s">
        <v>1203</v>
      </c>
      <c r="M8" s="1849">
        <f ca="1">INDIRECT("'数据-取费表'!ai"&amp;$G$1)</f>
        <v>365</v>
      </c>
    </row>
    <row r="9" spans="1:37" ht="18" customHeight="1">
      <c r="A9" s="1854"/>
      <c r="B9" s="3362"/>
      <c r="C9" s="1855"/>
      <c r="D9" s="1852"/>
      <c r="E9" s="1848" t="s">
        <v>1204</v>
      </c>
      <c r="F9" s="1856">
        <f ca="1">INDIRECT("'数据-取费表'!w"&amp;$G$1)</f>
        <v>0.15</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104</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753136</v>
      </c>
      <c r="D13" s="1875" t="s">
        <v>1212</v>
      </c>
      <c r="E13" s="1875" t="s">
        <v>1213</v>
      </c>
      <c r="F13" s="1876">
        <f ca="1">INDIRECT("'数据-取费表'!y"&amp;$G$1)</f>
        <v>0.85</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603180</v>
      </c>
      <c r="D14" s="1879" t="s">
        <v>1215</v>
      </c>
      <c r="E14" s="1880"/>
      <c r="F14" s="1881"/>
      <c r="G14" s="718"/>
      <c r="H14" s="1877" t="s">
        <v>939</v>
      </c>
      <c r="I14" s="1848" t="s">
        <v>1216</v>
      </c>
      <c r="J14" s="950">
        <f ca="1">C29</f>
        <v>886042</v>
      </c>
      <c r="K14" s="1998"/>
      <c r="L14" s="1999"/>
      <c r="M14" s="2000"/>
    </row>
    <row r="15" spans="1:37" s="1816" customFormat="1" ht="18" customHeight="1">
      <c r="A15" s="1877" t="s">
        <v>966</v>
      </c>
      <c r="B15" s="1848" t="s">
        <v>1145</v>
      </c>
      <c r="C15" s="950">
        <f ca="1">ROUND(C14*F15,0)</f>
        <v>30159</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8860</v>
      </c>
      <c r="K16" s="1897" t="s">
        <v>1221</v>
      </c>
      <c r="L16" s="1898"/>
      <c r="M16" s="1844"/>
    </row>
    <row r="17" spans="1:37" s="1816" customFormat="1" ht="18" customHeight="1">
      <c r="A17" s="1877" t="s">
        <v>1222</v>
      </c>
      <c r="B17" s="1848" t="s">
        <v>1223</v>
      </c>
      <c r="C17" s="950">
        <f ca="1">ROUND(F17*(F43+INDIRECT("'数据-取费表'!S"&amp;$G$1)),0)</f>
        <v>26808</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12064</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672211</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20166</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8860</v>
      </c>
      <c r="K22" s="1901" t="s">
        <v>1247</v>
      </c>
      <c r="L22" s="1848" t="s">
        <v>1218</v>
      </c>
      <c r="M22" s="1913">
        <f ca="1">INDIRECT("'数据-取费表'!Ak"&amp;$G$1)</f>
        <v>0.01</v>
      </c>
    </row>
    <row r="23" spans="1:37" s="1816" customFormat="1" ht="18" customHeight="1">
      <c r="A23" s="1877" t="s">
        <v>962</v>
      </c>
      <c r="B23" s="1848" t="s">
        <v>1248</v>
      </c>
      <c r="C23" s="950">
        <f ca="1">IF('数据-取费表'!B22&lt;=1,ROUND(C19*F24*F23/2,0)+ROUND(C20*F24*F23/2,0),ROUND(C19*(POWER((1+F24),F23/2)-1),0)+ROUND(C20*(POWER((1+F24),F23/2)-1),0))</f>
        <v>21671</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0.01</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-8860</v>
      </c>
      <c r="K25" s="1916" t="s">
        <v>1259</v>
      </c>
      <c r="L25" s="1917"/>
      <c r="M25" s="1918"/>
    </row>
    <row r="26" spans="1:37" ht="18" customHeight="1">
      <c r="A26" s="1877" t="s">
        <v>962</v>
      </c>
      <c r="B26" s="1848" t="s">
        <v>1260</v>
      </c>
      <c r="C26" s="950">
        <f ca="1">ROUND((C19+C20)*F26,0)</f>
        <v>103857</v>
      </c>
      <c r="D26" s="1889" t="s">
        <v>1261</v>
      </c>
      <c r="E26" s="1859" t="s">
        <v>1262</v>
      </c>
      <c r="F26" s="1856">
        <f ca="1">INDIRECT("'数据-取费表'!q"&amp;$G$1)</f>
        <v>0.15</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3.0000000000000001E-3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886042</v>
      </c>
      <c r="D29" s="1894"/>
      <c r="E29" s="1870"/>
      <c r="F29" s="1895"/>
      <c r="G29" s="1884"/>
      <c r="H29" s="1896" t="s">
        <v>1275</v>
      </c>
      <c r="I29" s="1925" t="s">
        <v>1276</v>
      </c>
      <c r="J29" s="1926">
        <f ca="1">ROUND(J26/(1+F40)^F41,0)</f>
        <v>0</v>
      </c>
      <c r="K29" s="1927" t="s">
        <v>1277</v>
      </c>
      <c r="L29" s="1928"/>
      <c r="M29" s="1929">
        <f ca="1">INDIRECT("'数据-取费表'!k"&amp;$G$1)</f>
        <v>134.04</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15991</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5545</v>
      </c>
      <c r="D31" s="1879" t="s">
        <v>1227</v>
      </c>
      <c r="E31" s="1901" t="s">
        <v>1228</v>
      </c>
      <c r="F31" s="1902">
        <f ca="1">IF(项目基本情况!B11="企业","——",IF(M47="住宅",IF(F6*F7*F8/12/(1+'数据-取费表'!F30)&gt;100000,4%,2.5%),IF(F6*F7*F8/12/(1+'数据-取费表'!F30)&gt;100000,12%,7%)))</f>
        <v>7.0000000000000007E-2</v>
      </c>
      <c r="G31" s="718"/>
      <c r="H31" s="1903" t="s">
        <v>1278</v>
      </c>
      <c r="I31" s="2005"/>
      <c r="J31" s="2006"/>
      <c r="K31" s="939"/>
      <c r="L31" s="2007"/>
      <c r="M31" s="2008"/>
    </row>
    <row r="32" spans="1:37" ht="18" customHeight="1">
      <c r="A32" s="1877" t="s">
        <v>962</v>
      </c>
      <c r="B32" s="1848" t="s">
        <v>1230</v>
      </c>
      <c r="C32" s="950" t="str">
        <f>IF(项目基本情况!B11="自然人","——",ROUND(C6*F32/(1+'数据-取费表'!C42),0))</f>
        <v>——</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t="str">
        <f ca="1">IF(项目基本情况!B11="自然人","——",IF(D33="按租金收入计税",ROUND(C6*F33/(1+'数据-取费表'!C42),0),IF(D33="按房产原值计税",ROUND(C29*F33*0.7,0),INDIRECT("'数据-取费表'!Aj"&amp;$G$1))))</f>
        <v>——</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t="str">
        <f>IF(项目基本情况!B11="自然人","——",ROUND(F34*F35,0))</f>
        <v>——</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8860</v>
      </c>
      <c r="D36" s="1901" t="s">
        <v>1279</v>
      </c>
      <c r="E36" s="1848" t="s">
        <v>1218</v>
      </c>
      <c r="F36" s="1913">
        <f ca="1">INDIRECT("'数据-取费表'!Ak"&amp;$G$1)</f>
        <v>0.01</v>
      </c>
      <c r="G36" s="718"/>
      <c r="H36" s="1905"/>
      <c r="I36" s="2005"/>
      <c r="J36" s="2006"/>
      <c r="K36" s="2012"/>
      <c r="L36" s="1905"/>
      <c r="M36" s="1905"/>
    </row>
    <row r="37" spans="1:18" ht="18" customHeight="1">
      <c r="A37" s="1877" t="s">
        <v>988</v>
      </c>
      <c r="B37" s="1848" t="s">
        <v>1250</v>
      </c>
      <c r="C37" s="950">
        <f ca="1">ROUND(C13*F37,0)</f>
        <v>753</v>
      </c>
      <c r="D37" s="1901" t="s">
        <v>1251</v>
      </c>
      <c r="E37" s="1848" t="s">
        <v>1218</v>
      </c>
      <c r="F37" s="1914">
        <f ca="1">INDIRECT("'数据-取费表'!Al"&amp;$G$1)</f>
        <v>1E-3</v>
      </c>
      <c r="G37" s="718"/>
      <c r="H37" s="1905"/>
      <c r="I37" s="2005"/>
      <c r="J37" s="2006"/>
      <c r="K37" s="2012"/>
      <c r="L37" s="1905"/>
      <c r="M37" s="1905"/>
    </row>
    <row r="38" spans="1:18" ht="18" customHeight="1">
      <c r="A38" s="1885" t="s">
        <v>991</v>
      </c>
      <c r="B38" s="1870" t="s">
        <v>1236</v>
      </c>
      <c r="C38" s="1893">
        <f ca="1">ROUND(C5*F38,0)</f>
        <v>833</v>
      </c>
      <c r="D38" s="1894" t="s">
        <v>1254</v>
      </c>
      <c r="E38" s="1870" t="s">
        <v>1218</v>
      </c>
      <c r="F38" s="1871">
        <f ca="1">INDIRECT("'数据-取费表'!Am"&amp;$G$1)</f>
        <v>0.01</v>
      </c>
      <c r="G38" s="718"/>
      <c r="H38" s="1905"/>
      <c r="I38" s="2005"/>
      <c r="J38" s="2006"/>
      <c r="K38" s="2007"/>
      <c r="L38" s="1905"/>
      <c r="M38" s="1905"/>
    </row>
    <row r="39" spans="1:18" ht="24.6" customHeight="1">
      <c r="A39" s="1872" t="s">
        <v>1257</v>
      </c>
      <c r="B39" s="1915" t="s">
        <v>1258</v>
      </c>
      <c r="C39" s="1874">
        <f ca="1">C5-C30</f>
        <v>67285</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1352935</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36.06</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10094</v>
      </c>
      <c r="D43" s="1927" t="s">
        <v>1282</v>
      </c>
      <c r="E43" s="1928" t="s">
        <v>1283</v>
      </c>
      <c r="F43" s="1929">
        <f ca="1">INDIRECT("'数据-取费表'!k"&amp;$G$1)</f>
        <v>134.04</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-150.23650000000001</v>
      </c>
      <c r="D45" s="1934" t="s">
        <v>1470</v>
      </c>
      <c r="E45" s="1930"/>
      <c r="F45" s="1930"/>
      <c r="O45" s="2014" t="s">
        <v>1284</v>
      </c>
      <c r="P45" s="1920"/>
      <c r="Q45" s="1920"/>
      <c r="R45" s="1920"/>
    </row>
    <row r="46" spans="1:18" s="718" customFormat="1">
      <c r="A46" s="1935" t="s">
        <v>1285</v>
      </c>
      <c r="C46" s="1936">
        <f ca="1">ROUND(C45,0)</f>
        <v>-150</v>
      </c>
      <c r="D46" s="1937" t="str">
        <f>C2</f>
        <v>万元</v>
      </c>
      <c r="I46" s="2015" t="s">
        <v>1286</v>
      </c>
      <c r="J46" s="2016"/>
      <c r="K46" s="2017"/>
      <c r="L46" s="2018">
        <f ca="1">IF(M47="住宅",0,IF(L48&gt;J51,L60,J60))</f>
        <v>26117</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50</v>
      </c>
      <c r="M47" s="2025" t="str">
        <f>IF(ISNUMBER(FIND("住宅",C1)),"住宅","非住宅")</f>
        <v>非住宅</v>
      </c>
      <c r="O47" s="2026" t="s">
        <v>1044</v>
      </c>
      <c r="P47" s="2027" t="s">
        <v>1293</v>
      </c>
      <c r="Q47" s="2063">
        <f ca="1">C40+J29</f>
        <v>1352935</v>
      </c>
      <c r="R47" s="2063" t="s">
        <v>1294</v>
      </c>
    </row>
    <row r="48" spans="1:18" s="718" customFormat="1" ht="27.75">
      <c r="A48" s="1942" t="s">
        <v>1295</v>
      </c>
      <c r="B48" s="1840" t="s">
        <v>1196</v>
      </c>
      <c r="C48" s="951">
        <f ca="1">C49+C53+C55</f>
        <v>0</v>
      </c>
      <c r="D48" s="1943"/>
      <c r="E48" s="1944"/>
      <c r="F48" s="1945"/>
      <c r="G48" s="1941"/>
      <c r="H48" s="1946"/>
      <c r="I48" s="2028" t="s">
        <v>1296</v>
      </c>
      <c r="J48" s="2029" t="s">
        <v>1471</v>
      </c>
      <c r="K48" s="2030" t="s">
        <v>1297</v>
      </c>
      <c r="L48" s="2031">
        <f ca="1">INDIRECT("'数据-取费表'!f"&amp;$G$1)</f>
        <v>36.06</v>
      </c>
      <c r="O48" s="2026" t="s">
        <v>1047</v>
      </c>
      <c r="P48" s="2027" t="s">
        <v>1298</v>
      </c>
      <c r="Q48" s="2063">
        <f ca="1">J60</f>
        <v>26117</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2016</v>
      </c>
      <c r="K49" s="2030" t="s">
        <v>1304</v>
      </c>
      <c r="L49" s="2033"/>
      <c r="O49" s="2034" t="s">
        <v>1305</v>
      </c>
      <c r="P49" s="2027" t="s">
        <v>1306</v>
      </c>
      <c r="Q49" s="2063">
        <f ca="1">C29</f>
        <v>886042</v>
      </c>
      <c r="R49" s="2063" t="s">
        <v>1294</v>
      </c>
    </row>
    <row r="50" spans="1:18" s="718" customFormat="1">
      <c r="A50" s="1953"/>
      <c r="B50" s="915"/>
      <c r="C50" s="1954"/>
      <c r="D50" s="1955"/>
      <c r="E50" s="1956" t="s">
        <v>1202</v>
      </c>
      <c r="F50" s="1957">
        <f ca="1">F7</f>
        <v>134.04</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51</v>
      </c>
      <c r="K51" s="2038" t="s">
        <v>1312</v>
      </c>
      <c r="L51" s="2039">
        <f ca="1">ROUND(-PV(INDIRECT("'数据-取费表'!h"&amp;$G$1),J51,(C39-C13*C76),0),0)</f>
        <v>267116</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36.06</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36.06</v>
      </c>
      <c r="K53" s="3358" t="s">
        <v>1322</v>
      </c>
      <c r="L53" s="3359"/>
      <c r="O53" s="2026" t="s">
        <v>1147</v>
      </c>
      <c r="P53" s="2027" t="s">
        <v>1323</v>
      </c>
      <c r="Q53" s="2063">
        <f ca="1">Q47+Q48</f>
        <v>1379052</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0.249</v>
      </c>
      <c r="K55" s="2049" t="s">
        <v>1327</v>
      </c>
      <c r="L55" s="2050"/>
      <c r="O55" s="2019" t="s">
        <v>1287</v>
      </c>
      <c r="P55" s="2020" t="s">
        <v>1288</v>
      </c>
      <c r="Q55" s="2062" t="s">
        <v>1289</v>
      </c>
      <c r="R55" s="2062" t="s">
        <v>1290</v>
      </c>
    </row>
    <row r="56" spans="1:18" s="718" customFormat="1" ht="36" customHeight="1">
      <c r="A56" s="1965">
        <v>2</v>
      </c>
      <c r="B56" s="1966" t="s">
        <v>1211</v>
      </c>
      <c r="C56" s="376">
        <f ca="1">C13</f>
        <v>753136</v>
      </c>
      <c r="D56" s="1967"/>
      <c r="E56" s="1968"/>
      <c r="F56" s="1964"/>
      <c r="I56" s="2051" t="s">
        <v>1328</v>
      </c>
      <c r="J56" s="2052" t="s">
        <v>534</v>
      </c>
      <c r="K56" s="2028" t="s">
        <v>1329</v>
      </c>
      <c r="L56" s="2031" t="str">
        <f ca="1">IF(L48&lt;J51,"——",L48-J51)</f>
        <v>——</v>
      </c>
      <c r="O56" s="2026" t="s">
        <v>1044</v>
      </c>
      <c r="P56" s="2027" t="s">
        <v>1293</v>
      </c>
      <c r="Q56" s="2063">
        <f ca="1">C40+J29</f>
        <v>1352935</v>
      </c>
      <c r="R56" s="2063" t="s">
        <v>1294</v>
      </c>
    </row>
    <row r="57" spans="1:18" s="718" customFormat="1" ht="24">
      <c r="A57" s="1969"/>
      <c r="B57" s="1970" t="s">
        <v>1274</v>
      </c>
      <c r="C57" s="386">
        <f ca="1">C29</f>
        <v>886042</v>
      </c>
      <c r="D57" s="1971"/>
      <c r="E57" s="1972"/>
      <c r="F57" s="1973"/>
      <c r="I57" s="2053" t="s">
        <v>1330</v>
      </c>
      <c r="J57" s="2054">
        <f ca="1">IF(OR(M47="住宅",J51&lt;L48,J56="是"),"——",J51-L48)</f>
        <v>14.939999999999998</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9613</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f ca="1">IF(项目基本情况!B11="企业","——",IF('数据-取费表'!B10="住宅",IF(F49*F50*F51/12/(1+'数据-取费表'!F30)&gt;100000,4%,2.5%),IF(F49*F50*F51/12/(1+'数据-取费表'!F30)&gt;100000,12%,7%)))</f>
        <v>7.0000000000000007E-2</v>
      </c>
      <c r="I59" s="2053" t="s">
        <v>1337</v>
      </c>
      <c r="J59" s="2054">
        <f ca="1">IF(OR(M47="住宅",J51&lt;L48,J56="是"),"——",ROUND(C29*J58,0))</f>
        <v>354417</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t="str">
        <f>IF(项目基本情况!B11="自然人","——",ROUND(C48*F60/(1+'数据-取费表'!C42),0))</f>
        <v>——</v>
      </c>
      <c r="D60" s="1978" t="s">
        <v>1231</v>
      </c>
      <c r="E60" s="1970" t="s">
        <v>1218</v>
      </c>
      <c r="F60" s="1892">
        <f t="shared" ref="F60:F66" si="0">F32</f>
        <v>5.6000000000000001E-2</v>
      </c>
      <c r="I60" s="2056" t="s">
        <v>1339</v>
      </c>
      <c r="J60" s="2057">
        <f ca="1">IF(OR(M47="住宅",J51&lt;L48,J56="是"),"0",ROUND(J59/(1+J52)^J53,0))</f>
        <v>26117</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t="str">
        <f ca="1">IF(项目基本情况!B11="自然人","——",IF(D61="按租金收入计税",ROUND(C49*F61/(1+'数据-取费表'!C42),0),IF(D61="按房产原值计税",ROUND(C57*F61*0.7,0),INDIRECT("'数据-取费表'!Aj"&amp;$G$1))))</f>
        <v>——</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t="str">
        <f>IF(项目基本情况!B11="自然人","——",ROUND(F62*F63,0))</f>
        <v>——</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1352935</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8860</v>
      </c>
      <c r="D64" s="1978" t="s">
        <v>1279</v>
      </c>
      <c r="E64" s="1970" t="s">
        <v>1218</v>
      </c>
      <c r="F64" s="1913">
        <f t="shared" ca="1" si="0"/>
        <v>0.01</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753</v>
      </c>
      <c r="D65" s="1978" t="s">
        <v>1251</v>
      </c>
      <c r="E65" s="1970" t="s">
        <v>1218</v>
      </c>
      <c r="F65" s="1914">
        <f t="shared" ca="1" si="0"/>
        <v>1E-3</v>
      </c>
      <c r="I65" s="2059" t="s">
        <v>1352</v>
      </c>
      <c r="J65" s="1139">
        <v>40</v>
      </c>
      <c r="K65" s="1139">
        <v>30</v>
      </c>
      <c r="L65" s="1139">
        <v>50</v>
      </c>
      <c r="M65" s="2061">
        <v>0.02</v>
      </c>
      <c r="O65" s="2026" t="s">
        <v>1044</v>
      </c>
      <c r="P65" s="2027" t="s">
        <v>1293</v>
      </c>
      <c r="Q65" s="2063">
        <f ca="1">C40+J29</f>
        <v>1352935</v>
      </c>
      <c r="R65" s="2063" t="s">
        <v>1294</v>
      </c>
    </row>
    <row r="66" spans="1:18" s="718" customFormat="1" ht="15.75">
      <c r="A66" s="1877" t="s">
        <v>991</v>
      </c>
      <c r="B66" s="1970" t="s">
        <v>1236</v>
      </c>
      <c r="C66" s="950">
        <f ca="1">ROUND(C48*F66,0)</f>
        <v>0</v>
      </c>
      <c r="D66" s="1978" t="s">
        <v>1254</v>
      </c>
      <c r="E66" s="1970" t="s">
        <v>1218</v>
      </c>
      <c r="F66" s="1856">
        <f t="shared" ca="1" si="0"/>
        <v>0.01</v>
      </c>
      <c r="O66" s="2026" t="s">
        <v>1047</v>
      </c>
      <c r="P66" s="2027" t="s">
        <v>1332</v>
      </c>
      <c r="Q66" s="2063">
        <f ca="1">L60</f>
        <v>0</v>
      </c>
      <c r="R66" s="2063" t="s">
        <v>1333</v>
      </c>
    </row>
    <row r="67" spans="1:18" s="718" customFormat="1" ht="15.75">
      <c r="A67" s="1965" t="s">
        <v>1257</v>
      </c>
      <c r="B67" s="2065" t="s">
        <v>1258</v>
      </c>
      <c r="C67" s="949">
        <f ca="1">C48-C58</f>
        <v>-9613</v>
      </c>
      <c r="D67" s="1977" t="s">
        <v>1259</v>
      </c>
      <c r="E67" s="2066"/>
      <c r="F67" s="2067"/>
      <c r="O67" s="2034" t="s">
        <v>1305</v>
      </c>
      <c r="P67" s="2027" t="s">
        <v>1336</v>
      </c>
      <c r="Q67" s="2087">
        <f ca="1">L51</f>
        <v>267116</v>
      </c>
      <c r="R67" s="2063" t="s">
        <v>1353</v>
      </c>
    </row>
    <row r="68" spans="1:18" s="718" customFormat="1" ht="15.75">
      <c r="A68" s="2068" t="s">
        <v>1263</v>
      </c>
      <c r="B68" s="2069" t="s">
        <v>1280</v>
      </c>
      <c r="C68" s="1919">
        <f ca="1">ROUND(C67*(1-((1+F70)/(1+F68))^F69)/(F68-F70),0)</f>
        <v>-149430</v>
      </c>
      <c r="D68" s="1980" t="s">
        <v>1265</v>
      </c>
      <c r="E68" s="1970" t="s">
        <v>1266</v>
      </c>
      <c r="F68" s="1856">
        <f ca="1">F40</f>
        <v>5.5E-2</v>
      </c>
      <c r="O68" s="2034" t="s">
        <v>1309</v>
      </c>
      <c r="P68" s="2086" t="s">
        <v>1354</v>
      </c>
      <c r="Q68" s="2063">
        <f ca="1">ROUND(Q69-Q70*Q71,0)</f>
        <v>14565</v>
      </c>
      <c r="R68" s="2063" t="s">
        <v>1355</v>
      </c>
    </row>
    <row r="69" spans="1:18" s="718" customFormat="1">
      <c r="A69" s="2070"/>
      <c r="B69" s="2071"/>
      <c r="C69" s="1855"/>
      <c r="D69" s="2072" t="s">
        <v>1269</v>
      </c>
      <c r="E69" s="1970" t="s">
        <v>1270</v>
      </c>
      <c r="F69" s="1923">
        <f ca="1">F41</f>
        <v>36.06</v>
      </c>
      <c r="O69" s="2034" t="s">
        <v>1356</v>
      </c>
      <c r="P69" s="2086" t="s">
        <v>1357</v>
      </c>
      <c r="Q69" s="2063">
        <f ca="1">C39</f>
        <v>67285</v>
      </c>
      <c r="R69" s="2063" t="s">
        <v>1294</v>
      </c>
    </row>
    <row r="70" spans="1:18" s="718" customFormat="1">
      <c r="A70" s="2073"/>
      <c r="B70" s="2074"/>
      <c r="C70" s="1874"/>
      <c r="D70" s="1982"/>
      <c r="E70" s="1970" t="s">
        <v>1273</v>
      </c>
      <c r="F70" s="1960"/>
      <c r="O70" s="2034" t="s">
        <v>1358</v>
      </c>
      <c r="P70" s="2086" t="s">
        <v>1359</v>
      </c>
      <c r="Q70" s="2063">
        <f ca="1">C13</f>
        <v>753136</v>
      </c>
      <c r="R70" s="2063" t="s">
        <v>1294</v>
      </c>
    </row>
    <row r="71" spans="1:18" s="718" customFormat="1">
      <c r="A71" s="2075" t="s">
        <v>1275</v>
      </c>
      <c r="B71" s="2076" t="s">
        <v>1281</v>
      </c>
      <c r="C71" s="1926">
        <f ca="1">ROUND(C68/F71,0)</f>
        <v>-1115</v>
      </c>
      <c r="D71" s="2077" t="s">
        <v>1282</v>
      </c>
      <c r="E71" s="2078" t="s">
        <v>1283</v>
      </c>
      <c r="F71" s="1929">
        <f ca="1">F43</f>
        <v>134.04</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52720</v>
      </c>
      <c r="D75" s="718"/>
      <c r="E75" s="718"/>
      <c r="F75" s="718"/>
      <c r="K75" s="2013"/>
      <c r="L75" s="718"/>
      <c r="O75" s="2026" t="s">
        <v>1147</v>
      </c>
      <c r="P75" s="2027" t="s">
        <v>1323</v>
      </c>
      <c r="Q75" s="2063">
        <f ca="1">Q65+Q66</f>
        <v>1352935</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0.21599999999999997</v>
      </c>
    </row>
    <row r="80" spans="1:18">
      <c r="B80" s="2080" t="s">
        <v>1369</v>
      </c>
      <c r="C80" s="419">
        <f ca="1">ROUND(C75/C39,3)</f>
        <v>0.78400000000000003</v>
      </c>
    </row>
    <row r="81" spans="2:3">
      <c r="B81" s="416" t="s">
        <v>1370</v>
      </c>
      <c r="C81" s="386"/>
    </row>
    <row r="82" spans="2:3">
      <c r="B82" s="418" t="s">
        <v>1123</v>
      </c>
      <c r="C82" s="420">
        <f ca="1">1-C83</f>
        <v>0.44299999999999995</v>
      </c>
    </row>
    <row r="83" spans="2:3">
      <c r="B83" s="418" t="s">
        <v>1124</v>
      </c>
      <c r="C83" s="419">
        <f ca="1">ROUND(C13/C40,3)</f>
        <v>0.55700000000000005</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15" customHeight="1">
      <c r="A2" s="1656" t="s">
        <v>1186</v>
      </c>
      <c r="B2" s="1657" t="e">
        <f>IF(D2="——",C40,C40+E2)</f>
        <v>#DIV/0!</v>
      </c>
      <c r="C2" s="1652" t="s">
        <v>1187</v>
      </c>
      <c r="D2" s="1658" t="s">
        <v>1478</v>
      </c>
      <c r="E2" s="1659"/>
      <c r="F2" s="1660"/>
      <c r="G2" s="1661"/>
      <c r="H2" s="1662"/>
      <c r="I2" s="1747"/>
      <c r="J2" s="3424" t="s">
        <v>1479</v>
      </c>
      <c r="K2" s="3425"/>
      <c r="L2" s="1758" t="s">
        <v>1480</v>
      </c>
      <c r="M2" s="1758" t="s">
        <v>1481</v>
      </c>
      <c r="N2" s="1758" t="s">
        <v>1482</v>
      </c>
      <c r="O2" s="1758" t="s">
        <v>1483</v>
      </c>
      <c r="P2" s="1758" t="s">
        <v>1484</v>
      </c>
      <c r="Q2" s="1795" t="s">
        <v>1485</v>
      </c>
      <c r="R2" s="1796" t="s">
        <v>1486</v>
      </c>
      <c r="S2" s="1716"/>
      <c r="T2" s="1716"/>
      <c r="U2" s="1716"/>
      <c r="V2" s="1747"/>
    </row>
    <row r="3" spans="1:22" s="1644" customFormat="1" ht="13.15" customHeight="1">
      <c r="A3" s="1663" t="s">
        <v>1188</v>
      </c>
      <c r="B3" s="1664" t="e">
        <f>ROUND(B2*10000/B4,0)</f>
        <v>#DIV/0!</v>
      </c>
      <c r="C3" s="1652" t="s">
        <v>1189</v>
      </c>
      <c r="D3" s="1652"/>
      <c r="E3" s="1665"/>
      <c r="F3" s="1660"/>
      <c r="G3" s="1661"/>
      <c r="H3" s="1662"/>
      <c r="I3" s="1747"/>
      <c r="J3" s="3426" t="s">
        <v>1487</v>
      </c>
      <c r="K3" s="3427"/>
      <c r="L3" s="1759"/>
      <c r="M3" s="1759"/>
      <c r="N3" s="1759"/>
      <c r="O3" s="1759"/>
      <c r="P3" s="1759"/>
      <c r="Q3" s="1797"/>
      <c r="R3" s="1798">
        <f>SUM(L3:Q3)</f>
        <v>0</v>
      </c>
      <c r="S3" s="1716"/>
      <c r="T3" s="1716"/>
      <c r="U3" s="1716"/>
      <c r="V3" s="1747"/>
    </row>
    <row r="4" spans="1:22" s="1644" customFormat="1" ht="13.15" customHeight="1">
      <c r="A4" s="1666" t="s">
        <v>1488</v>
      </c>
      <c r="B4" s="1667"/>
      <c r="C4" s="1652"/>
      <c r="D4" s="1652"/>
      <c r="E4" s="1665"/>
      <c r="F4" s="1660"/>
      <c r="G4" s="1661"/>
      <c r="H4" s="1662"/>
      <c r="I4" s="1747"/>
      <c r="J4" s="3426" t="s">
        <v>1489</v>
      </c>
      <c r="K4" s="3427"/>
      <c r="L4" s="1760"/>
      <c r="M4" s="1760"/>
      <c r="N4" s="1760"/>
      <c r="O4" s="1760"/>
      <c r="P4" s="1760"/>
      <c r="Q4" s="1799"/>
      <c r="R4" s="1800">
        <f>SUM(L4:Q4)</f>
        <v>0</v>
      </c>
      <c r="S4" s="1716"/>
      <c r="T4" s="1716"/>
      <c r="U4" s="1716"/>
      <c r="V4" s="1747"/>
    </row>
    <row r="5" spans="1:22" s="1644" customFormat="1" ht="13.15"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15" customHeight="1">
      <c r="A6" s="3428" t="s">
        <v>1493</v>
      </c>
      <c r="B6" s="3429"/>
      <c r="C6" s="3430"/>
      <c r="D6" s="1671"/>
      <c r="E6" s="1672"/>
      <c r="F6" s="1673"/>
      <c r="G6" s="1674"/>
      <c r="H6" s="1662"/>
      <c r="I6" s="1747"/>
      <c r="J6" s="3437">
        <v>1</v>
      </c>
      <c r="K6" s="3440"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15" customHeight="1">
      <c r="A7" s="1675" t="s">
        <v>1503</v>
      </c>
      <c r="B7" s="1676"/>
      <c r="C7" s="1677"/>
      <c r="D7" s="1678">
        <f>SUM(D9,D10,D11,D17,0)</f>
        <v>0</v>
      </c>
      <c r="E7" s="1679" t="e">
        <f>E9+E10+E11+E17</f>
        <v>#DIV/0!</v>
      </c>
      <c r="F7" s="1680"/>
      <c r="G7" s="1681"/>
      <c r="H7" s="1662"/>
      <c r="I7" s="1747"/>
      <c r="J7" s="3437"/>
      <c r="K7" s="3441"/>
      <c r="L7" s="1767" t="s">
        <v>1504</v>
      </c>
      <c r="M7" s="1768"/>
      <c r="N7" s="1667"/>
      <c r="O7" s="1769"/>
      <c r="P7" s="1769"/>
      <c r="Q7" s="1700">
        <v>365</v>
      </c>
      <c r="R7" s="1801">
        <f>ROUND(M7*N7*O7*P7*Q7/10000,0)</f>
        <v>0</v>
      </c>
      <c r="S7" s="1716"/>
      <c r="T7" s="1716" t="s">
        <v>1505</v>
      </c>
      <c r="U7" s="1716"/>
      <c r="V7" s="1747"/>
    </row>
    <row r="8" spans="1:22" s="1644" customFormat="1" ht="13.15" customHeight="1">
      <c r="A8" s="1682" t="s">
        <v>1506</v>
      </c>
      <c r="B8" s="3431" t="s">
        <v>1507</v>
      </c>
      <c r="C8" s="3432"/>
      <c r="D8" s="1685" t="s">
        <v>1508</v>
      </c>
      <c r="E8" s="1686" t="s">
        <v>1509</v>
      </c>
      <c r="F8" s="1687" t="s">
        <v>1510</v>
      </c>
      <c r="G8" s="1688"/>
      <c r="H8" s="1662"/>
      <c r="I8" s="1747"/>
      <c r="J8" s="3437"/>
      <c r="K8" s="3441"/>
      <c r="L8" s="1767" t="s">
        <v>1511</v>
      </c>
      <c r="M8" s="1768"/>
      <c r="N8" s="1667"/>
      <c r="O8" s="1769"/>
      <c r="P8" s="1769"/>
      <c r="Q8" s="1700">
        <v>365</v>
      </c>
      <c r="R8" s="1801">
        <f t="shared" ref="R8:R13" si="0">ROUND(M8*N8*O8*P8*Q8/10000,0)</f>
        <v>0</v>
      </c>
      <c r="S8" s="1716"/>
      <c r="T8" s="1716" t="s">
        <v>1512</v>
      </c>
      <c r="U8" s="1716"/>
      <c r="V8" s="1747"/>
    </row>
    <row r="9" spans="1:22" s="1644" customFormat="1" ht="13.15" customHeight="1">
      <c r="A9" s="1682">
        <v>1</v>
      </c>
      <c r="B9" s="3431" t="s">
        <v>1513</v>
      </c>
      <c r="C9" s="3432"/>
      <c r="D9" s="1685">
        <f>ROUND(D6*E9,0)</f>
        <v>0</v>
      </c>
      <c r="E9" s="1689"/>
      <c r="F9" s="1690" t="s">
        <v>1514</v>
      </c>
      <c r="G9" s="1674"/>
      <c r="H9" s="1662"/>
      <c r="I9" s="1747"/>
      <c r="J9" s="3437"/>
      <c r="K9" s="3441"/>
      <c r="L9" s="1767" t="s">
        <v>1515</v>
      </c>
      <c r="M9" s="1768"/>
      <c r="N9" s="1667"/>
      <c r="O9" s="1769"/>
      <c r="P9" s="1769"/>
      <c r="Q9" s="1700">
        <v>365</v>
      </c>
      <c r="R9" s="1801">
        <f t="shared" si="0"/>
        <v>0</v>
      </c>
      <c r="S9" s="1716"/>
      <c r="T9" s="1716"/>
      <c r="U9" s="1716"/>
      <c r="V9" s="1747"/>
    </row>
    <row r="10" spans="1:22" s="1644" customFormat="1" ht="13.15" customHeight="1">
      <c r="A10" s="1682">
        <v>2</v>
      </c>
      <c r="B10" s="3431" t="s">
        <v>1516</v>
      </c>
      <c r="C10" s="3432"/>
      <c r="D10" s="1685">
        <f>ROUND(D6*E10,0)</f>
        <v>0</v>
      </c>
      <c r="E10" s="1689"/>
      <c r="F10" s="1690" t="s">
        <v>1517</v>
      </c>
      <c r="G10" s="1674"/>
      <c r="H10" s="1662"/>
      <c r="I10" s="1747"/>
      <c r="J10" s="3437"/>
      <c r="K10" s="3441"/>
      <c r="L10" s="1767" t="s">
        <v>1518</v>
      </c>
      <c r="M10" s="1768"/>
      <c r="N10" s="1667"/>
      <c r="O10" s="1769"/>
      <c r="P10" s="1769"/>
      <c r="Q10" s="1700">
        <v>365</v>
      </c>
      <c r="R10" s="1801">
        <f t="shared" si="0"/>
        <v>0</v>
      </c>
      <c r="S10" s="1716"/>
      <c r="T10" s="1716"/>
      <c r="U10" s="1716"/>
      <c r="V10" s="1747"/>
    </row>
    <row r="11" spans="1:22" s="1644" customFormat="1" ht="13.15" customHeight="1">
      <c r="A11" s="1682">
        <v>3</v>
      </c>
      <c r="B11" s="3431" t="s">
        <v>1519</v>
      </c>
      <c r="C11" s="3432"/>
      <c r="D11" s="1685">
        <f>D12+D14+D15+D16</f>
        <v>0</v>
      </c>
      <c r="E11" s="1691" t="e">
        <f>D11/D6</f>
        <v>#DIV/0!</v>
      </c>
      <c r="F11" s="1687"/>
      <c r="G11" s="1688"/>
      <c r="H11" s="1662"/>
      <c r="I11" s="1747"/>
      <c r="J11" s="3437"/>
      <c r="K11" s="3441"/>
      <c r="L11" s="1767" t="s">
        <v>1520</v>
      </c>
      <c r="M11" s="1768"/>
      <c r="N11" s="1667"/>
      <c r="O11" s="1769"/>
      <c r="P11" s="1769"/>
      <c r="Q11" s="1700">
        <v>365</v>
      </c>
      <c r="R11" s="1801">
        <f t="shared" si="0"/>
        <v>0</v>
      </c>
      <c r="S11" s="1716"/>
      <c r="T11" s="1716"/>
      <c r="U11" s="1716"/>
      <c r="V11" s="1747"/>
    </row>
    <row r="12" spans="1:22" s="1644" customFormat="1" ht="13.15" customHeight="1">
      <c r="A12" s="1692" t="s">
        <v>1521</v>
      </c>
      <c r="B12" s="3433" t="s">
        <v>1522</v>
      </c>
      <c r="C12" s="3434"/>
      <c r="D12" s="1695">
        <f>ROUND(D13*1.2%*(1-30%),0)</f>
        <v>0</v>
      </c>
      <c r="E12" s="1696">
        <v>1.2E-2</v>
      </c>
      <c r="F12" s="1687" t="s">
        <v>1523</v>
      </c>
      <c r="G12" s="1688"/>
      <c r="H12" s="1662"/>
      <c r="I12" s="1747"/>
      <c r="J12" s="3437"/>
      <c r="K12" s="3441"/>
      <c r="L12" s="1767" t="s">
        <v>1524</v>
      </c>
      <c r="M12" s="1768"/>
      <c r="N12" s="1667"/>
      <c r="O12" s="1769"/>
      <c r="P12" s="1769"/>
      <c r="Q12" s="1700">
        <v>365</v>
      </c>
      <c r="R12" s="1801">
        <f t="shared" si="0"/>
        <v>0</v>
      </c>
      <c r="S12" s="1716"/>
      <c r="T12" s="1716"/>
      <c r="U12" s="1716"/>
      <c r="V12" s="1747"/>
    </row>
    <row r="13" spans="1:22" s="1644" customFormat="1" ht="13.15" customHeight="1">
      <c r="A13" s="1692"/>
      <c r="B13" s="1693"/>
      <c r="C13" s="1697" t="s">
        <v>1525</v>
      </c>
      <c r="D13" s="1698"/>
      <c r="E13" s="1699"/>
      <c r="F13" s="1687"/>
      <c r="G13" s="1688"/>
      <c r="H13" s="1662"/>
      <c r="I13" s="1747"/>
      <c r="J13" s="3437"/>
      <c r="K13" s="3441"/>
      <c r="L13" s="1767" t="s">
        <v>1526</v>
      </c>
      <c r="M13" s="1768"/>
      <c r="N13" s="1667"/>
      <c r="O13" s="1769"/>
      <c r="P13" s="1769"/>
      <c r="Q13" s="1700">
        <v>365</v>
      </c>
      <c r="R13" s="1801">
        <f t="shared" si="0"/>
        <v>0</v>
      </c>
      <c r="S13" s="1716"/>
      <c r="T13" s="1716"/>
      <c r="U13" s="1716"/>
      <c r="V13" s="1747"/>
    </row>
    <row r="14" spans="1:22" s="1644" customFormat="1" ht="13.15" customHeight="1">
      <c r="A14" s="1692" t="s">
        <v>1527</v>
      </c>
      <c r="B14" s="3433" t="s">
        <v>1528</v>
      </c>
      <c r="C14" s="3434"/>
      <c r="D14" s="1695">
        <f>ROUND(E14*B5/10000,0)</f>
        <v>0</v>
      </c>
      <c r="E14" s="1700"/>
      <c r="F14" s="1687" t="s">
        <v>1529</v>
      </c>
      <c r="G14" s="1688"/>
      <c r="H14" s="1662"/>
      <c r="I14" s="1747"/>
      <c r="J14" s="3437"/>
      <c r="K14" s="3442"/>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1531</v>
      </c>
      <c r="B15" s="3433" t="s">
        <v>1532</v>
      </c>
      <c r="C15" s="3434"/>
      <c r="D15" s="1695">
        <f>ROUND(D6*E15,0)</f>
        <v>0</v>
      </c>
      <c r="E15" s="1696">
        <v>5.5E-2</v>
      </c>
      <c r="F15" s="1687" t="s">
        <v>1533</v>
      </c>
      <c r="G15" s="1674"/>
      <c r="H15" s="1662"/>
      <c r="I15" s="1747"/>
      <c r="J15" s="3437">
        <v>2</v>
      </c>
      <c r="K15" s="3440"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15" customHeight="1">
      <c r="A16" s="1692" t="s">
        <v>1539</v>
      </c>
      <c r="B16" s="3433" t="s">
        <v>1540</v>
      </c>
      <c r="C16" s="3434"/>
      <c r="D16" s="1701">
        <f>D6*E16</f>
        <v>0</v>
      </c>
      <c r="E16" s="1702"/>
      <c r="F16" s="1690" t="s">
        <v>1541</v>
      </c>
      <c r="G16" s="1674"/>
      <c r="H16" s="1662"/>
      <c r="I16" s="1747"/>
      <c r="J16" s="3437"/>
      <c r="K16" s="3441"/>
      <c r="L16" s="1767" t="s">
        <v>1542</v>
      </c>
      <c r="M16" s="1768"/>
      <c r="N16" s="1768"/>
      <c r="O16" s="1769"/>
      <c r="P16" s="1700">
        <v>365</v>
      </c>
      <c r="Q16" s="1667"/>
      <c r="R16" s="1803">
        <f>ROUND(M16*N16*O16*P16/10000,0)</f>
        <v>0</v>
      </c>
      <c r="S16" s="1716"/>
      <c r="T16" s="1716"/>
      <c r="U16" s="1716"/>
      <c r="V16" s="1747"/>
    </row>
    <row r="17" spans="1:22" s="1644" customFormat="1" ht="13.15" customHeight="1">
      <c r="A17" s="1703">
        <v>4</v>
      </c>
      <c r="B17" s="3435" t="s">
        <v>1543</v>
      </c>
      <c r="C17" s="3436"/>
      <c r="D17" s="1704">
        <f>ROUND(D6*E17,0)</f>
        <v>0</v>
      </c>
      <c r="E17" s="1705"/>
      <c r="F17" s="1706" t="s">
        <v>1544</v>
      </c>
      <c r="G17" s="1674"/>
      <c r="H17" s="1662"/>
      <c r="I17" s="1747"/>
      <c r="J17" s="3437"/>
      <c r="K17" s="3441"/>
      <c r="L17" s="1767" t="s">
        <v>1545</v>
      </c>
      <c r="M17" s="1768"/>
      <c r="N17" s="1768"/>
      <c r="O17" s="1769"/>
      <c r="P17" s="1700">
        <v>365</v>
      </c>
      <c r="Q17" s="1667"/>
      <c r="R17" s="1803">
        <f>ROUND(M17*N17*O17*P17/10000,0)</f>
        <v>0</v>
      </c>
      <c r="S17" s="1716"/>
      <c r="T17" s="1716"/>
      <c r="U17" s="1716"/>
      <c r="V17" s="1747"/>
    </row>
    <row r="18" spans="1:22" s="1644" customFormat="1" ht="13.15" customHeight="1">
      <c r="A18" s="1675" t="s">
        <v>1546</v>
      </c>
      <c r="B18" s="1676"/>
      <c r="C18" s="1676"/>
      <c r="D18" s="1707">
        <f>ROUND(D6*E18,0)</f>
        <v>0</v>
      </c>
      <c r="E18" s="1708"/>
      <c r="F18" s="1709" t="s">
        <v>1547</v>
      </c>
      <c r="G18" s="1674"/>
      <c r="H18" s="1662"/>
      <c r="I18" s="1747"/>
      <c r="J18" s="3437"/>
      <c r="K18" s="3441"/>
      <c r="L18" s="1767" t="s">
        <v>1548</v>
      </c>
      <c r="M18" s="1768"/>
      <c r="N18" s="1768"/>
      <c r="O18" s="1769"/>
      <c r="P18" s="1700">
        <v>365</v>
      </c>
      <c r="Q18" s="1667"/>
      <c r="R18" s="1803">
        <f>ROUND(M18*N18*O18*P18/10000,0)</f>
        <v>0</v>
      </c>
      <c r="S18" s="1716"/>
      <c r="T18" s="1716"/>
      <c r="U18" s="1716"/>
      <c r="V18" s="1747"/>
    </row>
    <row r="19" spans="1:22" s="1644" customFormat="1" ht="13.15" customHeight="1">
      <c r="A19" s="1710" t="s">
        <v>1549</v>
      </c>
      <c r="B19" s="1672"/>
      <c r="C19" s="1672"/>
      <c r="D19" s="1672"/>
      <c r="E19" s="1672"/>
      <c r="F19" s="1673"/>
      <c r="G19" s="1688"/>
      <c r="H19" s="1662"/>
      <c r="I19" s="1747"/>
      <c r="J19" s="3437"/>
      <c r="K19" s="3442"/>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37">
        <v>3</v>
      </c>
      <c r="K20" s="3440"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15" customHeight="1">
      <c r="A21" s="1675"/>
      <c r="B21" s="1676"/>
      <c r="C21" s="1683" t="s">
        <v>1556</v>
      </c>
      <c r="D21" s="1712" t="s">
        <v>1557</v>
      </c>
      <c r="E21" s="1684" t="s">
        <v>1558</v>
      </c>
      <c r="F21" s="1711"/>
      <c r="G21" s="1688"/>
      <c r="H21" s="1662"/>
      <c r="I21" s="1747"/>
      <c r="J21" s="3437"/>
      <c r="K21" s="3441"/>
      <c r="L21" s="1767" t="s">
        <v>1559</v>
      </c>
      <c r="M21" s="1768"/>
      <c r="N21" s="1768"/>
      <c r="O21" s="1769"/>
      <c r="P21" s="1700">
        <v>365</v>
      </c>
      <c r="Q21" s="1667"/>
      <c r="R21" s="1805">
        <f>ROUND(M21*N21*O21*P21/10000,0)</f>
        <v>0</v>
      </c>
      <c r="S21" s="1716"/>
      <c r="T21" s="1716"/>
      <c r="U21" s="1716"/>
      <c r="V21" s="1747"/>
    </row>
    <row r="22" spans="1:22" s="1644" customFormat="1" ht="13.15" customHeight="1">
      <c r="A22" s="1675"/>
      <c r="B22" s="1676"/>
      <c r="C22" s="1713" t="s">
        <v>1560</v>
      </c>
      <c r="D22" s="1714" t="s">
        <v>1561</v>
      </c>
      <c r="E22" s="1715" t="s">
        <v>1562</v>
      </c>
      <c r="F22" s="1711"/>
      <c r="G22" s="1716"/>
      <c r="H22" s="1662"/>
      <c r="I22" s="1747"/>
      <c r="J22" s="3437"/>
      <c r="K22" s="3441"/>
      <c r="L22" s="1767" t="s">
        <v>1563</v>
      </c>
      <c r="M22" s="1768"/>
      <c r="N22" s="1768"/>
      <c r="O22" s="1769"/>
      <c r="P22" s="1700">
        <v>365</v>
      </c>
      <c r="Q22" s="1667"/>
      <c r="R22" s="1805">
        <f>ROUND(M22*N22*O22*P22/10000,0)</f>
        <v>0</v>
      </c>
      <c r="S22" s="1716"/>
      <c r="T22" s="1716"/>
      <c r="U22" s="1716"/>
      <c r="V22" s="1747"/>
    </row>
    <row r="23" spans="1:22" s="1644" customFormat="1" ht="13.15" customHeight="1">
      <c r="A23" s="1717">
        <v>1</v>
      </c>
      <c r="B23" s="1718" t="s">
        <v>1564</v>
      </c>
      <c r="C23" s="1719">
        <f>D6</f>
        <v>0</v>
      </c>
      <c r="D23" s="1720">
        <f>C23*(1+D24)</f>
        <v>0</v>
      </c>
      <c r="E23" s="1721">
        <f>D23*(1+E24)</f>
        <v>0</v>
      </c>
      <c r="F23" s="1722"/>
      <c r="G23" s="1723"/>
      <c r="H23" s="1662"/>
      <c r="I23" s="1747"/>
      <c r="J23" s="3437"/>
      <c r="K23" s="3441"/>
      <c r="L23" s="1767" t="s">
        <v>1565</v>
      </c>
      <c r="M23" s="1768"/>
      <c r="N23" s="1768"/>
      <c r="O23" s="1769"/>
      <c r="P23" s="1700">
        <v>365</v>
      </c>
      <c r="Q23" s="1667"/>
      <c r="R23" s="1805">
        <f>ROUND(M23*N23*O23*P23/10000,0)</f>
        <v>0</v>
      </c>
      <c r="S23" s="1716"/>
      <c r="T23" s="1716"/>
      <c r="U23" s="1716"/>
      <c r="V23" s="1747"/>
    </row>
    <row r="24" spans="1:22" s="1644" customFormat="1" ht="13.15" customHeight="1">
      <c r="A24" s="1724"/>
      <c r="B24" s="1725" t="s">
        <v>1566</v>
      </c>
      <c r="C24" s="1726"/>
      <c r="D24" s="1727"/>
      <c r="E24" s="1728"/>
      <c r="F24" s="1729"/>
      <c r="G24" s="1723"/>
      <c r="H24" s="1662"/>
      <c r="I24" s="1747"/>
      <c r="J24" s="3437"/>
      <c r="K24" s="3442"/>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15" customHeight="1">
      <c r="A26" s="1717">
        <v>2</v>
      </c>
      <c r="B26" s="1718" t="s">
        <v>1568</v>
      </c>
      <c r="C26" s="1719">
        <f>D7</f>
        <v>0</v>
      </c>
      <c r="D26" s="1720">
        <f>D23*D27</f>
        <v>0</v>
      </c>
      <c r="E26" s="1721">
        <f>E23*E27</f>
        <v>0</v>
      </c>
      <c r="F26" s="1722"/>
      <c r="G26" s="1723"/>
      <c r="H26" s="1662"/>
      <c r="I26" s="1747"/>
      <c r="J26" s="3438">
        <v>5</v>
      </c>
      <c r="K26" s="1778" t="s">
        <v>1569</v>
      </c>
      <c r="L26" s="1779"/>
      <c r="M26" s="1780"/>
      <c r="N26" s="1781" t="s">
        <v>504</v>
      </c>
      <c r="O26" s="1781" t="s">
        <v>1570</v>
      </c>
      <c r="P26" s="1782" t="s">
        <v>1571</v>
      </c>
      <c r="Q26" s="1782" t="s">
        <v>1572</v>
      </c>
      <c r="R26" s="1798" t="s">
        <v>1501</v>
      </c>
      <c r="S26" s="1688"/>
      <c r="T26" s="1688"/>
      <c r="U26" s="1688"/>
      <c r="V26" s="1783"/>
    </row>
    <row r="27" spans="1:22" s="1644" customFormat="1" ht="13.15" customHeight="1">
      <c r="A27" s="1724"/>
      <c r="B27" s="1725" t="s">
        <v>1573</v>
      </c>
      <c r="C27" s="1730" t="e">
        <f>E7</f>
        <v>#DIV/0!</v>
      </c>
      <c r="D27" s="1727"/>
      <c r="E27" s="1728"/>
      <c r="F27" s="1729"/>
      <c r="G27" s="1723"/>
      <c r="H27" s="1731"/>
      <c r="I27" s="1783"/>
      <c r="J27" s="3439"/>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15"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15" customHeight="1">
      <c r="A32" s="1717">
        <v>4</v>
      </c>
      <c r="B32" s="1718" t="s">
        <v>1581</v>
      </c>
      <c r="C32" s="1719">
        <f>C23-C26-C29</f>
        <v>0</v>
      </c>
      <c r="D32" s="1720">
        <f>D23-D26-D29</f>
        <v>0</v>
      </c>
      <c r="E32" s="1721">
        <f>E23-E26-E29</f>
        <v>0</v>
      </c>
      <c r="F32" s="1722"/>
      <c r="G32" s="1716"/>
      <c r="H32" s="1662"/>
      <c r="I32" s="1747"/>
      <c r="J32" s="3424" t="s">
        <v>1479</v>
      </c>
      <c r="K32" s="3425"/>
      <c r="L32" s="1758" t="s">
        <v>1480</v>
      </c>
      <c r="M32" s="1758" t="s">
        <v>1481</v>
      </c>
      <c r="N32" s="1758" t="s">
        <v>1482</v>
      </c>
      <c r="O32" s="1758" t="s">
        <v>1483</v>
      </c>
      <c r="P32" s="1758" t="s">
        <v>1484</v>
      </c>
      <c r="Q32" s="1795" t="s">
        <v>1485</v>
      </c>
      <c r="R32" s="1810" t="s">
        <v>1486</v>
      </c>
      <c r="S32" s="1716"/>
      <c r="T32" s="1716"/>
      <c r="U32" s="1716"/>
      <c r="V32" s="1783"/>
    </row>
    <row r="33" spans="1:23" s="1644" customFormat="1" ht="13.15" customHeight="1">
      <c r="A33" s="1717"/>
      <c r="B33" s="1718"/>
      <c r="C33" s="1719"/>
      <c r="D33" s="1734"/>
      <c r="E33" s="1694"/>
      <c r="F33" s="1722"/>
      <c r="G33" s="1716"/>
      <c r="H33" s="1731"/>
      <c r="I33" s="1783"/>
      <c r="J33" s="3426" t="s">
        <v>1487</v>
      </c>
      <c r="K33" s="3427"/>
      <c r="L33" s="1759"/>
      <c r="M33" s="1759"/>
      <c r="N33" s="1759"/>
      <c r="O33" s="1759"/>
      <c r="P33" s="1759"/>
      <c r="Q33" s="1797"/>
      <c r="R33" s="1811">
        <f>SUM(L33:Q33)</f>
        <v>0</v>
      </c>
      <c r="S33" s="1716"/>
      <c r="T33" s="1716"/>
      <c r="U33" s="1716"/>
      <c r="V33" s="1747"/>
    </row>
    <row r="34" spans="1:23" s="1644" customFormat="1" ht="13.15" customHeight="1">
      <c r="A34" s="1717">
        <v>5</v>
      </c>
      <c r="B34" s="1718" t="s">
        <v>1582</v>
      </c>
      <c r="C34" s="1735"/>
      <c r="D34" s="1736"/>
      <c r="E34" s="1737"/>
      <c r="F34" s="1722"/>
      <c r="G34" s="1716"/>
      <c r="H34" s="1731"/>
      <c r="I34" s="1783"/>
      <c r="J34" s="3426" t="s">
        <v>1489</v>
      </c>
      <c r="K34" s="3427"/>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15" customHeight="1">
      <c r="A36" s="1717">
        <v>7</v>
      </c>
      <c r="B36" s="1742" t="s">
        <v>1584</v>
      </c>
      <c r="C36" s="1743"/>
      <c r="D36" s="1744"/>
      <c r="E36" s="1745"/>
      <c r="F36" s="1746">
        <f>C36+D36+E36</f>
        <v>0</v>
      </c>
      <c r="G36" s="1716"/>
      <c r="H36" s="1662"/>
      <c r="I36" s="1747"/>
      <c r="J36" s="3437">
        <v>1</v>
      </c>
      <c r="K36" s="3440" t="s">
        <v>1585</v>
      </c>
      <c r="L36" s="1765"/>
      <c r="M36" s="1766"/>
      <c r="N36" s="1766"/>
      <c r="O36" s="1766"/>
      <c r="P36" s="1766"/>
      <c r="Q36" s="1766"/>
      <c r="R36" s="1798" t="s">
        <v>1501</v>
      </c>
      <c r="S36" s="1716"/>
      <c r="T36" s="1716" t="s">
        <v>1502</v>
      </c>
      <c r="U36" s="1716"/>
      <c r="V36" s="1747"/>
    </row>
    <row r="37" spans="1:23" s="1644" customFormat="1" ht="13.15" customHeight="1">
      <c r="A37" s="1717"/>
      <c r="B37" s="1718"/>
      <c r="C37" s="1718"/>
      <c r="D37" s="1718"/>
      <c r="E37" s="1718"/>
      <c r="F37" s="1722"/>
      <c r="G37" s="1716"/>
      <c r="H37" s="1662"/>
      <c r="I37" s="1747"/>
      <c r="J37" s="3437"/>
      <c r="K37" s="3441"/>
      <c r="L37" s="1767"/>
      <c r="M37" s="1768"/>
      <c r="N37" s="1667"/>
      <c r="O37" s="1769"/>
      <c r="P37" s="1769"/>
      <c r="Q37" s="1700"/>
      <c r="R37" s="1801"/>
      <c r="S37" s="1716"/>
      <c r="T37" s="1716" t="s">
        <v>1505</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37"/>
      <c r="K38" s="3441"/>
      <c r="L38" s="1767"/>
      <c r="M38" s="1768"/>
      <c r="N38" s="1667"/>
      <c r="O38" s="1769"/>
      <c r="P38" s="1769"/>
      <c r="Q38" s="1700"/>
      <c r="R38" s="1801"/>
      <c r="S38" s="1716"/>
      <c r="T38" s="1716" t="s">
        <v>1512</v>
      </c>
      <c r="U38" s="1716"/>
      <c r="V38" s="1747"/>
    </row>
    <row r="39" spans="1:23" s="1644" customFormat="1" ht="13.15" customHeight="1">
      <c r="A39" s="1717">
        <v>9</v>
      </c>
      <c r="B39" s="1718" t="s">
        <v>1586</v>
      </c>
      <c r="C39" s="1695" t="e">
        <f>C38</f>
        <v>#DIV/0!</v>
      </c>
      <c r="D39" s="1718">
        <f>D38/(1+D34)^C36</f>
        <v>0</v>
      </c>
      <c r="E39" s="1718">
        <f>E38/(1+E34)^(C36+D36)</f>
        <v>0</v>
      </c>
      <c r="F39" s="1722"/>
      <c r="G39" s="1747"/>
      <c r="H39" s="1662"/>
      <c r="I39" s="1747"/>
      <c r="J39" s="3437"/>
      <c r="K39" s="3441"/>
      <c r="L39" s="1767"/>
      <c r="M39" s="1768"/>
      <c r="N39" s="1667"/>
      <c r="O39" s="1769"/>
      <c r="P39" s="1769"/>
      <c r="Q39" s="1700"/>
      <c r="R39" s="1801"/>
      <c r="S39" s="1716"/>
      <c r="T39" s="1716"/>
      <c r="U39" s="1716"/>
      <c r="V39" s="1747"/>
    </row>
    <row r="40" spans="1:23" s="1644" customFormat="1" ht="13.15" customHeight="1">
      <c r="A40" s="1748">
        <v>10</v>
      </c>
      <c r="B40" s="1718" t="s">
        <v>1587</v>
      </c>
      <c r="C40" s="1749" t="e">
        <f>C39+D39+E39</f>
        <v>#DIV/0!</v>
      </c>
      <c r="D40" s="1750"/>
      <c r="E40" s="1750"/>
      <c r="F40" s="1751"/>
      <c r="G40" s="1716"/>
      <c r="H40" s="1662"/>
      <c r="I40" s="1747"/>
      <c r="J40" s="3437"/>
      <c r="K40" s="3442"/>
      <c r="L40" s="1770" t="s">
        <v>1530</v>
      </c>
      <c r="M40" s="1771"/>
      <c r="N40" s="1771"/>
      <c r="O40" s="1772"/>
      <c r="P40" s="1772"/>
      <c r="Q40" s="1802"/>
      <c r="R40" s="1796">
        <f>SUM(R37:R39)</f>
        <v>0</v>
      </c>
      <c r="S40" s="1716"/>
      <c r="T40" s="1716"/>
      <c r="U40" s="1716"/>
      <c r="V40" s="1747"/>
    </row>
    <row r="41" spans="1:23" s="1644" customFormat="1" ht="13.15"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15" customHeight="1">
      <c r="G42" s="1662"/>
      <c r="H42" s="1662"/>
      <c r="I42" s="1747"/>
      <c r="J42" s="3438">
        <v>3</v>
      </c>
      <c r="K42" s="1778" t="s">
        <v>1569</v>
      </c>
      <c r="L42" s="1779"/>
      <c r="M42" s="1780"/>
      <c r="N42" s="1781" t="s">
        <v>504</v>
      </c>
      <c r="O42" s="1781" t="s">
        <v>1570</v>
      </c>
      <c r="P42" s="1782" t="s">
        <v>1571</v>
      </c>
      <c r="Q42" s="1782" t="s">
        <v>1572</v>
      </c>
      <c r="R42" s="1798" t="s">
        <v>1501</v>
      </c>
      <c r="S42" s="1688"/>
      <c r="T42" s="1688"/>
      <c r="U42" s="1716"/>
      <c r="V42" s="1747"/>
    </row>
    <row r="43" spans="1:23" ht="13.15" customHeight="1">
      <c r="A43" s="1644"/>
      <c r="B43" s="1644"/>
      <c r="C43" s="1644"/>
      <c r="D43" s="1644"/>
      <c r="E43" s="1644"/>
      <c r="F43" s="1644"/>
      <c r="I43" s="1647"/>
      <c r="J43" s="3439"/>
      <c r="K43" s="1784"/>
      <c r="L43" s="1785"/>
      <c r="M43" s="1786"/>
      <c r="N43" s="1768"/>
      <c r="O43" s="1768"/>
      <c r="P43" s="1768"/>
      <c r="Q43" s="1806"/>
      <c r="R43" s="1804">
        <f>ROUND(O43*N43*P43*(1-Q43)/10000,0)</f>
        <v>0</v>
      </c>
      <c r="S43" s="1716"/>
      <c r="T43" s="1716"/>
      <c r="V43" s="1649"/>
      <c r="W43" s="1814"/>
    </row>
    <row r="44" spans="1:23" ht="13.15"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6"/>
      <c r="F1" s="1627"/>
      <c r="G1" s="1507"/>
      <c r="H1" s="1507"/>
      <c r="I1" s="1507"/>
      <c r="J1" s="1507"/>
      <c r="K1" s="1507"/>
      <c r="L1" s="1507"/>
      <c r="M1" s="1507"/>
      <c r="N1" s="1507"/>
      <c r="O1" s="1507"/>
      <c r="P1" s="1507"/>
      <c r="Q1" s="1507"/>
      <c r="R1" s="1507"/>
      <c r="S1" s="1507"/>
    </row>
    <row r="2" spans="1:22" ht="15.75">
      <c r="A2" s="1628" t="s">
        <v>1029</v>
      </c>
      <c r="B2" s="713">
        <f ca="1">SUMIF(B6:B13,"&lt;&gt;#ref!",B6:B13)</f>
        <v>137.90520000000001</v>
      </c>
      <c r="C2" s="1629" t="s">
        <v>1590</v>
      </c>
      <c r="D2" s="1630" t="s">
        <v>1591</v>
      </c>
      <c r="E2" s="1631">
        <f>SUM(E6:E13)</f>
        <v>134.04</v>
      </c>
      <c r="F2" s="1627"/>
      <c r="G2" s="1507"/>
      <c r="H2" s="1507"/>
      <c r="I2" s="1507"/>
      <c r="J2" s="1507"/>
      <c r="K2" s="1507"/>
      <c r="L2" s="1507"/>
      <c r="M2" s="1507"/>
      <c r="N2" s="1507"/>
      <c r="O2" s="1507"/>
      <c r="P2" s="1507"/>
      <c r="Q2" s="1507"/>
      <c r="R2" s="1507"/>
      <c r="S2" s="1507"/>
    </row>
    <row r="3" spans="1:22" ht="15.75">
      <c r="A3" s="1628" t="s">
        <v>1031</v>
      </c>
      <c r="B3" s="1632">
        <f ca="1">ROUND(B2*10000/E2,0)</f>
        <v>10288</v>
      </c>
      <c r="C3" s="1629" t="s">
        <v>1592</v>
      </c>
      <c r="D3" s="1627"/>
      <c r="E3" s="1633"/>
      <c r="F3" s="1627"/>
      <c r="G3" s="1507"/>
      <c r="H3" s="1507"/>
      <c r="I3" s="1507"/>
      <c r="J3" s="1507"/>
      <c r="K3" s="1507"/>
      <c r="L3" s="1507"/>
      <c r="M3" s="1507"/>
      <c r="N3" s="1507"/>
      <c r="O3" s="1507"/>
      <c r="P3" s="1507"/>
      <c r="Q3" s="1507"/>
      <c r="R3" s="1507"/>
      <c r="S3" s="1507"/>
    </row>
    <row r="4" spans="1:22" ht="15.75">
      <c r="A4" s="1634"/>
      <c r="B4" s="1627"/>
      <c r="C4" s="1627"/>
      <c r="D4" s="1627"/>
      <c r="E4" s="1633"/>
      <c r="F4" s="1627"/>
      <c r="G4" s="1507"/>
      <c r="H4" s="1507"/>
      <c r="I4" s="1507"/>
      <c r="J4" s="1507"/>
      <c r="K4" s="1507"/>
      <c r="L4" s="1507"/>
      <c r="M4" s="1507"/>
      <c r="N4" s="1507"/>
      <c r="O4" s="1507"/>
      <c r="P4" s="1507"/>
      <c r="Q4" s="1507"/>
      <c r="R4" s="1507"/>
      <c r="S4" s="1507"/>
    </row>
    <row r="5" spans="1:22" ht="15">
      <c r="A5" s="1635" t="s">
        <v>1593</v>
      </c>
      <c r="B5" s="3443" t="s">
        <v>1594</v>
      </c>
      <c r="C5" s="3444"/>
      <c r="D5" s="1636"/>
      <c r="E5" s="1637" t="s">
        <v>1595</v>
      </c>
      <c r="F5" s="1592" t="s">
        <v>1596</v>
      </c>
      <c r="G5" s="1507"/>
      <c r="H5" s="1507"/>
      <c r="I5" s="1507"/>
      <c r="J5" s="1507"/>
      <c r="K5" s="1507"/>
      <c r="L5" s="1507"/>
      <c r="M5" s="1507"/>
      <c r="N5" s="1507"/>
      <c r="O5" s="1507"/>
      <c r="P5" s="1507"/>
      <c r="Q5" s="1507"/>
      <c r="R5" s="1507"/>
      <c r="S5" s="1507"/>
    </row>
    <row r="6" spans="1:22">
      <c r="A6" s="1638" t="str">
        <f>'数据-取费表'!AN6</f>
        <v>收益法 (元)</v>
      </c>
      <c r="B6" s="884">
        <f ca="1">IF(F6="是",'数据-取费表'!AO6,0)</f>
        <v>137.90520000000001</v>
      </c>
      <c r="C6" s="1629" t="s">
        <v>1590</v>
      </c>
      <c r="D6" s="1627"/>
      <c r="E6" s="1639">
        <f>IF(OR(A6=0,F6="否"),0,'数据-取费表'!K6+'数据-取费表'!S6)</f>
        <v>134.04</v>
      </c>
      <c r="F6" s="1640" t="s">
        <v>1597</v>
      </c>
      <c r="G6" s="1507"/>
      <c r="H6" s="1507"/>
      <c r="I6" s="1507"/>
      <c r="J6" s="1507"/>
      <c r="K6" s="1507"/>
      <c r="L6" s="1507"/>
      <c r="M6" s="1507"/>
      <c r="N6" s="1507"/>
      <c r="O6" s="1507"/>
      <c r="P6" s="1507"/>
      <c r="Q6" s="1507"/>
      <c r="R6" s="1507"/>
      <c r="S6" s="1507"/>
    </row>
    <row r="7" spans="1:22">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134.04</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5">
      <c r="A4" s="1027" t="s">
        <v>1378</v>
      </c>
      <c r="B4" s="1028"/>
      <c r="C4" s="3363" t="s">
        <v>1379</v>
      </c>
      <c r="D4" s="3364"/>
      <c r="E4" s="3365" t="s">
        <v>1380</v>
      </c>
      <c r="F4" s="3366"/>
      <c r="G4" s="3363" t="s">
        <v>1381</v>
      </c>
      <c r="H4" s="3364"/>
      <c r="I4" s="3363" t="s">
        <v>1382</v>
      </c>
      <c r="J4" s="3364"/>
      <c r="K4" s="156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417" t="s">
        <v>1381</v>
      </c>
      <c r="AC4" s="3417" t="s">
        <v>1382</v>
      </c>
    </row>
    <row r="5" spans="1:29" ht="15">
      <c r="A5" s="1029"/>
      <c r="B5" s="1030"/>
      <c r="C5" s="3411" t="s">
        <v>1385</v>
      </c>
      <c r="D5" s="3368"/>
      <c r="E5" s="3412" t="s">
        <v>1386</v>
      </c>
      <c r="F5" s="3413"/>
      <c r="G5" s="3411" t="s">
        <v>1387</v>
      </c>
      <c r="H5" s="3368"/>
      <c r="I5" s="3411" t="s">
        <v>1388</v>
      </c>
      <c r="J5" s="3368"/>
      <c r="K5" s="1562"/>
      <c r="L5" s="1172"/>
      <c r="M5" s="1122"/>
      <c r="N5" s="1122"/>
      <c r="O5" s="1122"/>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562"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45973</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5">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19" si="3">D8/F8</f>
        <v>1</v>
      </c>
      <c r="AB8" s="1227">
        <f t="shared" ref="AB8:AB19" si="4">D8/H8</f>
        <v>1</v>
      </c>
      <c r="AC8" s="1227">
        <f t="shared" ref="AC8:AC19" si="5">D8/J8</f>
        <v>1</v>
      </c>
    </row>
    <row r="9" spans="1:29" s="1008" customFormat="1">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77"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77"/>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77"/>
      <c r="Q11" s="794" t="str">
        <f t="shared" si="6"/>
        <v>容积率</v>
      </c>
      <c r="R11" s="1215" t="s">
        <v>1393</v>
      </c>
      <c r="S11" s="1216" t="e">
        <f t="shared" si="0"/>
        <v>#N/A</v>
      </c>
      <c r="T11" s="1215" t="s">
        <v>1393</v>
      </c>
      <c r="U11" s="1216" t="e">
        <f t="shared" si="1"/>
        <v>#N/A</v>
      </c>
      <c r="V11" s="1215" t="s">
        <v>1393</v>
      </c>
      <c r="W11" s="1216" t="e">
        <f t="shared" si="2"/>
        <v>#N/A</v>
      </c>
      <c r="X11" s="1217"/>
      <c r="Y11" s="3349"/>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77"/>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77"/>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77"/>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80" t="s">
        <v>1406</v>
      </c>
      <c r="Q15" s="625" t="str">
        <f t="shared" si="6"/>
        <v>居住社区成熟度</v>
      </c>
      <c r="R15" s="1219" t="s">
        <v>1393</v>
      </c>
      <c r="S15" s="1220">
        <f t="shared" si="0"/>
        <v>100</v>
      </c>
      <c r="T15" s="1219" t="s">
        <v>1393</v>
      </c>
      <c r="U15" s="1220">
        <f t="shared" si="1"/>
        <v>100</v>
      </c>
      <c r="V15" s="1219" t="s">
        <v>1393</v>
      </c>
      <c r="W15" s="1220">
        <f t="shared" si="2"/>
        <v>100</v>
      </c>
      <c r="X15" s="1214"/>
      <c r="Y15" s="3385"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81"/>
      <c r="Q16" s="625"/>
      <c r="R16" s="1219"/>
      <c r="S16" s="1220"/>
      <c r="T16" s="1219"/>
      <c r="U16" s="1220"/>
      <c r="V16" s="1219"/>
      <c r="W16" s="1220"/>
      <c r="X16" s="1214"/>
      <c r="Y16" s="3386"/>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81"/>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81"/>
      <c r="Q18" s="625"/>
      <c r="R18" s="1219"/>
      <c r="S18" s="1220"/>
      <c r="T18" s="1219"/>
      <c r="U18" s="1220"/>
      <c r="V18" s="1219"/>
      <c r="W18" s="1220"/>
      <c r="X18" s="1214"/>
      <c r="Y18" s="3386"/>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81"/>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81"/>
      <c r="Q20" s="625"/>
      <c r="R20" s="1219"/>
      <c r="S20" s="1220"/>
      <c r="T20" s="1219"/>
      <c r="U20" s="1220"/>
      <c r="V20" s="1219"/>
      <c r="W20" s="1220"/>
      <c r="X20" s="1214"/>
      <c r="Y20" s="3386"/>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81"/>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81"/>
      <c r="Q22" s="625"/>
      <c r="R22" s="1219"/>
      <c r="S22" s="1220"/>
      <c r="T22" s="1219"/>
      <c r="U22" s="1220"/>
      <c r="V22" s="1219"/>
      <c r="W22" s="1220"/>
      <c r="X22" s="1214"/>
      <c r="Y22" s="3386"/>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81"/>
      <c r="Q23" s="625" t="str">
        <f>B23</f>
        <v>自然及人文环境</v>
      </c>
      <c r="R23" s="1219" t="s">
        <v>1393</v>
      </c>
      <c r="S23" s="1220">
        <f>F23</f>
        <v>100</v>
      </c>
      <c r="T23" s="1219" t="s">
        <v>1393</v>
      </c>
      <c r="U23" s="1220">
        <f>H23</f>
        <v>100</v>
      </c>
      <c r="V23" s="1219" t="s">
        <v>1393</v>
      </c>
      <c r="W23" s="1220">
        <f>J23</f>
        <v>100</v>
      </c>
      <c r="X23" s="1214"/>
      <c r="Y23" s="3386"/>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81"/>
      <c r="Q24" s="625"/>
      <c r="R24" s="1219"/>
      <c r="S24" s="1220"/>
      <c r="T24" s="1219"/>
      <c r="U24" s="1220"/>
      <c r="V24" s="1219"/>
      <c r="W24" s="1220"/>
      <c r="X24" s="1214"/>
      <c r="Y24" s="3386"/>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81"/>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86"/>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81"/>
      <c r="Q26" s="625" t="str">
        <f t="shared" si="11"/>
        <v>朝向</v>
      </c>
      <c r="R26" s="1219" t="s">
        <v>1393</v>
      </c>
      <c r="S26" s="1220">
        <f t="shared" si="12"/>
        <v>100</v>
      </c>
      <c r="T26" s="1219" t="s">
        <v>1393</v>
      </c>
      <c r="U26" s="1220">
        <f t="shared" si="13"/>
        <v>100</v>
      </c>
      <c r="V26" s="1219" t="s">
        <v>1393</v>
      </c>
      <c r="W26" s="1220">
        <f t="shared" si="14"/>
        <v>100</v>
      </c>
      <c r="X26" s="1214"/>
      <c r="Y26" s="3386"/>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81"/>
      <c r="Q27" s="794">
        <f t="shared" si="11"/>
        <v>111</v>
      </c>
      <c r="R27" s="1215" t="s">
        <v>1393</v>
      </c>
      <c r="S27" s="1216">
        <f t="shared" si="12"/>
        <v>100</v>
      </c>
      <c r="T27" s="1215" t="s">
        <v>1393</v>
      </c>
      <c r="U27" s="1216">
        <f t="shared" si="13"/>
        <v>100</v>
      </c>
      <c r="V27" s="1215" t="s">
        <v>1393</v>
      </c>
      <c r="W27" s="1216">
        <f t="shared" si="14"/>
        <v>100</v>
      </c>
      <c r="X27" s="1217"/>
      <c r="Y27" s="3386"/>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81"/>
      <c r="Q28" s="625">
        <f t="shared" si="11"/>
        <v>111</v>
      </c>
      <c r="R28" s="1219" t="s">
        <v>1393</v>
      </c>
      <c r="S28" s="1220">
        <f t="shared" si="12"/>
        <v>100</v>
      </c>
      <c r="T28" s="1219" t="s">
        <v>1393</v>
      </c>
      <c r="U28" s="1220">
        <f t="shared" si="13"/>
        <v>100</v>
      </c>
      <c r="V28" s="1219" t="s">
        <v>1393</v>
      </c>
      <c r="W28" s="1220">
        <f t="shared" si="14"/>
        <v>100</v>
      </c>
      <c r="X28" s="1214"/>
      <c r="Y28" s="3386"/>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81"/>
      <c r="Q29" s="625">
        <f t="shared" si="11"/>
        <v>111</v>
      </c>
      <c r="R29" s="1219" t="s">
        <v>1393</v>
      </c>
      <c r="S29" s="1220">
        <f t="shared" si="12"/>
        <v>100</v>
      </c>
      <c r="T29" s="1219" t="s">
        <v>1393</v>
      </c>
      <c r="U29" s="1220">
        <f t="shared" si="13"/>
        <v>100</v>
      </c>
      <c r="V29" s="1219" t="s">
        <v>1393</v>
      </c>
      <c r="W29" s="1220">
        <f t="shared" si="14"/>
        <v>100</v>
      </c>
      <c r="X29" s="1214"/>
      <c r="Y29" s="3386"/>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81"/>
      <c r="Q30" s="625">
        <f t="shared" si="11"/>
        <v>111</v>
      </c>
      <c r="R30" s="1219" t="s">
        <v>1393</v>
      </c>
      <c r="S30" s="1220">
        <f t="shared" si="12"/>
        <v>100</v>
      </c>
      <c r="T30" s="1219" t="s">
        <v>1393</v>
      </c>
      <c r="U30" s="1220">
        <f t="shared" si="13"/>
        <v>100</v>
      </c>
      <c r="V30" s="1219" t="s">
        <v>1393</v>
      </c>
      <c r="W30" s="1220">
        <f t="shared" si="14"/>
        <v>100</v>
      </c>
      <c r="X30" s="1214"/>
      <c r="Y30" s="3386"/>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81"/>
      <c r="Q31" s="625">
        <f t="shared" si="11"/>
        <v>111</v>
      </c>
      <c r="R31" s="1219" t="s">
        <v>1393</v>
      </c>
      <c r="S31" s="1220">
        <f t="shared" si="12"/>
        <v>100</v>
      </c>
      <c r="T31" s="1219" t="s">
        <v>1393</v>
      </c>
      <c r="U31" s="1220">
        <f t="shared" si="13"/>
        <v>100</v>
      </c>
      <c r="V31" s="1219" t="s">
        <v>1393</v>
      </c>
      <c r="W31" s="1220">
        <f t="shared" si="14"/>
        <v>100</v>
      </c>
      <c r="X31" s="1214"/>
      <c r="Y31" s="3386"/>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82" t="s">
        <v>1421</v>
      </c>
      <c r="Q32" s="625" t="str">
        <f t="shared" si="11"/>
        <v>建筑类型</v>
      </c>
      <c r="R32" s="1219" t="s">
        <v>1393</v>
      </c>
      <c r="S32" s="1220">
        <f t="shared" si="12"/>
        <v>100</v>
      </c>
      <c r="T32" s="1219" t="s">
        <v>1393</v>
      </c>
      <c r="U32" s="1220">
        <f t="shared" si="13"/>
        <v>100</v>
      </c>
      <c r="V32" s="1219" t="s">
        <v>1393</v>
      </c>
      <c r="W32" s="1220">
        <f t="shared" si="14"/>
        <v>100</v>
      </c>
      <c r="X32" s="1214"/>
      <c r="Y32" s="3387"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83"/>
      <c r="Q33" s="1415" t="str">
        <f t="shared" si="11"/>
        <v>项目建筑规模</v>
      </c>
      <c r="R33" s="1221" t="s">
        <v>1393</v>
      </c>
      <c r="S33" s="1222" t="e">
        <f t="shared" si="12"/>
        <v>#N/A</v>
      </c>
      <c r="T33" s="1221" t="s">
        <v>1393</v>
      </c>
      <c r="U33" s="1222" t="e">
        <f t="shared" si="13"/>
        <v>#N/A</v>
      </c>
      <c r="V33" s="1221" t="s">
        <v>1393</v>
      </c>
      <c r="W33" s="1222" t="e">
        <f t="shared" si="14"/>
        <v>#N/A</v>
      </c>
      <c r="X33" s="1223"/>
      <c r="Y33" s="3387"/>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83"/>
      <c r="Q34" s="625" t="str">
        <f t="shared" si="11"/>
        <v>建筑结构</v>
      </c>
      <c r="R34" s="1219" t="s">
        <v>1393</v>
      </c>
      <c r="S34" s="1220">
        <f t="shared" si="12"/>
        <v>100</v>
      </c>
      <c r="T34" s="1219" t="s">
        <v>1393</v>
      </c>
      <c r="U34" s="1220">
        <f t="shared" si="13"/>
        <v>100</v>
      </c>
      <c r="V34" s="1219" t="s">
        <v>1393</v>
      </c>
      <c r="W34" s="1220">
        <f t="shared" si="14"/>
        <v>100</v>
      </c>
      <c r="X34" s="1214"/>
      <c r="Y34" s="3387"/>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83"/>
      <c r="Q35" s="625" t="str">
        <f t="shared" si="11"/>
        <v>建筑品质</v>
      </c>
      <c r="R35" s="1219" t="s">
        <v>1393</v>
      </c>
      <c r="S35" s="1220">
        <f t="shared" si="12"/>
        <v>100</v>
      </c>
      <c r="T35" s="1219" t="s">
        <v>1393</v>
      </c>
      <c r="U35" s="1220">
        <f t="shared" si="13"/>
        <v>100</v>
      </c>
      <c r="V35" s="1219" t="s">
        <v>1393</v>
      </c>
      <c r="W35" s="1220">
        <f t="shared" si="14"/>
        <v>100</v>
      </c>
      <c r="X35" s="1214"/>
      <c r="Y35" s="3387"/>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83"/>
      <c r="Q36" s="625" t="str">
        <f t="shared" si="11"/>
        <v>公共部分装修</v>
      </c>
      <c r="R36" s="1219" t="s">
        <v>1393</v>
      </c>
      <c r="S36" s="1220">
        <f t="shared" si="12"/>
        <v>100</v>
      </c>
      <c r="T36" s="1219" t="s">
        <v>1393</v>
      </c>
      <c r="U36" s="1220">
        <f t="shared" si="13"/>
        <v>100</v>
      </c>
      <c r="V36" s="1219" t="s">
        <v>1393</v>
      </c>
      <c r="W36" s="1220">
        <f t="shared" si="14"/>
        <v>100</v>
      </c>
      <c r="X36" s="1214"/>
      <c r="Y36" s="3387"/>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83"/>
      <c r="Q37" s="794" t="str">
        <f t="shared" si="11"/>
        <v>成新度</v>
      </c>
      <c r="R37" s="1215" t="s">
        <v>1393</v>
      </c>
      <c r="S37" s="1216" t="e">
        <f t="shared" si="12"/>
        <v>#N/A</v>
      </c>
      <c r="T37" s="1215" t="s">
        <v>1393</v>
      </c>
      <c r="U37" s="1216" t="e">
        <f t="shared" si="13"/>
        <v>#N/A</v>
      </c>
      <c r="V37" s="1215" t="s">
        <v>1393</v>
      </c>
      <c r="W37" s="1216" t="e">
        <f t="shared" si="14"/>
        <v>#N/A</v>
      </c>
      <c r="X37" s="1217"/>
      <c r="Y37" s="3387"/>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83" t="s">
        <v>1421</v>
      </c>
      <c r="Q38" s="625" t="str">
        <f t="shared" si="11"/>
        <v>物业管理</v>
      </c>
      <c r="R38" s="1219" t="s">
        <v>1393</v>
      </c>
      <c r="S38" s="1220">
        <f t="shared" si="12"/>
        <v>100</v>
      </c>
      <c r="T38" s="1219" t="s">
        <v>1393</v>
      </c>
      <c r="U38" s="1220">
        <f t="shared" si="13"/>
        <v>100</v>
      </c>
      <c r="V38" s="1219" t="s">
        <v>1393</v>
      </c>
      <c r="W38" s="1220">
        <f t="shared" si="14"/>
        <v>100</v>
      </c>
      <c r="X38" s="1214"/>
      <c r="Y38" s="3387"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83"/>
      <c r="Q39" s="625" t="str">
        <f t="shared" si="11"/>
        <v>市政基础设施</v>
      </c>
      <c r="R39" s="1219" t="s">
        <v>1393</v>
      </c>
      <c r="S39" s="1220">
        <f t="shared" si="12"/>
        <v>100</v>
      </c>
      <c r="T39" s="1219" t="s">
        <v>1393</v>
      </c>
      <c r="U39" s="1220">
        <f t="shared" si="13"/>
        <v>100</v>
      </c>
      <c r="V39" s="1219" t="s">
        <v>1393</v>
      </c>
      <c r="W39" s="1220">
        <f t="shared" si="14"/>
        <v>100</v>
      </c>
      <c r="X39" s="1214"/>
      <c r="Y39" s="3387"/>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83"/>
      <c r="Q40" s="625" t="str">
        <f t="shared" si="11"/>
        <v>房型</v>
      </c>
      <c r="R40" s="1219" t="s">
        <v>1393</v>
      </c>
      <c r="S40" s="1220">
        <f t="shared" si="12"/>
        <v>100</v>
      </c>
      <c r="T40" s="1219" t="s">
        <v>1393</v>
      </c>
      <c r="U40" s="1220">
        <f t="shared" si="13"/>
        <v>100</v>
      </c>
      <c r="V40" s="1219" t="s">
        <v>1393</v>
      </c>
      <c r="W40" s="1220">
        <f t="shared" si="14"/>
        <v>100</v>
      </c>
      <c r="X40" s="1214"/>
      <c r="Y40" s="3387"/>
      <c r="Z40" s="1204" t="str">
        <f t="shared" si="18"/>
        <v>房型</v>
      </c>
      <c r="AA40" s="1204">
        <f t="shared" si="15"/>
        <v>1</v>
      </c>
      <c r="AB40" s="1204">
        <f t="shared" si="16"/>
        <v>1</v>
      </c>
      <c r="AC40" s="1204">
        <f t="shared" si="17"/>
        <v>1</v>
      </c>
    </row>
    <row r="41" spans="1:29" s="1010" customFormat="1" ht="28.5">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83"/>
      <c r="Q41" s="1415" t="str">
        <f t="shared" si="11"/>
        <v>单套/主力户型建筑面积</v>
      </c>
      <c r="R41" s="1221" t="s">
        <v>1393</v>
      </c>
      <c r="S41" s="1222">
        <f t="shared" si="12"/>
        <v>100</v>
      </c>
      <c r="T41" s="1221" t="s">
        <v>1393</v>
      </c>
      <c r="U41" s="1222">
        <f t="shared" si="13"/>
        <v>100</v>
      </c>
      <c r="V41" s="1221" t="s">
        <v>1393</v>
      </c>
      <c r="W41" s="1222">
        <f t="shared" si="14"/>
        <v>100</v>
      </c>
      <c r="X41" s="1223"/>
      <c r="Y41" s="3387"/>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83"/>
      <c r="Q42" s="625" t="str">
        <f t="shared" si="11"/>
        <v>内部装修</v>
      </c>
      <c r="R42" s="1219" t="s">
        <v>1393</v>
      </c>
      <c r="S42" s="1220">
        <f t="shared" si="12"/>
        <v>100</v>
      </c>
      <c r="T42" s="1219" t="s">
        <v>1393</v>
      </c>
      <c r="U42" s="1220">
        <f t="shared" si="13"/>
        <v>100</v>
      </c>
      <c r="V42" s="1219" t="s">
        <v>1393</v>
      </c>
      <c r="W42" s="1220">
        <f t="shared" si="14"/>
        <v>100</v>
      </c>
      <c r="X42" s="1214"/>
      <c r="Y42" s="3387"/>
      <c r="Z42" s="1204" t="str">
        <f t="shared" si="18"/>
        <v>内部装修</v>
      </c>
      <c r="AA42" s="1204">
        <f t="shared" si="15"/>
        <v>1</v>
      </c>
      <c r="AB42" s="1204">
        <f t="shared" si="16"/>
        <v>1</v>
      </c>
      <c r="AC42" s="1204">
        <f t="shared" si="17"/>
        <v>1</v>
      </c>
    </row>
    <row r="43" spans="1:29" ht="15">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83"/>
      <c r="Q43" s="625" t="str">
        <f t="shared" si="11"/>
        <v>内部装修维护情况</v>
      </c>
      <c r="R43" s="1219" t="s">
        <v>1393</v>
      </c>
      <c r="S43" s="1220">
        <f t="shared" si="12"/>
        <v>100</v>
      </c>
      <c r="T43" s="1219" t="s">
        <v>1393</v>
      </c>
      <c r="U43" s="1220">
        <f t="shared" si="13"/>
        <v>100</v>
      </c>
      <c r="V43" s="1219" t="s">
        <v>1393</v>
      </c>
      <c r="W43" s="1220">
        <f t="shared" si="14"/>
        <v>100</v>
      </c>
      <c r="X43" s="1214"/>
      <c r="Y43" s="3387"/>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83"/>
      <c r="Q44" s="794">
        <f t="shared" si="11"/>
        <v>111</v>
      </c>
      <c r="R44" s="1215" t="s">
        <v>1393</v>
      </c>
      <c r="S44" s="1216">
        <f t="shared" si="12"/>
        <v>100</v>
      </c>
      <c r="T44" s="1215" t="s">
        <v>1393</v>
      </c>
      <c r="U44" s="1216">
        <f t="shared" si="13"/>
        <v>100</v>
      </c>
      <c r="V44" s="1215" t="s">
        <v>1393</v>
      </c>
      <c r="W44" s="1216">
        <f t="shared" si="14"/>
        <v>100</v>
      </c>
      <c r="X44" s="1217"/>
      <c r="Y44" s="3387"/>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83"/>
      <c r="Q45" s="625">
        <f t="shared" si="11"/>
        <v>111</v>
      </c>
      <c r="R45" s="1219" t="s">
        <v>1393</v>
      </c>
      <c r="S45" s="1220">
        <f t="shared" si="12"/>
        <v>100</v>
      </c>
      <c r="T45" s="1219" t="s">
        <v>1393</v>
      </c>
      <c r="U45" s="1220">
        <f t="shared" si="13"/>
        <v>100</v>
      </c>
      <c r="V45" s="1219" t="s">
        <v>1393</v>
      </c>
      <c r="W45" s="1220">
        <f t="shared" si="14"/>
        <v>100</v>
      </c>
      <c r="X45" s="1214"/>
      <c r="Y45" s="3387"/>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84"/>
      <c r="Q46" s="625">
        <f t="shared" si="11"/>
        <v>111</v>
      </c>
      <c r="R46" s="1219" t="s">
        <v>1393</v>
      </c>
      <c r="S46" s="1220">
        <f t="shared" si="12"/>
        <v>100</v>
      </c>
      <c r="T46" s="1219" t="s">
        <v>1393</v>
      </c>
      <c r="U46" s="1220">
        <f t="shared" si="13"/>
        <v>100</v>
      </c>
      <c r="V46" s="1219" t="s">
        <v>1393</v>
      </c>
      <c r="W46" s="1220">
        <f t="shared" si="14"/>
        <v>100</v>
      </c>
      <c r="X46" s="1214"/>
      <c r="Y46" s="3388"/>
      <c r="Z46" s="1204">
        <f t="shared" si="18"/>
        <v>111</v>
      </c>
      <c r="AA46" s="1204">
        <f t="shared" si="15"/>
        <v>1</v>
      </c>
      <c r="AB46" s="1204">
        <f t="shared" si="16"/>
        <v>1</v>
      </c>
      <c r="AC46" s="1204">
        <f t="shared" si="17"/>
        <v>1</v>
      </c>
    </row>
    <row r="47" spans="1:29" ht="15">
      <c r="A47" s="1105" t="s">
        <v>1437</v>
      </c>
      <c r="B47" s="1398"/>
      <c r="C47" s="1399" t="s">
        <v>124</v>
      </c>
      <c r="D47" s="1108"/>
      <c r="E47" s="1109"/>
      <c r="F47" s="1110"/>
      <c r="G47" s="1111"/>
      <c r="H47" s="1112"/>
      <c r="I47" s="1109"/>
      <c r="J47" s="1112"/>
      <c r="K47" s="1569"/>
      <c r="L47" s="1196"/>
      <c r="M47" s="1122"/>
      <c r="N47" s="1122"/>
      <c r="O47" s="1122"/>
      <c r="P47" s="3378" t="str">
        <f>A47</f>
        <v>成交单价（元/平方米）</v>
      </c>
      <c r="Q47" s="3378"/>
      <c r="R47" s="3379">
        <f>E47</f>
        <v>0</v>
      </c>
      <c r="S47" s="3379"/>
      <c r="T47" s="3379">
        <f>G47</f>
        <v>0</v>
      </c>
      <c r="U47" s="3379"/>
      <c r="V47" s="3379">
        <f>I47</f>
        <v>0</v>
      </c>
      <c r="W47" s="3379"/>
      <c r="X47" s="1162"/>
      <c r="Y47" s="1229"/>
      <c r="Z47" s="1162"/>
      <c r="AA47" s="1162"/>
      <c r="AB47" s="1162"/>
      <c r="AC47" s="1162"/>
    </row>
    <row r="48" spans="1:29" ht="15">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1162"/>
      <c r="Y48" s="1162"/>
      <c r="Z48" s="1162"/>
      <c r="AA48" s="1162"/>
      <c r="AB48" s="1162"/>
      <c r="AC48" s="1162"/>
    </row>
    <row r="49" spans="1:29" ht="15">
      <c r="A49" s="1119" t="s">
        <v>1440</v>
      </c>
      <c r="B49" s="1120"/>
      <c r="C49" s="1553" t="e">
        <f>R49</f>
        <v>#DIV/0!</v>
      </c>
      <c r="D49" s="1032"/>
      <c r="E49" s="1032"/>
      <c r="F49" s="1032"/>
      <c r="G49" s="1032"/>
      <c r="H49" s="1032"/>
      <c r="I49" s="1032"/>
      <c r="J49" s="1032"/>
      <c r="K49" s="1571"/>
      <c r="L49" s="1196"/>
      <c r="M49" s="1122"/>
      <c r="N49" s="1122"/>
      <c r="O49" s="1122"/>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3"/>
      <c r="Q57" s="1503"/>
    </row>
    <row r="58" spans="1:29" s="1013" customFormat="1" ht="15">
      <c r="A58" s="1404" t="s">
        <v>1391</v>
      </c>
      <c r="B58" s="1405"/>
      <c r="C58" s="1554" t="str">
        <f>YEAR(C7)&amp;"-"&amp;MONTH(C7)</f>
        <v>2025-11</v>
      </c>
      <c r="D58" s="1407">
        <f>EDATE(C58,-1)</f>
        <v>45931</v>
      </c>
      <c r="E58" s="1407">
        <f>EDATE(D58,-1)</f>
        <v>45901</v>
      </c>
      <c r="F58" s="1407">
        <f t="shared" ref="F58:O58" si="19">EDATE(E58,-1)</f>
        <v>45870</v>
      </c>
      <c r="G58" s="1407">
        <f t="shared" si="19"/>
        <v>45839</v>
      </c>
      <c r="H58" s="1407">
        <f t="shared" si="19"/>
        <v>45809</v>
      </c>
      <c r="I58" s="1407">
        <f t="shared" si="19"/>
        <v>45778</v>
      </c>
      <c r="J58" s="1407">
        <f t="shared" si="19"/>
        <v>45748</v>
      </c>
      <c r="K58" s="1407">
        <f t="shared" si="19"/>
        <v>45717</v>
      </c>
      <c r="L58" s="1407">
        <f t="shared" si="19"/>
        <v>45689</v>
      </c>
      <c r="M58" s="1407">
        <f t="shared" si="19"/>
        <v>45658</v>
      </c>
      <c r="N58" s="1407">
        <f t="shared" si="19"/>
        <v>45627</v>
      </c>
      <c r="O58" s="1407">
        <f t="shared" si="19"/>
        <v>45597</v>
      </c>
      <c r="P58" s="1574"/>
    </row>
    <row r="59" spans="1:29" s="1008" customFormat="1" ht="15">
      <c r="A59" s="1078"/>
      <c r="B59" s="1555"/>
      <c r="C59" s="1408">
        <v>100</v>
      </c>
      <c r="D59" s="1526"/>
      <c r="E59" s="1245"/>
      <c r="F59" s="1245"/>
      <c r="G59" s="1245"/>
      <c r="H59" s="1245"/>
      <c r="I59" s="1245"/>
      <c r="J59" s="1245"/>
      <c r="K59" s="1245"/>
      <c r="L59" s="1245"/>
      <c r="M59" s="1053"/>
      <c r="N59" s="1245"/>
      <c r="O59" s="1053"/>
      <c r="P59" s="1575"/>
    </row>
    <row r="60" spans="1:29" s="1008" customFormat="1" ht="15">
      <c r="A60" s="1236" t="s">
        <v>1445</v>
      </c>
      <c r="B60" s="1237"/>
      <c r="C60" s="1238"/>
      <c r="D60" s="1239"/>
      <c r="E60" s="1239"/>
      <c r="F60" s="1239"/>
      <c r="G60" s="1239"/>
      <c r="H60" s="1239"/>
      <c r="I60" s="1239"/>
      <c r="J60" s="1239"/>
      <c r="K60" s="1239"/>
      <c r="L60" s="1239"/>
      <c r="M60" s="1280"/>
      <c r="N60" s="1239"/>
      <c r="O60" s="1280"/>
      <c r="P60" s="1575"/>
      <c r="Q60" s="1503"/>
    </row>
    <row r="61" spans="1:29" s="1008" customFormat="1" ht="15">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ht="15">
      <c r="A62" s="1240"/>
      <c r="B62" s="1241"/>
      <c r="C62" s="1526">
        <v>100</v>
      </c>
      <c r="D62" s="1245"/>
      <c r="E62" s="1245"/>
      <c r="F62" s="1245"/>
      <c r="G62" s="1245"/>
      <c r="H62" s="1245"/>
      <c r="I62" s="1245"/>
      <c r="J62" s="1245"/>
      <c r="K62" s="1245"/>
      <c r="L62" s="1245"/>
      <c r="M62" s="1285"/>
      <c r="N62" s="1506"/>
      <c r="O62" s="1506"/>
      <c r="P62" s="1575"/>
      <c r="Q62" s="1503"/>
    </row>
    <row r="63" spans="1:29">
      <c r="A63" s="1062" t="s">
        <v>1447</v>
      </c>
      <c r="B63" s="1246" t="s">
        <v>1399</v>
      </c>
      <c r="C63" s="621">
        <f>C9</f>
        <v>0</v>
      </c>
      <c r="D63" s="1193"/>
      <c r="E63" s="1193"/>
      <c r="F63" s="1193"/>
      <c r="G63" s="1193"/>
      <c r="H63" s="1193"/>
      <c r="I63" s="1193"/>
      <c r="J63" s="1193"/>
      <c r="K63" s="1286"/>
      <c r="L63" s="1287"/>
      <c r="M63" s="1288"/>
      <c r="N63" s="1508"/>
      <c r="O63" s="1508"/>
      <c r="P63" s="1577"/>
      <c r="Q63" s="1503"/>
    </row>
    <row r="64" spans="1:29" ht="15">
      <c r="A64" s="1049"/>
      <c r="B64" s="1247"/>
      <c r="C64" s="1248">
        <v>100</v>
      </c>
      <c r="D64" s="1248"/>
      <c r="E64" s="1248"/>
      <c r="F64" s="1248"/>
      <c r="G64" s="1248"/>
      <c r="H64" s="1248"/>
      <c r="I64" s="1248"/>
      <c r="J64" s="1248"/>
      <c r="K64" s="1248"/>
      <c r="L64" s="1248"/>
      <c r="M64" s="1290"/>
      <c r="N64" s="1510"/>
      <c r="O64" s="1510"/>
      <c r="P64" s="1577"/>
      <c r="Q64" s="1503"/>
    </row>
    <row r="65" spans="1:17" ht="27">
      <c r="A65" s="1049"/>
      <c r="B65" s="1249" t="s">
        <v>1402</v>
      </c>
      <c r="C65" s="1272"/>
      <c r="D65" s="1272"/>
      <c r="E65" s="1272"/>
      <c r="F65" s="1272"/>
      <c r="G65" s="1272"/>
      <c r="H65" s="1272"/>
      <c r="I65" s="1272"/>
      <c r="J65" s="1272"/>
      <c r="K65" s="1272"/>
      <c r="L65" s="1272"/>
      <c r="M65" s="1272"/>
      <c r="N65" s="1510"/>
      <c r="O65" s="1510"/>
      <c r="P65" s="1577"/>
      <c r="Q65" s="1503"/>
    </row>
    <row r="66" spans="1:17" ht="15">
      <c r="A66" s="1049"/>
      <c r="B66" s="1251"/>
      <c r="C66" s="1248"/>
      <c r="D66" s="1248"/>
      <c r="E66" s="1248"/>
      <c r="F66" s="1248"/>
      <c r="G66" s="1248"/>
      <c r="H66" s="1248"/>
      <c r="I66" s="1248"/>
      <c r="J66" s="1248"/>
      <c r="K66" s="1248"/>
      <c r="L66" s="1248"/>
      <c r="M66" s="1290"/>
      <c r="N66" s="1510"/>
      <c r="O66" s="1510"/>
      <c r="P66" s="1577"/>
      <c r="Q66" s="1503"/>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ht="15">
      <c r="A68" s="1049"/>
      <c r="B68" s="1255"/>
      <c r="C68" s="1055"/>
      <c r="D68" s="1055"/>
      <c r="E68" s="1055"/>
      <c r="F68" s="1055"/>
      <c r="G68" s="1055"/>
      <c r="H68" s="1055"/>
      <c r="I68" s="1055"/>
      <c r="J68" s="1055"/>
      <c r="K68" s="1296"/>
      <c r="L68" s="1297"/>
      <c r="M68" s="1298"/>
      <c r="N68" s="1508"/>
      <c r="O68" s="1508"/>
      <c r="P68" s="1577"/>
      <c r="Q68" s="1503"/>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ht="15">
      <c r="A70" s="1256"/>
      <c r="B70" s="1249">
        <f>B12</f>
        <v>111</v>
      </c>
      <c r="C70" s="1257"/>
      <c r="D70" s="1257"/>
      <c r="E70" s="1257"/>
      <c r="F70" s="1257"/>
      <c r="G70" s="1257"/>
      <c r="H70" s="1258"/>
      <c r="I70" s="1258"/>
      <c r="J70" s="1258"/>
      <c r="K70" s="1258"/>
      <c r="L70" s="1299"/>
      <c r="M70" s="1300"/>
      <c r="N70" s="1511"/>
      <c r="O70" s="1511"/>
      <c r="P70" s="1580"/>
      <c r="Q70" s="1513"/>
    </row>
    <row r="71" spans="1:17" s="1010" customFormat="1" ht="15">
      <c r="A71" s="1256"/>
      <c r="B71" s="1251"/>
      <c r="C71" s="1259"/>
      <c r="D71" s="1248"/>
      <c r="E71" s="1248"/>
      <c r="F71" s="1248"/>
      <c r="G71" s="1248"/>
      <c r="H71" s="1248"/>
      <c r="I71" s="1248"/>
      <c r="J71" s="1248"/>
      <c r="K71" s="1248"/>
      <c r="L71" s="1248"/>
      <c r="M71" s="1290"/>
      <c r="N71" s="1510"/>
      <c r="O71" s="1510"/>
      <c r="P71" s="1580"/>
      <c r="Q71" s="1513"/>
    </row>
    <row r="72" spans="1:17" s="1010" customFormat="1" ht="15">
      <c r="A72" s="1256"/>
      <c r="B72" s="1249">
        <f>B13</f>
        <v>111</v>
      </c>
      <c r="C72" s="1257"/>
      <c r="D72" s="1257"/>
      <c r="E72" s="1257"/>
      <c r="F72" s="1257"/>
      <c r="G72" s="1257"/>
      <c r="H72" s="1258"/>
      <c r="I72" s="1258"/>
      <c r="J72" s="1258"/>
      <c r="K72" s="1258"/>
      <c r="L72" s="1299"/>
      <c r="M72" s="1300"/>
      <c r="N72" s="1511"/>
      <c r="O72" s="1511"/>
      <c r="P72" s="1581"/>
      <c r="Q72" s="1516"/>
    </row>
    <row r="73" spans="1:17" s="1010" customFormat="1" ht="15">
      <c r="A73" s="1256"/>
      <c r="B73" s="1251"/>
      <c r="C73" s="1259"/>
      <c r="D73" s="1259"/>
      <c r="E73" s="1259"/>
      <c r="F73" s="1259"/>
      <c r="G73" s="1259"/>
      <c r="H73" s="1260"/>
      <c r="I73" s="1260"/>
      <c r="J73" s="1260"/>
      <c r="K73" s="1260"/>
      <c r="L73" s="1260"/>
      <c r="M73" s="1302"/>
      <c r="N73" s="1511"/>
      <c r="O73" s="1511"/>
      <c r="P73" s="1580"/>
      <c r="Q73" s="1513"/>
    </row>
    <row r="74" spans="1:17" s="1010" customFormat="1" ht="15">
      <c r="A74" s="1256"/>
      <c r="B74" s="1253">
        <f>B14</f>
        <v>111</v>
      </c>
      <c r="C74" s="1257"/>
      <c r="D74" s="1257"/>
      <c r="E74" s="1257"/>
      <c r="F74" s="1257"/>
      <c r="G74" s="1243"/>
      <c r="H74" s="1261"/>
      <c r="I74" s="1261"/>
      <c r="J74" s="1261"/>
      <c r="K74" s="1261"/>
      <c r="L74" s="1303"/>
      <c r="M74" s="1304"/>
      <c r="N74" s="1511"/>
      <c r="O74" s="1511"/>
      <c r="P74" s="1582"/>
      <c r="Q74" s="1513"/>
    </row>
    <row r="75" spans="1:17" s="1010" customFormat="1" ht="15">
      <c r="A75" s="1262"/>
      <c r="B75" s="1263"/>
      <c r="C75" s="1264"/>
      <c r="D75" s="1264"/>
      <c r="E75" s="1264"/>
      <c r="F75" s="1264"/>
      <c r="G75" s="1264"/>
      <c r="H75" s="1265"/>
      <c r="I75" s="1265"/>
      <c r="J75" s="1265"/>
      <c r="K75" s="1265"/>
      <c r="L75" s="1265"/>
      <c r="M75" s="1306"/>
      <c r="N75" s="1511"/>
      <c r="O75" s="1511"/>
      <c r="P75" s="1580"/>
      <c r="Q75" s="1513"/>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5">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5">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5">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5">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5">
      <c r="A86" s="1052"/>
      <c r="B86" s="1249" t="s">
        <v>1601</v>
      </c>
      <c r="C86" s="1257"/>
      <c r="D86" s="1257"/>
      <c r="E86" s="1257"/>
      <c r="F86" s="1257"/>
      <c r="G86" s="1257"/>
      <c r="H86" s="1257"/>
      <c r="I86" s="1257"/>
      <c r="J86" s="1257"/>
      <c r="K86" s="1257"/>
      <c r="L86" s="1420"/>
      <c r="M86" s="1421"/>
      <c r="N86" s="1506"/>
      <c r="O86" s="1506"/>
      <c r="P86" s="1577"/>
      <c r="Q86" s="1503"/>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5">
      <c r="A88" s="1052"/>
      <c r="B88" s="1249" t="s">
        <v>1417</v>
      </c>
      <c r="C88" s="1257"/>
      <c r="D88" s="1257"/>
      <c r="E88" s="1257"/>
      <c r="F88" s="1538"/>
      <c r="G88" s="1257"/>
      <c r="H88" s="1257"/>
      <c r="I88" s="1257"/>
      <c r="J88" s="1257"/>
      <c r="K88" s="1257"/>
      <c r="L88" s="1257"/>
      <c r="M88" s="1421"/>
      <c r="N88" s="1506"/>
      <c r="O88" s="1506"/>
      <c r="P88" s="1577"/>
      <c r="Q88" s="1503"/>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ht="15">
      <c r="A90" s="1256"/>
      <c r="B90" s="1249">
        <f>B27</f>
        <v>111</v>
      </c>
      <c r="C90" s="1257"/>
      <c r="D90" s="1257"/>
      <c r="E90" s="1257"/>
      <c r="F90" s="1257"/>
      <c r="G90" s="1257"/>
      <c r="H90" s="1258"/>
      <c r="I90" s="1258"/>
      <c r="J90" s="1258"/>
      <c r="K90" s="1258"/>
      <c r="L90" s="1299"/>
      <c r="M90" s="1300"/>
      <c r="N90" s="1511"/>
      <c r="O90" s="1511"/>
      <c r="P90" s="1580"/>
      <c r="Q90" s="1513"/>
    </row>
    <row r="91" spans="1:17" s="1010" customFormat="1" ht="15">
      <c r="A91" s="1256"/>
      <c r="B91" s="1251"/>
      <c r="C91" s="1259"/>
      <c r="D91" s="1259"/>
      <c r="E91" s="1259"/>
      <c r="F91" s="1259"/>
      <c r="G91" s="1259"/>
      <c r="H91" s="1260"/>
      <c r="I91" s="1260"/>
      <c r="J91" s="1260"/>
      <c r="K91" s="1260"/>
      <c r="L91" s="1260"/>
      <c r="M91" s="1302"/>
      <c r="N91" s="1511"/>
      <c r="O91" s="1511"/>
      <c r="P91" s="1580"/>
      <c r="Q91" s="1513"/>
    </row>
    <row r="92" spans="1:17" ht="15">
      <c r="A92" s="1049"/>
      <c r="B92" s="1249">
        <f>B28</f>
        <v>111</v>
      </c>
      <c r="C92" s="1257"/>
      <c r="D92" s="1257"/>
      <c r="E92" s="1257"/>
      <c r="F92" s="1257"/>
      <c r="G92" s="1272"/>
      <c r="H92" s="1272"/>
      <c r="I92" s="1272"/>
      <c r="J92" s="1272"/>
      <c r="K92" s="1317"/>
      <c r="L92" s="1318"/>
      <c r="M92" s="1319"/>
      <c r="N92" s="1508"/>
      <c r="O92" s="1508"/>
      <c r="P92" s="1577"/>
      <c r="Q92" s="1503"/>
    </row>
    <row r="93" spans="1:17" ht="15">
      <c r="A93" s="1049"/>
      <c r="B93" s="1251"/>
      <c r="C93" s="1259"/>
      <c r="D93" s="1248"/>
      <c r="E93" s="1248"/>
      <c r="F93" s="1248"/>
      <c r="G93" s="1248"/>
      <c r="H93" s="1248"/>
      <c r="I93" s="1248"/>
      <c r="J93" s="1248"/>
      <c r="K93" s="1248"/>
      <c r="L93" s="1248"/>
      <c r="M93" s="1290"/>
      <c r="N93" s="1510"/>
      <c r="O93" s="1510"/>
      <c r="P93" s="1577"/>
      <c r="Q93" s="1503"/>
    </row>
    <row r="94" spans="1:17" ht="15">
      <c r="A94" s="1049"/>
      <c r="B94" s="1249">
        <f>B29</f>
        <v>111</v>
      </c>
      <c r="C94" s="1257"/>
      <c r="D94" s="1257"/>
      <c r="E94" s="1257"/>
      <c r="F94" s="1257"/>
      <c r="G94" s="1272"/>
      <c r="H94" s="1272"/>
      <c r="I94" s="1272"/>
      <c r="J94" s="1272"/>
      <c r="K94" s="1317"/>
      <c r="L94" s="1318"/>
      <c r="M94" s="1319"/>
      <c r="N94" s="1508"/>
      <c r="O94" s="1508"/>
      <c r="P94" s="1577"/>
      <c r="Q94" s="1503"/>
    </row>
    <row r="95" spans="1:17" ht="15">
      <c r="A95" s="1049"/>
      <c r="B95" s="1251"/>
      <c r="C95" s="1259"/>
      <c r="D95" s="1259"/>
      <c r="E95" s="1259"/>
      <c r="F95" s="1259"/>
      <c r="G95" s="1248"/>
      <c r="H95" s="1248"/>
      <c r="I95" s="1248"/>
      <c r="J95" s="1248"/>
      <c r="K95" s="1248"/>
      <c r="L95" s="1248"/>
      <c r="M95" s="1290"/>
      <c r="N95" s="1510"/>
      <c r="O95" s="1510"/>
      <c r="P95" s="1577"/>
      <c r="Q95" s="1503"/>
    </row>
    <row r="96" spans="1:17" ht="15">
      <c r="A96" s="1049"/>
      <c r="B96" s="1249">
        <f>B30</f>
        <v>111</v>
      </c>
      <c r="C96" s="1257"/>
      <c r="D96" s="1257"/>
      <c r="E96" s="1257"/>
      <c r="F96" s="1257"/>
      <c r="G96" s="1272"/>
      <c r="H96" s="1272"/>
      <c r="I96" s="1272"/>
      <c r="J96" s="1272"/>
      <c r="K96" s="1317"/>
      <c r="L96" s="1318"/>
      <c r="M96" s="1319"/>
      <c r="N96" s="1508"/>
      <c r="O96" s="1508"/>
      <c r="P96" s="1577"/>
      <c r="Q96" s="1503"/>
    </row>
    <row r="97" spans="1:17" ht="15">
      <c r="A97" s="1049"/>
      <c r="B97" s="1251"/>
      <c r="C97" s="1264"/>
      <c r="D97" s="1264"/>
      <c r="E97" s="1264"/>
      <c r="F97" s="1264"/>
      <c r="G97" s="1248"/>
      <c r="H97" s="1248"/>
      <c r="I97" s="1248"/>
      <c r="J97" s="1248"/>
      <c r="K97" s="1248"/>
      <c r="L97" s="1248"/>
      <c r="M97" s="1290"/>
      <c r="N97" s="1510"/>
      <c r="O97" s="1510"/>
      <c r="P97" s="1577"/>
      <c r="Q97" s="1503"/>
    </row>
    <row r="98" spans="1:17" ht="15">
      <c r="A98" s="1049"/>
      <c r="B98" s="1253">
        <f>B31</f>
        <v>111</v>
      </c>
      <c r="C98" s="1273"/>
      <c r="D98" s="1273"/>
      <c r="E98" s="1273"/>
      <c r="F98" s="1273"/>
      <c r="G98" s="1273"/>
      <c r="H98" s="1273"/>
      <c r="I98" s="1273"/>
      <c r="J98" s="1273"/>
      <c r="K98" s="1320"/>
      <c r="L98" s="1321"/>
      <c r="M98" s="1322"/>
      <c r="N98" s="1508"/>
      <c r="O98" s="1508"/>
      <c r="P98" s="1577"/>
      <c r="Q98" s="1503"/>
    </row>
    <row r="99" spans="1:17" ht="15">
      <c r="A99" s="1058"/>
      <c r="B99" s="1263"/>
      <c r="C99" s="1274"/>
      <c r="D99" s="1274"/>
      <c r="E99" s="1274"/>
      <c r="F99" s="1274"/>
      <c r="G99" s="1274"/>
      <c r="H99" s="1274"/>
      <c r="I99" s="1274"/>
      <c r="J99" s="1274"/>
      <c r="K99" s="1274"/>
      <c r="L99" s="1274"/>
      <c r="M99" s="1323"/>
      <c r="N99" s="1510"/>
      <c r="O99" s="1510"/>
      <c r="P99" s="1577"/>
      <c r="Q99" s="1503"/>
    </row>
    <row r="100" spans="1:17">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ht="15">
      <c r="A104" s="1256"/>
      <c r="B104" s="1251"/>
      <c r="C104" s="1259"/>
      <c r="D104" s="1248"/>
      <c r="E104" s="1248"/>
      <c r="F104" s="1248"/>
      <c r="G104" s="1248"/>
      <c r="H104" s="1248"/>
      <c r="I104" s="1248"/>
      <c r="J104" s="1248"/>
      <c r="K104" s="1248"/>
      <c r="L104" s="1248"/>
      <c r="M104" s="1248"/>
      <c r="N104" s="1510"/>
      <c r="O104" s="1510"/>
      <c r="P104" s="1580"/>
      <c r="Q104" s="1513"/>
    </row>
    <row r="105" spans="1:17">
      <c r="A105" s="1098"/>
      <c r="B105" s="1249" t="s">
        <v>1423</v>
      </c>
      <c r="C105" s="1257"/>
      <c r="D105" s="1257"/>
      <c r="E105" s="1272"/>
      <c r="F105" s="1272"/>
      <c r="G105" s="1272"/>
      <c r="H105" s="1272"/>
      <c r="I105" s="1272"/>
      <c r="J105" s="1272"/>
      <c r="K105" s="1317"/>
      <c r="L105" s="1318"/>
      <c r="M105" s="1319"/>
      <c r="N105" s="1508"/>
      <c r="O105" s="1508"/>
      <c r="P105" s="1577"/>
      <c r="Q105" s="1503"/>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c r="A107" s="1098"/>
      <c r="B107" s="1249" t="s">
        <v>1602</v>
      </c>
      <c r="C107" s="1272"/>
      <c r="D107" s="1272"/>
      <c r="E107" s="1272"/>
      <c r="F107" s="1272"/>
      <c r="G107" s="1272"/>
      <c r="H107" s="1272"/>
      <c r="I107" s="1272"/>
      <c r="J107" s="1272"/>
      <c r="K107" s="1317"/>
      <c r="L107" s="1318"/>
      <c r="M107" s="1319"/>
      <c r="N107" s="1508"/>
      <c r="O107" s="1508"/>
      <c r="P107" s="1577"/>
      <c r="Q107" s="1503"/>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c r="A109" s="1098"/>
      <c r="B109" s="1249" t="s">
        <v>1425</v>
      </c>
      <c r="C109" s="1257"/>
      <c r="D109" s="1257"/>
      <c r="E109" s="1257"/>
      <c r="F109" s="1272"/>
      <c r="G109" s="1272"/>
      <c r="H109" s="1272"/>
      <c r="I109" s="1272"/>
      <c r="J109" s="1272"/>
      <c r="K109" s="1317"/>
      <c r="L109" s="1318"/>
      <c r="M109" s="1319"/>
      <c r="N109" s="1508"/>
      <c r="O109" s="1508"/>
      <c r="P109" s="1577"/>
      <c r="Q109" s="1503"/>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c r="A114" s="1098"/>
      <c r="B114" s="1249" t="s">
        <v>1429</v>
      </c>
      <c r="C114" s="1257"/>
      <c r="D114" s="1257"/>
      <c r="E114" s="1272"/>
      <c r="F114" s="1272"/>
      <c r="G114" s="1272"/>
      <c r="H114" s="1272"/>
      <c r="I114" s="1272"/>
      <c r="J114" s="1272"/>
      <c r="K114" s="1317"/>
      <c r="L114" s="1318"/>
      <c r="M114" s="1319"/>
      <c r="N114" s="1508"/>
      <c r="O114" s="1508"/>
      <c r="P114" s="1577"/>
      <c r="Q114" s="1503"/>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c r="A116" s="1098"/>
      <c r="B116" s="1249" t="s">
        <v>1431</v>
      </c>
      <c r="C116" s="1257"/>
      <c r="D116" s="1257"/>
      <c r="E116" s="1257"/>
      <c r="F116" s="1257"/>
      <c r="G116" s="1257"/>
      <c r="H116" s="1272"/>
      <c r="I116" s="1272"/>
      <c r="J116" s="1272"/>
      <c r="K116" s="1317"/>
      <c r="L116" s="1318"/>
      <c r="M116" s="1319"/>
      <c r="N116" s="1508"/>
      <c r="O116" s="1508"/>
      <c r="P116" s="1577"/>
      <c r="Q116" s="1503"/>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c r="A118" s="1098"/>
      <c r="B118" s="1249" t="s">
        <v>1603</v>
      </c>
      <c r="C118" s="1272"/>
      <c r="D118" s="1272"/>
      <c r="E118" s="1272"/>
      <c r="F118" s="1272"/>
      <c r="G118" s="1272"/>
      <c r="H118" s="1272"/>
      <c r="I118" s="1272"/>
      <c r="J118" s="1272"/>
      <c r="K118" s="1317"/>
      <c r="L118" s="1318"/>
      <c r="M118" s="1319"/>
      <c r="N118" s="1508"/>
      <c r="O118" s="1508"/>
      <c r="P118" s="1577"/>
      <c r="Q118" s="1503"/>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7.75">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ht="15">
      <c r="A121" s="1256"/>
      <c r="B121" s="1247"/>
      <c r="C121" s="1259"/>
      <c r="D121" s="1248"/>
      <c r="E121" s="1248"/>
      <c r="F121" s="1248"/>
      <c r="G121" s="1248"/>
      <c r="H121" s="1248"/>
      <c r="I121" s="1248"/>
      <c r="J121" s="1248"/>
      <c r="K121" s="1248"/>
      <c r="L121" s="1248"/>
      <c r="M121" s="1248"/>
      <c r="N121" s="1511"/>
      <c r="O121" s="1511"/>
      <c r="P121" s="1580"/>
      <c r="Q121" s="1513"/>
    </row>
    <row r="122" spans="1:17">
      <c r="A122" s="1098"/>
      <c r="B122" s="1249" t="s">
        <v>1434</v>
      </c>
      <c r="C122" s="1257"/>
      <c r="D122" s="1257"/>
      <c r="E122" s="1257"/>
      <c r="F122" s="1272"/>
      <c r="G122" s="1272"/>
      <c r="H122" s="1272"/>
      <c r="I122" s="1272"/>
      <c r="J122" s="1272"/>
      <c r="K122" s="1317"/>
      <c r="L122" s="1318"/>
      <c r="M122" s="1319"/>
      <c r="N122" s="1508"/>
      <c r="O122" s="1508"/>
      <c r="P122" s="1577"/>
      <c r="Q122" s="1503"/>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ht="15">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ht="15">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ht="15">
      <c r="A131" s="1058"/>
      <c r="B131" s="1263"/>
      <c r="C131" s="1264"/>
      <c r="D131" s="1264"/>
      <c r="E131" s="1264"/>
      <c r="F131" s="1264"/>
      <c r="G131" s="1274"/>
      <c r="H131" s="1274"/>
      <c r="I131" s="1274"/>
      <c r="J131" s="1274"/>
      <c r="K131" s="1274"/>
      <c r="L131" s="1274"/>
      <c r="M131" s="1323"/>
      <c r="N131" s="1510"/>
      <c r="O131" s="1510"/>
      <c r="P131" s="1577"/>
      <c r="Q131" s="1503"/>
    </row>
    <row r="136" spans="1:17">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c r="B147" s="1586" t="s">
        <v>1623</v>
      </c>
    </row>
    <row r="148" spans="2:11">
      <c r="B148" s="1586" t="s">
        <v>1624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134.04</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487"/>
      <c r="M4" s="1157"/>
      <c r="N4" s="1157"/>
      <c r="O4" s="1157"/>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487"/>
      <c r="M5" s="1157"/>
      <c r="N5" s="1157"/>
      <c r="O5" s="1157"/>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171" t="s">
        <v>1390</v>
      </c>
      <c r="L6" s="1487"/>
      <c r="M6" s="1157"/>
      <c r="N6" s="1157"/>
      <c r="O6" s="1157"/>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45973</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40" si="3">D8/F8</f>
        <v>1</v>
      </c>
      <c r="AB8" s="1227">
        <f t="shared" ref="AB8:AB40" si="4">D8/H8</f>
        <v>1</v>
      </c>
      <c r="AC8" s="1227">
        <f t="shared" ref="AC8:AC40" si="5">D8/J8</f>
        <v>1</v>
      </c>
    </row>
    <row r="9" spans="1:29" s="1008" customFormat="1">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78"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78"/>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78"/>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78"/>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85" t="s">
        <v>1406</v>
      </c>
      <c r="Q15" s="625" t="str">
        <f t="shared" si="6"/>
        <v>产业集聚程度</v>
      </c>
      <c r="R15" s="1219" t="s">
        <v>1393</v>
      </c>
      <c r="S15" s="1220">
        <f t="shared" si="0"/>
        <v>100</v>
      </c>
      <c r="T15" s="1219" t="s">
        <v>1393</v>
      </c>
      <c r="U15" s="1220">
        <f t="shared" si="1"/>
        <v>100</v>
      </c>
      <c r="V15" s="1219" t="s">
        <v>1393</v>
      </c>
      <c r="W15" s="1220">
        <f t="shared" si="2"/>
        <v>100</v>
      </c>
      <c r="X15" s="1214"/>
      <c r="Y15" s="3385"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86"/>
      <c r="Q16" s="625"/>
      <c r="R16" s="1219"/>
      <c r="S16" s="1220"/>
      <c r="T16" s="1219"/>
      <c r="U16" s="1220"/>
      <c r="V16" s="1219"/>
      <c r="W16" s="1220"/>
      <c r="X16" s="1214"/>
      <c r="Y16" s="3386"/>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86"/>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86"/>
      <c r="Q18" s="625"/>
      <c r="R18" s="1219"/>
      <c r="S18" s="1220"/>
      <c r="T18" s="1219"/>
      <c r="U18" s="1220"/>
      <c r="V18" s="1219"/>
      <c r="W18" s="1220"/>
      <c r="X18" s="1214"/>
      <c r="Y18" s="3386"/>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86"/>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86"/>
      <c r="Q20" s="625"/>
      <c r="R20" s="1219"/>
      <c r="S20" s="1220"/>
      <c r="T20" s="1219"/>
      <c r="U20" s="1220"/>
      <c r="V20" s="1219"/>
      <c r="W20" s="1220"/>
      <c r="X20" s="1214"/>
      <c r="Y20" s="3386"/>
      <c r="Z20" s="1204"/>
      <c r="AA20" s="1204">
        <v>1</v>
      </c>
      <c r="AB20" s="1204">
        <v>1</v>
      </c>
      <c r="AC20" s="1204">
        <v>1</v>
      </c>
    </row>
    <row r="21" spans="1:29" ht="28.5">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86"/>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86"/>
      <c r="Q22" s="625"/>
      <c r="R22" s="1219"/>
      <c r="S22" s="1220"/>
      <c r="T22" s="1219"/>
      <c r="U22" s="1220"/>
      <c r="V22" s="1219"/>
      <c r="W22" s="1220"/>
      <c r="X22" s="1214"/>
      <c r="Y22" s="3386"/>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86"/>
      <c r="Q23" s="625" t="str">
        <f>B23</f>
        <v>环境质量</v>
      </c>
      <c r="R23" s="1219" t="s">
        <v>1393</v>
      </c>
      <c r="S23" s="1220">
        <f>F23</f>
        <v>100</v>
      </c>
      <c r="T23" s="1219" t="s">
        <v>1393</v>
      </c>
      <c r="U23" s="1220">
        <f>H23</f>
        <v>100</v>
      </c>
      <c r="V23" s="1219" t="s">
        <v>1393</v>
      </c>
      <c r="W23" s="1220">
        <f>J23</f>
        <v>100</v>
      </c>
      <c r="X23" s="1214"/>
      <c r="Y23" s="3386"/>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86"/>
      <c r="Q24" s="625"/>
      <c r="R24" s="1219"/>
      <c r="S24" s="1220"/>
      <c r="T24" s="1219"/>
      <c r="U24" s="1220"/>
      <c r="V24" s="1219"/>
      <c r="W24" s="1220"/>
      <c r="X24" s="1214"/>
      <c r="Y24" s="3386"/>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86"/>
      <c r="Q25" s="625">
        <f>B25</f>
        <v>111</v>
      </c>
      <c r="R25" s="1219" t="s">
        <v>1393</v>
      </c>
      <c r="S25" s="1220">
        <f>F25</f>
        <v>100</v>
      </c>
      <c r="T25" s="1219" t="s">
        <v>1393</v>
      </c>
      <c r="U25" s="1220">
        <f>H25</f>
        <v>100</v>
      </c>
      <c r="V25" s="1219" t="s">
        <v>1393</v>
      </c>
      <c r="W25" s="1220">
        <f>J25</f>
        <v>100</v>
      </c>
      <c r="X25" s="1214"/>
      <c r="Y25" s="3386"/>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86"/>
      <c r="Q26" s="625">
        <f t="shared" ref="Q26:Q40" si="11">B26</f>
        <v>111</v>
      </c>
      <c r="R26" s="1219" t="s">
        <v>1393</v>
      </c>
      <c r="S26" s="1220">
        <f>F26</f>
        <v>100</v>
      </c>
      <c r="T26" s="1219" t="s">
        <v>1393</v>
      </c>
      <c r="U26" s="1220">
        <f>H26</f>
        <v>100</v>
      </c>
      <c r="V26" s="1219" t="s">
        <v>1393</v>
      </c>
      <c r="W26" s="1220">
        <f>J26</f>
        <v>100</v>
      </c>
      <c r="X26" s="1214"/>
      <c r="Y26" s="3386"/>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86"/>
      <c r="Q27" s="794">
        <f t="shared" si="11"/>
        <v>111</v>
      </c>
      <c r="R27" s="1215" t="s">
        <v>1393</v>
      </c>
      <c r="S27" s="1216">
        <f>F27</f>
        <v>100</v>
      </c>
      <c r="T27" s="1215" t="s">
        <v>1393</v>
      </c>
      <c r="U27" s="1216">
        <f>H27</f>
        <v>100</v>
      </c>
      <c r="V27" s="1215" t="s">
        <v>1393</v>
      </c>
      <c r="W27" s="1216">
        <f>J27</f>
        <v>100</v>
      </c>
      <c r="X27" s="1217"/>
      <c r="Y27" s="3386"/>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86"/>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86"/>
      <c r="Z28" s="1204">
        <f t="shared" ref="Z28:Z40" si="15">Q28</f>
        <v>111</v>
      </c>
      <c r="AA28" s="1204">
        <f t="shared" si="3"/>
        <v>1</v>
      </c>
      <c r="AB28" s="1204">
        <f t="shared" si="4"/>
        <v>1</v>
      </c>
      <c r="AC28" s="1204">
        <f t="shared" si="5"/>
        <v>1</v>
      </c>
    </row>
    <row r="29" spans="1:29" ht="28.5">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45" t="s">
        <v>1421</v>
      </c>
      <c r="Q29" s="625" t="str">
        <f t="shared" si="11"/>
        <v>建筑类型</v>
      </c>
      <c r="R29" s="1219" t="s">
        <v>1393</v>
      </c>
      <c r="S29" s="1220">
        <f t="shared" si="12"/>
        <v>100</v>
      </c>
      <c r="T29" s="1219" t="s">
        <v>1393</v>
      </c>
      <c r="U29" s="1220">
        <f t="shared" si="13"/>
        <v>100</v>
      </c>
      <c r="V29" s="1219" t="s">
        <v>1393</v>
      </c>
      <c r="W29" s="1220">
        <f t="shared" si="14"/>
        <v>100</v>
      </c>
      <c r="X29" s="1214"/>
      <c r="Y29" s="3387"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87"/>
      <c r="Q30" s="1415" t="str">
        <f t="shared" si="11"/>
        <v>项目建筑规模</v>
      </c>
      <c r="R30" s="1221" t="s">
        <v>1393</v>
      </c>
      <c r="S30" s="1222" t="e">
        <f t="shared" si="12"/>
        <v>#N/A</v>
      </c>
      <c r="T30" s="1221" t="s">
        <v>1393</v>
      </c>
      <c r="U30" s="1222" t="e">
        <f t="shared" si="13"/>
        <v>#N/A</v>
      </c>
      <c r="V30" s="1221" t="s">
        <v>1393</v>
      </c>
      <c r="W30" s="1222" t="e">
        <f t="shared" si="14"/>
        <v>#N/A</v>
      </c>
      <c r="X30" s="1223"/>
      <c r="Y30" s="3387"/>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87"/>
      <c r="Q31" s="625" t="str">
        <f t="shared" si="11"/>
        <v>建筑结构</v>
      </c>
      <c r="R31" s="1219" t="s">
        <v>1393</v>
      </c>
      <c r="S31" s="1220">
        <f t="shared" si="12"/>
        <v>100</v>
      </c>
      <c r="T31" s="1219" t="s">
        <v>1393</v>
      </c>
      <c r="U31" s="1220">
        <f t="shared" si="13"/>
        <v>100</v>
      </c>
      <c r="V31" s="1219" t="s">
        <v>1393</v>
      </c>
      <c r="W31" s="1220">
        <f t="shared" si="14"/>
        <v>100</v>
      </c>
      <c r="X31" s="1214"/>
      <c r="Y31" s="3387"/>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87"/>
      <c r="Q32" s="625" t="str">
        <f t="shared" si="11"/>
        <v>公共部分装修</v>
      </c>
      <c r="R32" s="1219" t="s">
        <v>1393</v>
      </c>
      <c r="S32" s="1220">
        <f t="shared" si="12"/>
        <v>100</v>
      </c>
      <c r="T32" s="1219" t="s">
        <v>1393</v>
      </c>
      <c r="U32" s="1220">
        <f t="shared" si="13"/>
        <v>100</v>
      </c>
      <c r="V32" s="1219" t="s">
        <v>1393</v>
      </c>
      <c r="W32" s="1220">
        <f t="shared" si="14"/>
        <v>100</v>
      </c>
      <c r="X32" s="1214"/>
      <c r="Y32" s="3387"/>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87"/>
      <c r="Q33" s="625" t="str">
        <f t="shared" si="11"/>
        <v>成新度</v>
      </c>
      <c r="R33" s="1219" t="s">
        <v>1393</v>
      </c>
      <c r="S33" s="1220" t="e">
        <f t="shared" si="12"/>
        <v>#N/A</v>
      </c>
      <c r="T33" s="1219" t="s">
        <v>1393</v>
      </c>
      <c r="U33" s="1220" t="e">
        <f t="shared" si="13"/>
        <v>#N/A</v>
      </c>
      <c r="V33" s="1219" t="s">
        <v>1393</v>
      </c>
      <c r="W33" s="1220" t="e">
        <f t="shared" si="14"/>
        <v>#N/A</v>
      </c>
      <c r="X33" s="1214"/>
      <c r="Y33" s="3387"/>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87"/>
      <c r="Q34" s="794" t="str">
        <f t="shared" si="11"/>
        <v>物业管理</v>
      </c>
      <c r="R34" s="1215" t="s">
        <v>1393</v>
      </c>
      <c r="S34" s="1216">
        <f t="shared" si="12"/>
        <v>100</v>
      </c>
      <c r="T34" s="1215" t="s">
        <v>1393</v>
      </c>
      <c r="U34" s="1216">
        <f t="shared" si="13"/>
        <v>100</v>
      </c>
      <c r="V34" s="1215" t="s">
        <v>1393</v>
      </c>
      <c r="W34" s="1216">
        <f t="shared" si="14"/>
        <v>100</v>
      </c>
      <c r="X34" s="1217"/>
      <c r="Y34" s="3387"/>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87" t="s">
        <v>1421</v>
      </c>
      <c r="Q35" s="625" t="str">
        <f t="shared" si="11"/>
        <v>市政基础设施</v>
      </c>
      <c r="R35" s="1219" t="s">
        <v>1393</v>
      </c>
      <c r="S35" s="1220">
        <f t="shared" si="12"/>
        <v>100</v>
      </c>
      <c r="T35" s="1219" t="s">
        <v>1393</v>
      </c>
      <c r="U35" s="1220">
        <f t="shared" si="13"/>
        <v>100</v>
      </c>
      <c r="V35" s="1219" t="s">
        <v>1393</v>
      </c>
      <c r="W35" s="1220">
        <f t="shared" si="14"/>
        <v>100</v>
      </c>
      <c r="X35" s="1214"/>
      <c r="Y35" s="3387"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87"/>
      <c r="Q36" s="625" t="str">
        <f t="shared" si="11"/>
        <v>内部装修</v>
      </c>
      <c r="R36" s="1219" t="s">
        <v>1393</v>
      </c>
      <c r="S36" s="1220">
        <f t="shared" si="12"/>
        <v>100</v>
      </c>
      <c r="T36" s="1219" t="s">
        <v>1393</v>
      </c>
      <c r="U36" s="1220">
        <f t="shared" si="13"/>
        <v>100</v>
      </c>
      <c r="V36" s="1219" t="s">
        <v>1393</v>
      </c>
      <c r="W36" s="1220">
        <f t="shared" si="14"/>
        <v>100</v>
      </c>
      <c r="X36" s="1214"/>
      <c r="Y36" s="3387"/>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87"/>
      <c r="Q37" s="625" t="str">
        <f t="shared" si="11"/>
        <v>内部装修状况</v>
      </c>
      <c r="R37" s="1219" t="s">
        <v>1393</v>
      </c>
      <c r="S37" s="1220">
        <f t="shared" si="12"/>
        <v>100</v>
      </c>
      <c r="T37" s="1219" t="s">
        <v>1393</v>
      </c>
      <c r="U37" s="1220">
        <f t="shared" si="13"/>
        <v>100</v>
      </c>
      <c r="V37" s="1219" t="s">
        <v>1393</v>
      </c>
      <c r="W37" s="1220">
        <f t="shared" si="14"/>
        <v>100</v>
      </c>
      <c r="X37" s="1214"/>
      <c r="Y37" s="3387"/>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87"/>
      <c r="Q38" s="1415">
        <f t="shared" si="11"/>
        <v>111</v>
      </c>
      <c r="R38" s="1221" t="s">
        <v>1393</v>
      </c>
      <c r="S38" s="1222">
        <f t="shared" si="12"/>
        <v>100</v>
      </c>
      <c r="T38" s="1221" t="s">
        <v>1393</v>
      </c>
      <c r="U38" s="1222">
        <f t="shared" si="13"/>
        <v>100</v>
      </c>
      <c r="V38" s="1221" t="s">
        <v>1393</v>
      </c>
      <c r="W38" s="1222">
        <f t="shared" si="14"/>
        <v>100</v>
      </c>
      <c r="X38" s="1223"/>
      <c r="Y38" s="3387"/>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87"/>
      <c r="Q39" s="625">
        <f t="shared" si="11"/>
        <v>111</v>
      </c>
      <c r="R39" s="1219" t="s">
        <v>1393</v>
      </c>
      <c r="S39" s="1220">
        <f t="shared" si="12"/>
        <v>100</v>
      </c>
      <c r="T39" s="1219" t="s">
        <v>1393</v>
      </c>
      <c r="U39" s="1220">
        <f t="shared" si="13"/>
        <v>100</v>
      </c>
      <c r="V39" s="1219" t="s">
        <v>1393</v>
      </c>
      <c r="W39" s="1220">
        <f t="shared" si="14"/>
        <v>100</v>
      </c>
      <c r="X39" s="1214"/>
      <c r="Y39" s="3387"/>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88"/>
      <c r="Q40" s="625">
        <f t="shared" si="11"/>
        <v>111</v>
      </c>
      <c r="R40" s="1219" t="s">
        <v>1393</v>
      </c>
      <c r="S40" s="1220">
        <f t="shared" si="12"/>
        <v>100</v>
      </c>
      <c r="T40" s="1219" t="s">
        <v>1393</v>
      </c>
      <c r="U40" s="1220">
        <f t="shared" si="13"/>
        <v>100</v>
      </c>
      <c r="V40" s="1219" t="s">
        <v>1393</v>
      </c>
      <c r="W40" s="1220">
        <f t="shared" si="14"/>
        <v>100</v>
      </c>
      <c r="X40" s="1214"/>
      <c r="Y40" s="3388"/>
      <c r="Z40" s="1204">
        <f t="shared" si="15"/>
        <v>111</v>
      </c>
      <c r="AA40" s="1204">
        <f t="shared" si="3"/>
        <v>1</v>
      </c>
      <c r="AB40" s="1204">
        <f t="shared" si="4"/>
        <v>1</v>
      </c>
      <c r="AC40" s="1204">
        <f t="shared" si="5"/>
        <v>1</v>
      </c>
    </row>
    <row r="41" spans="1:29" ht="15">
      <c r="A41" s="1105" t="s">
        <v>1437</v>
      </c>
      <c r="B41" s="1398"/>
      <c r="C41" s="1399" t="s">
        <v>124</v>
      </c>
      <c r="D41" s="1108"/>
      <c r="E41" s="1109"/>
      <c r="F41" s="1110"/>
      <c r="G41" s="1111"/>
      <c r="H41" s="1112"/>
      <c r="I41" s="1109"/>
      <c r="J41" s="1112"/>
      <c r="K41" s="1195"/>
      <c r="L41" s="1499"/>
      <c r="M41" s="1157"/>
      <c r="N41" s="1157"/>
      <c r="O41" s="1157"/>
      <c r="P41" s="3378" t="str">
        <f>A41</f>
        <v>成交单价（元/平方米）</v>
      </c>
      <c r="Q41" s="3378"/>
      <c r="R41" s="3379">
        <f>E41</f>
        <v>0</v>
      </c>
      <c r="S41" s="3379"/>
      <c r="T41" s="3379">
        <f>G41</f>
        <v>0</v>
      </c>
      <c r="U41" s="3379"/>
      <c r="V41" s="3379">
        <f>I41</f>
        <v>0</v>
      </c>
      <c r="W41" s="3379"/>
      <c r="X41" s="1162"/>
      <c r="Y41" s="1229"/>
      <c r="Z41" s="1162"/>
      <c r="AA41" s="1162"/>
      <c r="AB41" s="1162"/>
      <c r="AC41" s="1162"/>
    </row>
    <row r="42" spans="1:29" ht="15">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9"/>
      <c r="M43" s="1157"/>
      <c r="N43" s="1157"/>
      <c r="O43" s="1157"/>
      <c r="P43" s="3414" t="str">
        <f>A43</f>
        <v>估价对象XX用房的比较价值（楼面单价，元/平方米）</v>
      </c>
      <c r="Q43" s="3415"/>
      <c r="R43" s="3416" t="e">
        <f>IF(F1="售价",ROUND(IF(D42="简单平均",AVERAGE(R42:V42),R42*F42+T42*H42+V42*J42),0),ROUND(IF(D42="简单平均",AVERAGE(R42:V42),R42*F42+T42*H42+V42*J42),1))</f>
        <v>#DIV/0!</v>
      </c>
      <c r="S43" s="3416"/>
      <c r="T43" s="3416"/>
      <c r="U43" s="3416"/>
      <c r="V43" s="3416"/>
      <c r="W43" s="3416"/>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2"/>
      <c r="Q51" s="1503"/>
    </row>
    <row r="52" spans="1:17" s="1013" customFormat="1" ht="15">
      <c r="A52" s="1404" t="s">
        <v>1391</v>
      </c>
      <c r="B52" s="1405"/>
      <c r="C52" s="1406" t="str">
        <f>YEAR(C7)&amp;"-"&amp;MONTH(C7)</f>
        <v>2025-11</v>
      </c>
      <c r="D52" s="1407">
        <f>EDATE(C52,-1)</f>
        <v>45931</v>
      </c>
      <c r="E52" s="1407">
        <f t="shared" ref="E52:O52" si="16">EDATE(D52,-1)</f>
        <v>45901</v>
      </c>
      <c r="F52" s="1407">
        <f t="shared" si="16"/>
        <v>45870</v>
      </c>
      <c r="G52" s="1407">
        <f t="shared" si="16"/>
        <v>45839</v>
      </c>
      <c r="H52" s="1407">
        <f t="shared" si="16"/>
        <v>45809</v>
      </c>
      <c r="I52" s="1407">
        <f t="shared" si="16"/>
        <v>45778</v>
      </c>
      <c r="J52" s="1407">
        <f t="shared" si="16"/>
        <v>45748</v>
      </c>
      <c r="K52" s="1407">
        <f t="shared" si="16"/>
        <v>45717</v>
      </c>
      <c r="L52" s="1407">
        <f t="shared" si="16"/>
        <v>45689</v>
      </c>
      <c r="M52" s="1407">
        <f t="shared" si="16"/>
        <v>45658</v>
      </c>
      <c r="N52" s="1407">
        <f t="shared" si="16"/>
        <v>45627</v>
      </c>
      <c r="O52" s="1407">
        <f t="shared" si="16"/>
        <v>45597</v>
      </c>
    </row>
    <row r="53" spans="1:17" s="1008" customFormat="1" ht="15">
      <c r="A53" s="1078"/>
      <c r="B53" s="1241"/>
      <c r="C53" s="1408">
        <v>100</v>
      </c>
      <c r="D53" s="1245"/>
      <c r="E53" s="1245"/>
      <c r="F53" s="1245"/>
      <c r="G53" s="1245"/>
      <c r="H53" s="1245"/>
      <c r="I53" s="1245"/>
      <c r="J53" s="1245"/>
      <c r="K53" s="1245"/>
      <c r="L53" s="1245"/>
      <c r="M53" s="1053"/>
      <c r="N53" s="1245"/>
      <c r="O53" s="1285"/>
      <c r="P53" s="1503"/>
    </row>
    <row r="54" spans="1:17" s="1008" customFormat="1" ht="15">
      <c r="A54" s="1236" t="s">
        <v>1445</v>
      </c>
      <c r="B54" s="1237"/>
      <c r="C54" s="1238"/>
      <c r="D54" s="1239"/>
      <c r="E54" s="1239"/>
      <c r="F54" s="1239"/>
      <c r="G54" s="1239"/>
      <c r="H54" s="1239"/>
      <c r="I54" s="1239"/>
      <c r="J54" s="1239"/>
      <c r="K54" s="1239"/>
      <c r="L54" s="1239"/>
      <c r="M54" s="1280"/>
      <c r="N54" s="1504"/>
      <c r="O54" s="1505"/>
      <c r="P54" s="1503"/>
      <c r="Q54" s="1503"/>
    </row>
    <row r="55" spans="1:17" s="1008" customFormat="1" ht="15">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ht="15">
      <c r="A56" s="1240"/>
      <c r="B56" s="1241"/>
      <c r="C56" s="1244">
        <v>100</v>
      </c>
      <c r="D56" s="1245"/>
      <c r="E56" s="1245"/>
      <c r="F56" s="1245"/>
      <c r="G56" s="1245"/>
      <c r="H56" s="1245"/>
      <c r="I56" s="1245"/>
      <c r="J56" s="1245"/>
      <c r="K56" s="1245"/>
      <c r="L56" s="1245"/>
      <c r="M56" s="1285"/>
      <c r="N56" s="1506"/>
      <c r="O56" s="1506"/>
      <c r="P56" s="1503"/>
      <c r="Q56" s="1503"/>
    </row>
    <row r="57" spans="1:17">
      <c r="A57" s="1062" t="s">
        <v>1447</v>
      </c>
      <c r="B57" s="1246" t="s">
        <v>1399</v>
      </c>
      <c r="C57" s="621">
        <f>C9</f>
        <v>0</v>
      </c>
      <c r="D57" s="1193"/>
      <c r="E57" s="1193"/>
      <c r="F57" s="1193"/>
      <c r="G57" s="1193"/>
      <c r="H57" s="1193"/>
      <c r="I57" s="1193"/>
      <c r="J57" s="1193"/>
      <c r="K57" s="1286"/>
      <c r="L57" s="1287"/>
      <c r="M57" s="1288"/>
      <c r="N57" s="1508"/>
      <c r="O57" s="1508"/>
      <c r="P57" s="1509"/>
      <c r="Q57" s="1503"/>
    </row>
    <row r="58" spans="1:17" ht="15">
      <c r="A58" s="1049"/>
      <c r="B58" s="1247"/>
      <c r="C58" s="1248">
        <v>100</v>
      </c>
      <c r="D58" s="1248"/>
      <c r="E58" s="1248"/>
      <c r="F58" s="1248"/>
      <c r="G58" s="1248"/>
      <c r="H58" s="1248"/>
      <c r="I58" s="1248"/>
      <c r="J58" s="1248"/>
      <c r="K58" s="1248"/>
      <c r="L58" s="1248"/>
      <c r="M58" s="1290"/>
      <c r="N58" s="1510"/>
      <c r="O58" s="1510"/>
      <c r="P58" s="1509"/>
      <c r="Q58" s="1503"/>
    </row>
    <row r="59" spans="1:17" ht="27">
      <c r="A59" s="1049"/>
      <c r="B59" s="1249" t="s">
        <v>1402</v>
      </c>
      <c r="C59" s="1272"/>
      <c r="D59" s="1272"/>
      <c r="E59" s="1272"/>
      <c r="F59" s="1272"/>
      <c r="G59" s="1272"/>
      <c r="H59" s="1272"/>
      <c r="I59" s="1272"/>
      <c r="J59" s="1272"/>
      <c r="K59" s="1317"/>
      <c r="L59" s="1318"/>
      <c r="M59" s="1319"/>
      <c r="N59" s="1508"/>
      <c r="O59" s="1508"/>
      <c r="P59" s="1509"/>
      <c r="Q59" s="1503"/>
    </row>
    <row r="60" spans="1:17" ht="15">
      <c r="A60" s="1049"/>
      <c r="B60" s="1251"/>
      <c r="C60" s="1248"/>
      <c r="D60" s="1248"/>
      <c r="E60" s="1248"/>
      <c r="F60" s="1248"/>
      <c r="G60" s="1248"/>
      <c r="H60" s="1248"/>
      <c r="I60" s="1248"/>
      <c r="J60" s="1248"/>
      <c r="K60" s="1248"/>
      <c r="L60" s="1248"/>
      <c r="M60" s="1290"/>
      <c r="N60" s="1510"/>
      <c r="O60" s="1510"/>
      <c r="P60" s="1509"/>
      <c r="Q60" s="1503"/>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ht="15">
      <c r="A62" s="1049"/>
      <c r="B62" s="1255"/>
      <c r="C62" s="1055">
        <v>0</v>
      </c>
      <c r="D62" s="1055">
        <v>2</v>
      </c>
      <c r="E62" s="1055"/>
      <c r="F62" s="1055"/>
      <c r="G62" s="1055"/>
      <c r="H62" s="1055"/>
      <c r="I62" s="1055"/>
      <c r="J62" s="1055"/>
      <c r="K62" s="1296"/>
      <c r="L62" s="1297"/>
      <c r="M62" s="1298"/>
      <c r="N62" s="1508"/>
      <c r="O62" s="1508"/>
      <c r="P62" s="1509"/>
      <c r="Q62" s="1503"/>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ht="15">
      <c r="A64" s="1256"/>
      <c r="B64" s="1249">
        <f>B12</f>
        <v>111</v>
      </c>
      <c r="C64" s="1257"/>
      <c r="D64" s="1257"/>
      <c r="E64" s="1257"/>
      <c r="F64" s="1257"/>
      <c r="G64" s="1257"/>
      <c r="H64" s="1258"/>
      <c r="I64" s="1258"/>
      <c r="J64" s="1258"/>
      <c r="K64" s="1258"/>
      <c r="L64" s="1299"/>
      <c r="M64" s="1300"/>
      <c r="N64" s="1511"/>
      <c r="O64" s="1511"/>
      <c r="P64" s="1512"/>
      <c r="Q64" s="1513"/>
    </row>
    <row r="65" spans="1:17" s="1010" customFormat="1" ht="15">
      <c r="A65" s="1256"/>
      <c r="B65" s="1251"/>
      <c r="C65" s="1259"/>
      <c r="D65" s="1248"/>
      <c r="E65" s="1248"/>
      <c r="F65" s="1248"/>
      <c r="G65" s="1248"/>
      <c r="H65" s="1248"/>
      <c r="I65" s="1248"/>
      <c r="J65" s="1248"/>
      <c r="K65" s="1248"/>
      <c r="L65" s="1248"/>
      <c r="M65" s="1290"/>
      <c r="N65" s="1510"/>
      <c r="O65" s="1510"/>
      <c r="P65" s="1512"/>
      <c r="Q65" s="1513"/>
    </row>
    <row r="66" spans="1:17" s="1010" customFormat="1" ht="15">
      <c r="A66" s="1256"/>
      <c r="B66" s="1249">
        <f>B13</f>
        <v>111</v>
      </c>
      <c r="C66" s="1257"/>
      <c r="D66" s="1257"/>
      <c r="E66" s="1257"/>
      <c r="F66" s="1257"/>
      <c r="G66" s="1257"/>
      <c r="H66" s="1258"/>
      <c r="I66" s="1258"/>
      <c r="J66" s="1258"/>
      <c r="K66" s="1258"/>
      <c r="L66" s="1299"/>
      <c r="M66" s="1300"/>
      <c r="N66" s="1511"/>
      <c r="O66" s="1511"/>
      <c r="Q66" s="1516"/>
    </row>
    <row r="67" spans="1:17" s="1010" customFormat="1" ht="15">
      <c r="A67" s="1256"/>
      <c r="B67" s="1251"/>
      <c r="C67" s="1259"/>
      <c r="D67" s="1248"/>
      <c r="E67" s="1248"/>
      <c r="F67" s="1248"/>
      <c r="G67" s="1259"/>
      <c r="H67" s="1260"/>
      <c r="I67" s="1260"/>
      <c r="J67" s="1260"/>
      <c r="K67" s="1260"/>
      <c r="L67" s="1260"/>
      <c r="M67" s="1302"/>
      <c r="N67" s="1511"/>
      <c r="O67" s="1511"/>
      <c r="P67" s="1512"/>
      <c r="Q67" s="1513"/>
    </row>
    <row r="68" spans="1:17" s="1010" customFormat="1" ht="15">
      <c r="A68" s="1256"/>
      <c r="B68" s="1253">
        <f>B14</f>
        <v>111</v>
      </c>
      <c r="C68" s="1243"/>
      <c r="D68" s="1243"/>
      <c r="E68" s="1243"/>
      <c r="F68" s="1243"/>
      <c r="G68" s="1243"/>
      <c r="H68" s="1261"/>
      <c r="I68" s="1261"/>
      <c r="J68" s="1261"/>
      <c r="K68" s="1261"/>
      <c r="L68" s="1303"/>
      <c r="M68" s="1304"/>
      <c r="N68" s="1511"/>
      <c r="O68" s="1511"/>
      <c r="P68" s="1514"/>
      <c r="Q68" s="1513"/>
    </row>
    <row r="69" spans="1:17" s="1010" customFormat="1" ht="15">
      <c r="A69" s="1262"/>
      <c r="B69" s="1263"/>
      <c r="C69" s="1264"/>
      <c r="D69" s="1264"/>
      <c r="E69" s="1264"/>
      <c r="F69" s="1264"/>
      <c r="G69" s="1264"/>
      <c r="H69" s="1265"/>
      <c r="I69" s="1265"/>
      <c r="J69" s="1265"/>
      <c r="K69" s="1265"/>
      <c r="L69" s="1265"/>
      <c r="M69" s="1306"/>
      <c r="N69" s="1511"/>
      <c r="O69" s="1511"/>
      <c r="P69" s="1512"/>
      <c r="Q69" s="1513"/>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5">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5">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5">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5">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ht="15">
      <c r="A80" s="1052"/>
      <c r="B80" s="1249">
        <f>B25</f>
        <v>111</v>
      </c>
      <c r="C80" s="1257"/>
      <c r="D80" s="1257"/>
      <c r="E80" s="1257"/>
      <c r="F80" s="1257"/>
      <c r="G80" s="1257"/>
      <c r="H80" s="1257"/>
      <c r="I80" s="1257"/>
      <c r="J80" s="1257"/>
      <c r="K80" s="1257"/>
      <c r="L80" s="1420"/>
      <c r="M80" s="1421"/>
      <c r="N80" s="1506"/>
      <c r="O80" s="1506"/>
      <c r="P80" s="1509"/>
      <c r="Q80" s="1503"/>
    </row>
    <row r="81" spans="1:17" s="1008" customFormat="1" ht="15">
      <c r="A81" s="1052"/>
      <c r="B81" s="1251"/>
      <c r="C81" s="1259"/>
      <c r="D81" s="1248"/>
      <c r="E81" s="1248"/>
      <c r="F81" s="1248"/>
      <c r="G81" s="1248"/>
      <c r="H81" s="1248"/>
      <c r="I81" s="1248"/>
      <c r="J81" s="1248"/>
      <c r="K81" s="1248"/>
      <c r="L81" s="1248"/>
      <c r="M81" s="1290"/>
      <c r="N81" s="1510"/>
      <c r="O81" s="1510"/>
      <c r="P81" s="1509"/>
      <c r="Q81" s="1503"/>
    </row>
    <row r="82" spans="1:17" s="1008" customFormat="1" ht="15">
      <c r="A82" s="1052"/>
      <c r="B82" s="1249">
        <f>B26</f>
        <v>111</v>
      </c>
      <c r="C82" s="1257"/>
      <c r="D82" s="1257"/>
      <c r="E82" s="1257"/>
      <c r="F82" s="1257"/>
      <c r="G82" s="1257"/>
      <c r="H82" s="1257"/>
      <c r="I82" s="1257"/>
      <c r="J82" s="1257"/>
      <c r="K82" s="1257"/>
      <c r="L82" s="1420"/>
      <c r="M82" s="1421"/>
      <c r="N82" s="1506"/>
      <c r="O82" s="1506"/>
      <c r="P82" s="1509"/>
      <c r="Q82" s="1503"/>
    </row>
    <row r="83" spans="1:17" s="1008" customFormat="1" ht="15">
      <c r="A83" s="1052"/>
      <c r="B83" s="1251"/>
      <c r="C83" s="1259"/>
      <c r="D83" s="1248"/>
      <c r="E83" s="1248"/>
      <c r="F83" s="1248"/>
      <c r="G83" s="1248"/>
      <c r="H83" s="1248"/>
      <c r="I83" s="1248"/>
      <c r="J83" s="1248"/>
      <c r="K83" s="1248"/>
      <c r="L83" s="1248"/>
      <c r="M83" s="1290"/>
      <c r="N83" s="1510"/>
      <c r="O83" s="1510"/>
      <c r="P83" s="1509"/>
      <c r="Q83" s="1503"/>
    </row>
    <row r="84" spans="1:17" s="1010" customFormat="1" ht="15">
      <c r="A84" s="1256"/>
      <c r="B84" s="1249">
        <f>B27</f>
        <v>111</v>
      </c>
      <c r="C84" s="1257"/>
      <c r="D84" s="1257"/>
      <c r="E84" s="1257"/>
      <c r="F84" s="1257"/>
      <c r="G84" s="1257"/>
      <c r="H84" s="1257"/>
      <c r="I84" s="1257"/>
      <c r="J84" s="1257"/>
      <c r="K84" s="1257"/>
      <c r="L84" s="1420"/>
      <c r="M84" s="1421"/>
      <c r="N84" s="1511"/>
      <c r="O84" s="1511"/>
      <c r="P84" s="1512"/>
      <c r="Q84" s="1513"/>
    </row>
    <row r="85" spans="1:17" s="1010" customFormat="1" ht="15">
      <c r="A85" s="1256"/>
      <c r="B85" s="1251"/>
      <c r="C85" s="1259"/>
      <c r="D85" s="1248"/>
      <c r="E85" s="1248"/>
      <c r="F85" s="1248"/>
      <c r="G85" s="1248"/>
      <c r="H85" s="1248"/>
      <c r="I85" s="1248"/>
      <c r="J85" s="1248"/>
      <c r="K85" s="1248"/>
      <c r="L85" s="1248"/>
      <c r="M85" s="1290"/>
      <c r="N85" s="1511"/>
      <c r="O85" s="1511"/>
      <c r="P85" s="1512"/>
      <c r="Q85" s="1513"/>
    </row>
    <row r="86" spans="1:17" ht="15">
      <c r="A86" s="1049"/>
      <c r="B86" s="1253">
        <f>B28</f>
        <v>111</v>
      </c>
      <c r="C86" s="1243"/>
      <c r="D86" s="1243"/>
      <c r="E86" s="1243"/>
      <c r="F86" s="1243"/>
      <c r="G86" s="1273"/>
      <c r="H86" s="1273"/>
      <c r="I86" s="1273"/>
      <c r="J86" s="1273"/>
      <c r="K86" s="1320"/>
      <c r="L86" s="1321"/>
      <c r="M86" s="1322"/>
      <c r="N86" s="1508"/>
      <c r="O86" s="1508"/>
      <c r="P86" s="1509"/>
      <c r="Q86" s="1503"/>
    </row>
    <row r="87" spans="1:17" ht="15">
      <c r="A87" s="1058"/>
      <c r="B87" s="1263"/>
      <c r="C87" s="1264"/>
      <c r="D87" s="1264"/>
      <c r="E87" s="1264"/>
      <c r="F87" s="1264"/>
      <c r="G87" s="1274"/>
      <c r="H87" s="1274"/>
      <c r="I87" s="1274"/>
      <c r="J87" s="1274"/>
      <c r="K87" s="1274"/>
      <c r="L87" s="1274"/>
      <c r="M87" s="1323"/>
      <c r="N87" s="1510"/>
      <c r="O87" s="1510"/>
      <c r="P87" s="1509"/>
      <c r="Q87" s="1503"/>
    </row>
    <row r="88" spans="1:17">
      <c r="A88" s="1062" t="s">
        <v>1418</v>
      </c>
      <c r="B88" s="1246" t="s">
        <v>1419</v>
      </c>
      <c r="C88" s="1193"/>
      <c r="D88" s="1193"/>
      <c r="E88" s="1193"/>
      <c r="F88" s="1193"/>
      <c r="G88" s="1193"/>
      <c r="H88" s="1193"/>
      <c r="I88" s="1193"/>
      <c r="J88" s="1193"/>
      <c r="K88" s="1286"/>
      <c r="L88" s="1287"/>
      <c r="M88" s="1288"/>
      <c r="N88" s="1508"/>
      <c r="O88" s="1508"/>
      <c r="P88" s="1509"/>
      <c r="Q88" s="1503"/>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ht="15">
      <c r="A92" s="1256"/>
      <c r="B92" s="1251"/>
      <c r="C92" s="1259"/>
      <c r="D92" s="1248"/>
      <c r="E92" s="1248"/>
      <c r="F92" s="1248"/>
      <c r="G92" s="1248"/>
      <c r="H92" s="1248"/>
      <c r="I92" s="1248"/>
      <c r="J92" s="1248"/>
      <c r="K92" s="1248"/>
      <c r="L92" s="1248"/>
      <c r="M92" s="1290"/>
      <c r="N92" s="1510"/>
      <c r="O92" s="1510"/>
      <c r="P92" s="1512"/>
      <c r="Q92" s="1513"/>
    </row>
    <row r="93" spans="1:17">
      <c r="A93" s="1098"/>
      <c r="B93" s="1249" t="s">
        <v>1423</v>
      </c>
      <c r="C93" s="1257"/>
      <c r="D93" s="1257"/>
      <c r="E93" s="1272"/>
      <c r="F93" s="1272"/>
      <c r="G93" s="1272"/>
      <c r="H93" s="1272"/>
      <c r="I93" s="1272"/>
      <c r="J93" s="1272"/>
      <c r="K93" s="1317"/>
      <c r="L93" s="1318"/>
      <c r="M93" s="1319"/>
      <c r="N93" s="1508"/>
      <c r="O93" s="1508"/>
      <c r="P93" s="1509"/>
      <c r="Q93" s="1503"/>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c r="A95" s="1098"/>
      <c r="B95" s="1249" t="s">
        <v>1425</v>
      </c>
      <c r="C95" s="1257"/>
      <c r="D95" s="1257"/>
      <c r="E95" s="1257"/>
      <c r="F95" s="1272"/>
      <c r="G95" s="1272"/>
      <c r="H95" s="1272"/>
      <c r="I95" s="1272"/>
      <c r="J95" s="1272"/>
      <c r="K95" s="1317"/>
      <c r="L95" s="1318"/>
      <c r="M95" s="1319"/>
      <c r="N95" s="1508"/>
      <c r="O95" s="1508"/>
      <c r="P95" s="1509"/>
      <c r="Q95" s="1503"/>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c r="A102" s="1098"/>
      <c r="B102" s="1249" t="s">
        <v>1431</v>
      </c>
      <c r="C102" s="1257"/>
      <c r="D102" s="1257"/>
      <c r="E102" s="1257"/>
      <c r="F102" s="1257"/>
      <c r="G102" s="1257"/>
      <c r="H102" s="1272"/>
      <c r="I102" s="1272"/>
      <c r="J102" s="1272"/>
      <c r="K102" s="1317"/>
      <c r="L102" s="1318"/>
      <c r="M102" s="1319"/>
      <c r="N102" s="1508"/>
      <c r="O102" s="1508"/>
      <c r="P102" s="1509"/>
      <c r="Q102" s="1503"/>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c r="A104" s="1098"/>
      <c r="B104" s="1249" t="s">
        <v>1434</v>
      </c>
      <c r="C104" s="1257"/>
      <c r="D104" s="1257"/>
      <c r="E104" s="1257"/>
      <c r="F104" s="1257"/>
      <c r="G104" s="1257"/>
      <c r="H104" s="1272"/>
      <c r="I104" s="1272"/>
      <c r="J104" s="1272"/>
      <c r="K104" s="1317"/>
      <c r="L104" s="1318"/>
      <c r="M104" s="1319"/>
      <c r="N104" s="1508"/>
      <c r="O104" s="1508"/>
      <c r="P104" s="1509"/>
      <c r="Q104" s="1503"/>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ht="15">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ht="15">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ht="15">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36">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估价对象为北京市房地产，为所有。根据《国有土地使用证》[]，估价对象（分摊）出让国有建设用地使用权面积为0平方米，建筑面积为134.04平方米。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估价对象为北京市房地产,属开发建设的办公项目，该项目尚在开发建设中。根据《国有土地使用证》[]，估价对象（分摊）出让国有建设用地使用权面积为0平方米，规划建筑面积为134.04平方米。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2025年11月12日（评估专业人员实地查勘之日）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本次评估采用的主估价方法为比较法和收益法。</v>
      </c>
    </row>
    <row r="25" spans="1:1" ht="18">
      <c r="A25" s="3112"/>
    </row>
    <row r="26" spans="1:1" ht="18.75">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45973</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75" t="s">
        <v>1392</v>
      </c>
      <c r="Q7" s="3374"/>
      <c r="R7" s="1215" t="s">
        <v>1393</v>
      </c>
      <c r="S7" s="1216">
        <f t="shared" ref="S7:S14" si="0">F7</f>
        <v>0</v>
      </c>
      <c r="T7" s="1215" t="s">
        <v>1393</v>
      </c>
      <c r="U7" s="1216">
        <f t="shared" ref="U7:U14" si="1">H7</f>
        <v>0</v>
      </c>
      <c r="V7" s="1215" t="s">
        <v>1393</v>
      </c>
      <c r="W7" s="1216">
        <f t="shared" ref="W7:W14" si="2">J7</f>
        <v>0</v>
      </c>
      <c r="X7" s="1217"/>
      <c r="Y7" s="3375" t="s">
        <v>1392</v>
      </c>
      <c r="Z7" s="3376"/>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36" si="3">D8/F8</f>
        <v>1</v>
      </c>
      <c r="AB8" s="1227">
        <f t="shared" ref="AB8:AB36" si="4">D8/H8</f>
        <v>1</v>
      </c>
      <c r="AC8" s="1227">
        <f t="shared" ref="AC8:AC36" si="5">D8/J8</f>
        <v>1</v>
      </c>
    </row>
    <row r="9" spans="1:29" s="1008" customFormat="1">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78" t="s">
        <v>1400</v>
      </c>
      <c r="Q9" s="794" t="str">
        <f t="shared" ref="Q9:Q14" si="6">B9</f>
        <v>用途</v>
      </c>
      <c r="R9" s="1215" t="s">
        <v>1393</v>
      </c>
      <c r="S9" s="1216">
        <f t="shared" si="0"/>
        <v>100</v>
      </c>
      <c r="T9" s="1215" t="s">
        <v>1393</v>
      </c>
      <c r="U9" s="1216">
        <f t="shared" si="1"/>
        <v>100</v>
      </c>
      <c r="V9" s="1215" t="s">
        <v>1393</v>
      </c>
      <c r="W9" s="1216">
        <f t="shared" si="2"/>
        <v>100</v>
      </c>
      <c r="X9" s="1217"/>
      <c r="Y9" s="3349" t="s">
        <v>1401</v>
      </c>
      <c r="Z9" s="1227" t="str">
        <f t="shared" ref="Z9:Z14" si="7">Q9</f>
        <v>用途</v>
      </c>
      <c r="AA9" s="1227">
        <f t="shared" si="3"/>
        <v>1</v>
      </c>
      <c r="AB9" s="1227">
        <f t="shared" si="4"/>
        <v>1</v>
      </c>
      <c r="AC9" s="1227">
        <f t="shared" si="5"/>
        <v>1</v>
      </c>
    </row>
    <row r="10" spans="1:29" s="1009" customFormat="1" ht="27">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78"/>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78"/>
      <c r="Q11" s="794">
        <f t="shared" si="6"/>
        <v>111</v>
      </c>
      <c r="R11" s="1215" t="s">
        <v>1393</v>
      </c>
      <c r="S11" s="1216">
        <f t="shared" si="0"/>
        <v>100</v>
      </c>
      <c r="T11" s="1215" t="s">
        <v>1393</v>
      </c>
      <c r="U11" s="1216">
        <f t="shared" si="1"/>
        <v>100</v>
      </c>
      <c r="V11" s="1215" t="s">
        <v>1393</v>
      </c>
      <c r="W11" s="1216">
        <f t="shared" si="2"/>
        <v>100</v>
      </c>
      <c r="X11" s="1217"/>
      <c r="Y11" s="3349"/>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85" t="s">
        <v>1406</v>
      </c>
      <c r="Q14" s="625" t="str">
        <f t="shared" si="6"/>
        <v>交通便捷度</v>
      </c>
      <c r="R14" s="1219" t="s">
        <v>1393</v>
      </c>
      <c r="S14" s="1220">
        <f t="shared" si="0"/>
        <v>100</v>
      </c>
      <c r="T14" s="1219" t="s">
        <v>1393</v>
      </c>
      <c r="U14" s="1220">
        <f t="shared" si="1"/>
        <v>100</v>
      </c>
      <c r="V14" s="1219" t="s">
        <v>1393</v>
      </c>
      <c r="W14" s="1220">
        <f t="shared" si="2"/>
        <v>100</v>
      </c>
      <c r="X14" s="1214"/>
      <c r="Y14" s="3385"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86"/>
      <c r="Q15" s="625"/>
      <c r="R15" s="1219"/>
      <c r="S15" s="1220"/>
      <c r="T15" s="1219"/>
      <c r="U15" s="1220"/>
      <c r="V15" s="1219"/>
      <c r="W15" s="1220"/>
      <c r="X15" s="1214"/>
      <c r="Y15" s="3386"/>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86"/>
      <c r="Q16" s="625" t="str">
        <f>B16</f>
        <v>公共配套设施</v>
      </c>
      <c r="R16" s="1219" t="s">
        <v>1393</v>
      </c>
      <c r="S16" s="1220">
        <f>F16</f>
        <v>100</v>
      </c>
      <c r="T16" s="1219" t="s">
        <v>1393</v>
      </c>
      <c r="U16" s="1220">
        <f>H16</f>
        <v>100</v>
      </c>
      <c r="V16" s="1219" t="s">
        <v>1393</v>
      </c>
      <c r="W16" s="1220">
        <f>J16</f>
        <v>100</v>
      </c>
      <c r="X16" s="1214"/>
      <c r="Y16" s="3386"/>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86"/>
      <c r="Q17" s="625"/>
      <c r="R17" s="1219"/>
      <c r="S17" s="1220"/>
      <c r="T17" s="1219"/>
      <c r="U17" s="1220"/>
      <c r="V17" s="1219"/>
      <c r="W17" s="1220"/>
      <c r="X17" s="1214"/>
      <c r="Y17" s="3386"/>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86"/>
      <c r="Q18" s="625" t="str">
        <f>B18</f>
        <v>基础设施水平</v>
      </c>
      <c r="R18" s="1219" t="s">
        <v>1393</v>
      </c>
      <c r="S18" s="1220">
        <f>F18</f>
        <v>100</v>
      </c>
      <c r="T18" s="1219" t="s">
        <v>1393</v>
      </c>
      <c r="U18" s="1220">
        <f>H18</f>
        <v>100</v>
      </c>
      <c r="V18" s="1219" t="s">
        <v>1393</v>
      </c>
      <c r="W18" s="1220">
        <f>J18</f>
        <v>100</v>
      </c>
      <c r="X18" s="1214"/>
      <c r="Y18" s="3386"/>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86"/>
      <c r="Q19" s="625"/>
      <c r="R19" s="1219"/>
      <c r="S19" s="1220"/>
      <c r="T19" s="1219"/>
      <c r="U19" s="1220"/>
      <c r="V19" s="1219"/>
      <c r="W19" s="1220"/>
      <c r="X19" s="1214"/>
      <c r="Y19" s="3386"/>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86"/>
      <c r="Q20" s="625" t="str">
        <f>B20</f>
        <v>自然及人文环境</v>
      </c>
      <c r="R20" s="1219" t="s">
        <v>1393</v>
      </c>
      <c r="S20" s="1220">
        <f>F20</f>
        <v>100</v>
      </c>
      <c r="T20" s="1219" t="s">
        <v>1393</v>
      </c>
      <c r="U20" s="1220">
        <f>H20</f>
        <v>100</v>
      </c>
      <c r="V20" s="1219" t="s">
        <v>1393</v>
      </c>
      <c r="W20" s="1220">
        <f>J20</f>
        <v>100</v>
      </c>
      <c r="X20" s="1214"/>
      <c r="Y20" s="3386"/>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86"/>
      <c r="Q21" s="625"/>
      <c r="R21" s="1219"/>
      <c r="S21" s="1220"/>
      <c r="T21" s="1219"/>
      <c r="U21" s="1220"/>
      <c r="V21" s="1219"/>
      <c r="W21" s="1220"/>
      <c r="X21" s="1214"/>
      <c r="Y21" s="3386"/>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86"/>
      <c r="Q22" s="625" t="str">
        <f>B22</f>
        <v>楼层</v>
      </c>
      <c r="R22" s="1219" t="s">
        <v>1393</v>
      </c>
      <c r="S22" s="1220">
        <f>F22</f>
        <v>100</v>
      </c>
      <c r="T22" s="1219" t="s">
        <v>1393</v>
      </c>
      <c r="U22" s="1220">
        <f>H22</f>
        <v>100</v>
      </c>
      <c r="V22" s="1219" t="s">
        <v>1393</v>
      </c>
      <c r="W22" s="1220">
        <f>J22</f>
        <v>100</v>
      </c>
      <c r="X22" s="1214"/>
      <c r="Y22" s="3386"/>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86"/>
      <c r="Q23" s="625">
        <f>B23</f>
        <v>111</v>
      </c>
      <c r="R23" s="1219" t="s">
        <v>1393</v>
      </c>
      <c r="S23" s="1220">
        <f>F23</f>
        <v>100</v>
      </c>
      <c r="T23" s="1219" t="s">
        <v>1393</v>
      </c>
      <c r="U23" s="1220">
        <f>H23</f>
        <v>100</v>
      </c>
      <c r="V23" s="1219" t="s">
        <v>1393</v>
      </c>
      <c r="W23" s="1220">
        <f>J23</f>
        <v>100</v>
      </c>
      <c r="X23" s="1214"/>
      <c r="Y23" s="3386"/>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86"/>
      <c r="Q24" s="625">
        <f t="shared" ref="Q24:Q36" si="11">B24</f>
        <v>111</v>
      </c>
      <c r="R24" s="1219" t="s">
        <v>1393</v>
      </c>
      <c r="S24" s="1220">
        <f>F24</f>
        <v>100</v>
      </c>
      <c r="T24" s="1219" t="s">
        <v>1393</v>
      </c>
      <c r="U24" s="1220">
        <f>H24</f>
        <v>100</v>
      </c>
      <c r="V24" s="1219" t="s">
        <v>1393</v>
      </c>
      <c r="W24" s="1220">
        <f>J24</f>
        <v>100</v>
      </c>
      <c r="X24" s="1214"/>
      <c r="Y24" s="3386"/>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86"/>
      <c r="Q25" s="794">
        <f t="shared" si="11"/>
        <v>111</v>
      </c>
      <c r="R25" s="1215" t="s">
        <v>1393</v>
      </c>
      <c r="S25" s="1216">
        <f>F25</f>
        <v>100</v>
      </c>
      <c r="T25" s="1215" t="s">
        <v>1393</v>
      </c>
      <c r="U25" s="1216">
        <f>H25</f>
        <v>100</v>
      </c>
      <c r="V25" s="1215" t="s">
        <v>1393</v>
      </c>
      <c r="W25" s="1216">
        <f>J25</f>
        <v>100</v>
      </c>
      <c r="X25" s="1217"/>
      <c r="Y25" s="3386"/>
      <c r="Z25" s="1227">
        <f>Q25</f>
        <v>111</v>
      </c>
      <c r="AA25" s="1204">
        <f t="shared" si="3"/>
        <v>1</v>
      </c>
      <c r="AB25" s="1204">
        <f t="shared" si="4"/>
        <v>1</v>
      </c>
      <c r="AC25" s="1204">
        <f t="shared" si="5"/>
        <v>1</v>
      </c>
    </row>
    <row r="26" spans="1:29" ht="28.5">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45"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87"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87"/>
      <c r="Q27" s="1415" t="str">
        <f t="shared" si="11"/>
        <v>项目停车位配比</v>
      </c>
      <c r="R27" s="1221" t="s">
        <v>1393</v>
      </c>
      <c r="S27" s="1222">
        <f t="shared" si="12"/>
        <v>100</v>
      </c>
      <c r="T27" s="1221" t="s">
        <v>1393</v>
      </c>
      <c r="U27" s="1222">
        <f t="shared" si="13"/>
        <v>100</v>
      </c>
      <c r="V27" s="1221" t="s">
        <v>1393</v>
      </c>
      <c r="W27" s="1222">
        <f t="shared" si="14"/>
        <v>100</v>
      </c>
      <c r="X27" s="1223"/>
      <c r="Y27" s="3387"/>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87"/>
      <c r="Q28" s="625" t="str">
        <f t="shared" si="11"/>
        <v>公共部分装修</v>
      </c>
      <c r="R28" s="1219" t="s">
        <v>1393</v>
      </c>
      <c r="S28" s="1220">
        <f t="shared" si="12"/>
        <v>100</v>
      </c>
      <c r="T28" s="1219" t="s">
        <v>1393</v>
      </c>
      <c r="U28" s="1220">
        <f t="shared" si="13"/>
        <v>100</v>
      </c>
      <c r="V28" s="1219" t="s">
        <v>1393</v>
      </c>
      <c r="W28" s="1220">
        <f t="shared" si="14"/>
        <v>100</v>
      </c>
      <c r="X28" s="1214"/>
      <c r="Y28" s="3387"/>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87"/>
      <c r="Q29" s="625" t="str">
        <f t="shared" si="11"/>
        <v>成新率</v>
      </c>
      <c r="R29" s="1219" t="s">
        <v>1393</v>
      </c>
      <c r="S29" s="1220" t="e">
        <f t="shared" si="12"/>
        <v>#N/A</v>
      </c>
      <c r="T29" s="1219" t="s">
        <v>1393</v>
      </c>
      <c r="U29" s="1220" t="e">
        <f t="shared" si="13"/>
        <v>#N/A</v>
      </c>
      <c r="V29" s="1219" t="s">
        <v>1393</v>
      </c>
      <c r="W29" s="1220" t="e">
        <f t="shared" si="14"/>
        <v>#N/A</v>
      </c>
      <c r="X29" s="1214"/>
      <c r="Y29" s="3387"/>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87"/>
      <c r="Q30" s="625" t="str">
        <f t="shared" si="11"/>
        <v>物业等级</v>
      </c>
      <c r="R30" s="1219" t="s">
        <v>1393</v>
      </c>
      <c r="S30" s="1220">
        <f t="shared" si="12"/>
        <v>100</v>
      </c>
      <c r="T30" s="1219" t="s">
        <v>1393</v>
      </c>
      <c r="U30" s="1220">
        <f t="shared" si="13"/>
        <v>100</v>
      </c>
      <c r="V30" s="1219" t="s">
        <v>1393</v>
      </c>
      <c r="W30" s="1220">
        <f t="shared" si="14"/>
        <v>100</v>
      </c>
      <c r="X30" s="1214"/>
      <c r="Y30" s="3387"/>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87"/>
      <c r="Q31" s="794" t="str">
        <f t="shared" si="11"/>
        <v>停车位面积</v>
      </c>
      <c r="R31" s="1215" t="s">
        <v>1393</v>
      </c>
      <c r="S31" s="1216" t="e">
        <f t="shared" si="12"/>
        <v>#N/A</v>
      </c>
      <c r="T31" s="1215" t="s">
        <v>1393</v>
      </c>
      <c r="U31" s="1216" t="e">
        <f t="shared" si="13"/>
        <v>#N/A</v>
      </c>
      <c r="V31" s="1215" t="s">
        <v>1393</v>
      </c>
      <c r="W31" s="1216" t="e">
        <f t="shared" si="14"/>
        <v>#N/A</v>
      </c>
      <c r="X31" s="1217"/>
      <c r="Y31" s="3387"/>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87" t="s">
        <v>1421</v>
      </c>
      <c r="Q32" s="625" t="str">
        <f t="shared" si="11"/>
        <v>车位类型</v>
      </c>
      <c r="R32" s="1219" t="s">
        <v>1393</v>
      </c>
      <c r="S32" s="1220">
        <f t="shared" si="12"/>
        <v>100</v>
      </c>
      <c r="T32" s="1219" t="s">
        <v>1393</v>
      </c>
      <c r="U32" s="1220">
        <f t="shared" si="13"/>
        <v>100</v>
      </c>
      <c r="V32" s="1219" t="s">
        <v>1393</v>
      </c>
      <c r="W32" s="1220">
        <f t="shared" si="14"/>
        <v>100</v>
      </c>
      <c r="X32" s="1214"/>
      <c r="Y32" s="3387"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87"/>
      <c r="Q33" s="625" t="str">
        <f t="shared" si="11"/>
        <v>是否直接入户</v>
      </c>
      <c r="R33" s="1219" t="s">
        <v>1393</v>
      </c>
      <c r="S33" s="1220">
        <f t="shared" si="12"/>
        <v>100</v>
      </c>
      <c r="T33" s="1219" t="s">
        <v>1393</v>
      </c>
      <c r="U33" s="1220">
        <f t="shared" si="13"/>
        <v>100</v>
      </c>
      <c r="V33" s="1219" t="s">
        <v>1393</v>
      </c>
      <c r="W33" s="1220">
        <f t="shared" si="14"/>
        <v>100</v>
      </c>
      <c r="X33" s="1214"/>
      <c r="Y33" s="3387"/>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87"/>
      <c r="Q34" s="625">
        <f t="shared" si="11"/>
        <v>111</v>
      </c>
      <c r="R34" s="1219" t="s">
        <v>1393</v>
      </c>
      <c r="S34" s="1220">
        <f t="shared" si="12"/>
        <v>100</v>
      </c>
      <c r="T34" s="1219" t="s">
        <v>1393</v>
      </c>
      <c r="U34" s="1220">
        <f t="shared" si="13"/>
        <v>100</v>
      </c>
      <c r="V34" s="1219" t="s">
        <v>1393</v>
      </c>
      <c r="W34" s="1220">
        <f t="shared" si="14"/>
        <v>100</v>
      </c>
      <c r="X34" s="1214"/>
      <c r="Y34" s="3387"/>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87"/>
      <c r="Q35" s="1415">
        <f t="shared" si="11"/>
        <v>111</v>
      </c>
      <c r="R35" s="1221" t="s">
        <v>1393</v>
      </c>
      <c r="S35" s="1222">
        <f t="shared" si="12"/>
        <v>100</v>
      </c>
      <c r="T35" s="1221" t="s">
        <v>1393</v>
      </c>
      <c r="U35" s="1222">
        <f t="shared" si="13"/>
        <v>100</v>
      </c>
      <c r="V35" s="1221" t="s">
        <v>1393</v>
      </c>
      <c r="W35" s="1222">
        <f t="shared" si="14"/>
        <v>100</v>
      </c>
      <c r="X35" s="1223"/>
      <c r="Y35" s="3387"/>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87"/>
      <c r="Q36" s="625">
        <f t="shared" si="11"/>
        <v>111</v>
      </c>
      <c r="R36" s="1219" t="s">
        <v>1393</v>
      </c>
      <c r="S36" s="1220">
        <f t="shared" si="12"/>
        <v>100</v>
      </c>
      <c r="T36" s="1219" t="s">
        <v>1393</v>
      </c>
      <c r="U36" s="1220">
        <f t="shared" si="13"/>
        <v>100</v>
      </c>
      <c r="V36" s="1219" t="s">
        <v>1393</v>
      </c>
      <c r="W36" s="1220">
        <f t="shared" si="14"/>
        <v>100</v>
      </c>
      <c r="X36" s="1214"/>
      <c r="Y36" s="3387"/>
      <c r="Z36" s="1204">
        <f t="shared" si="15"/>
        <v>111</v>
      </c>
      <c r="AA36" s="1204">
        <f t="shared" si="3"/>
        <v>1</v>
      </c>
      <c r="AB36" s="1204">
        <f t="shared" si="4"/>
        <v>1</v>
      </c>
      <c r="AC36" s="1204">
        <f t="shared" si="5"/>
        <v>1</v>
      </c>
    </row>
    <row r="37" spans="1:29" ht="15">
      <c r="A37" s="1105" t="s">
        <v>1648</v>
      </c>
      <c r="B37" s="1453" t="s">
        <v>1649</v>
      </c>
      <c r="C37" s="1399" t="s">
        <v>124</v>
      </c>
      <c r="D37" s="1108"/>
      <c r="E37" s="1109"/>
      <c r="F37" s="1110"/>
      <c r="G37" s="1111"/>
      <c r="H37" s="1112"/>
      <c r="I37" s="1109"/>
      <c r="J37" s="1112"/>
      <c r="K37" s="1462"/>
      <c r="L37" s="1196"/>
      <c r="M37" s="1122"/>
      <c r="N37" s="1122"/>
      <c r="O37" s="1122"/>
      <c r="P37" s="3378" t="str">
        <f>A37</f>
        <v>成交单价</v>
      </c>
      <c r="Q37" s="3378"/>
      <c r="R37" s="3379">
        <f>E37</f>
        <v>0</v>
      </c>
      <c r="S37" s="3379"/>
      <c r="T37" s="3379">
        <f>G37</f>
        <v>0</v>
      </c>
      <c r="U37" s="3379"/>
      <c r="V37" s="3379">
        <f>I37</f>
        <v>0</v>
      </c>
      <c r="W37" s="3379"/>
      <c r="X37" s="1162"/>
      <c r="Y37" s="1229"/>
      <c r="Z37" s="1162"/>
      <c r="AA37" s="1162"/>
      <c r="AB37" s="1162"/>
      <c r="AC37" s="1162"/>
    </row>
    <row r="38" spans="1:29" ht="15">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1162"/>
      <c r="Y38" s="1162"/>
      <c r="Z38" s="1162"/>
      <c r="AA38" s="1162"/>
      <c r="AB38" s="1162"/>
      <c r="AC38" s="1162"/>
    </row>
    <row r="39" spans="1:29" ht="15">
      <c r="A39" s="1119" t="s">
        <v>1650</v>
      </c>
      <c r="B39" s="1120"/>
      <c r="C39" s="1032" t="e">
        <f>R39</f>
        <v>#DIV/0!</v>
      </c>
      <c r="D39" s="1032"/>
      <c r="E39" s="1032"/>
      <c r="F39" s="1032"/>
      <c r="G39" s="1032"/>
      <c r="H39" s="1032"/>
      <c r="I39" s="1032"/>
      <c r="J39" s="1032"/>
      <c r="K39" s="1463"/>
      <c r="L39" s="1196"/>
      <c r="M39" s="1122"/>
      <c r="N39" s="1122"/>
      <c r="O39" s="1122"/>
      <c r="P39" s="3414" t="str">
        <f>A39</f>
        <v>估价对象XX用房的比较价值（楼面单价，元/平方米）</v>
      </c>
      <c r="Q39" s="3415"/>
      <c r="R39" s="3446" t="e">
        <f>IF(F1="售价",ROUND(IF(D38="简单平均",AVERAGE(R38:W38),R38*F38+T38*H38+V38*J38),0),ROUND(IF(D38="简单平均",AVERAGE(R38:V38),R38*F38+T38*H38+V38*J38),1))</f>
        <v>#DIV/0!</v>
      </c>
      <c r="S39" s="3446"/>
      <c r="T39" s="3446"/>
      <c r="U39" s="3446"/>
      <c r="V39" s="3446"/>
      <c r="W39" s="3446"/>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5">
      <c r="A48" s="1404" t="s">
        <v>1391</v>
      </c>
      <c r="B48" s="1405"/>
      <c r="C48" s="1406" t="str">
        <f>YEAR(C7)&amp;"-"&amp;MONTH(C7)</f>
        <v>2025-11</v>
      </c>
      <c r="D48" s="1407">
        <f>EDATE(C48,-1)</f>
        <v>45931</v>
      </c>
      <c r="E48" s="1407">
        <f t="shared" ref="E48:O48" si="16">EDATE(D48,-1)</f>
        <v>45901</v>
      </c>
      <c r="F48" s="1407">
        <f t="shared" si="16"/>
        <v>45870</v>
      </c>
      <c r="G48" s="1407">
        <f t="shared" si="16"/>
        <v>45839</v>
      </c>
      <c r="H48" s="1407">
        <f t="shared" si="16"/>
        <v>45809</v>
      </c>
      <c r="I48" s="1407">
        <f t="shared" si="16"/>
        <v>45778</v>
      </c>
      <c r="J48" s="1407">
        <f t="shared" si="16"/>
        <v>45748</v>
      </c>
      <c r="K48" s="1407">
        <f t="shared" si="16"/>
        <v>45717</v>
      </c>
      <c r="L48" s="1407">
        <f t="shared" si="16"/>
        <v>45689</v>
      </c>
      <c r="M48" s="1407">
        <f t="shared" si="16"/>
        <v>45658</v>
      </c>
      <c r="N48" s="1407">
        <f t="shared" si="16"/>
        <v>45627</v>
      </c>
      <c r="O48" s="1407">
        <f t="shared" si="16"/>
        <v>45597</v>
      </c>
      <c r="P48" s="1467"/>
      <c r="Q48" s="1278"/>
      <c r="R48" s="1278"/>
      <c r="S48" s="1278"/>
      <c r="T48" s="1278"/>
      <c r="U48" s="1278"/>
      <c r="V48" s="1278"/>
      <c r="W48" s="1278"/>
      <c r="X48" s="1278"/>
      <c r="Y48" s="1278"/>
      <c r="Z48" s="1278"/>
      <c r="AA48" s="1278"/>
      <c r="AB48" s="1278"/>
      <c r="AC48" s="1278"/>
    </row>
    <row r="49" spans="1:29" s="1008" customFormat="1" ht="15">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5">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45973</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75" t="s">
        <v>1392</v>
      </c>
      <c r="Q7" s="3374"/>
      <c r="R7" s="1215" t="s">
        <v>1393</v>
      </c>
      <c r="S7" s="1216">
        <f t="shared" ref="S7:S14" si="0">F7</f>
        <v>0</v>
      </c>
      <c r="T7" s="1215" t="s">
        <v>1393</v>
      </c>
      <c r="U7" s="1216">
        <f t="shared" ref="U7:U14" si="1">H7</f>
        <v>0</v>
      </c>
      <c r="V7" s="1215" t="s">
        <v>1393</v>
      </c>
      <c r="W7" s="1216">
        <f t="shared" ref="W7:W14" si="2">J7</f>
        <v>0</v>
      </c>
      <c r="X7" s="1217"/>
      <c r="Y7" s="3375" t="s">
        <v>1392</v>
      </c>
      <c r="Z7" s="3376"/>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34" si="3">D8/F8</f>
        <v>1</v>
      </c>
      <c r="AB8" s="1227">
        <f t="shared" ref="AB8:AB34" si="4">D8/H8</f>
        <v>1</v>
      </c>
      <c r="AC8" s="1227">
        <f t="shared" ref="AC8:AC34" si="5">D8/J8</f>
        <v>1</v>
      </c>
    </row>
    <row r="9" spans="1:29" s="1008" customFormat="1">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78" t="s">
        <v>1400</v>
      </c>
      <c r="Q9" s="794" t="str">
        <f t="shared" ref="Q9:Q14" si="6">B9</f>
        <v>用途</v>
      </c>
      <c r="R9" s="1215" t="s">
        <v>1393</v>
      </c>
      <c r="S9" s="1216">
        <f t="shared" si="0"/>
        <v>100</v>
      </c>
      <c r="T9" s="1215" t="s">
        <v>1393</v>
      </c>
      <c r="U9" s="1216">
        <f t="shared" si="1"/>
        <v>100</v>
      </c>
      <c r="V9" s="1215" t="s">
        <v>1393</v>
      </c>
      <c r="W9" s="1216">
        <f t="shared" si="2"/>
        <v>100</v>
      </c>
      <c r="X9" s="1217"/>
      <c r="Y9" s="3349" t="s">
        <v>1401</v>
      </c>
      <c r="Z9" s="1227" t="str">
        <f t="shared" ref="Z9:Z14" si="7">Q9</f>
        <v>用途</v>
      </c>
      <c r="AA9" s="1227">
        <f t="shared" si="3"/>
        <v>1</v>
      </c>
      <c r="AB9" s="1227">
        <f t="shared" si="4"/>
        <v>1</v>
      </c>
      <c r="AC9" s="1227">
        <f t="shared" si="5"/>
        <v>1</v>
      </c>
    </row>
    <row r="10" spans="1:29" s="1009" customFormat="1" ht="27">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78"/>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78"/>
      <c r="Q11" s="794">
        <f t="shared" si="6"/>
        <v>111</v>
      </c>
      <c r="R11" s="1215" t="s">
        <v>1393</v>
      </c>
      <c r="S11" s="1216">
        <f t="shared" si="0"/>
        <v>100</v>
      </c>
      <c r="T11" s="1215" t="s">
        <v>1393</v>
      </c>
      <c r="U11" s="1216">
        <f t="shared" si="1"/>
        <v>100</v>
      </c>
      <c r="V11" s="1215" t="s">
        <v>1393</v>
      </c>
      <c r="W11" s="1216">
        <f t="shared" si="2"/>
        <v>100</v>
      </c>
      <c r="X11" s="1217"/>
      <c r="Y11" s="3349"/>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85" t="s">
        <v>1406</v>
      </c>
      <c r="Q14" s="625" t="str">
        <f t="shared" si="6"/>
        <v>交通便捷度</v>
      </c>
      <c r="R14" s="1219" t="s">
        <v>1393</v>
      </c>
      <c r="S14" s="1220">
        <f t="shared" si="0"/>
        <v>100</v>
      </c>
      <c r="T14" s="1219" t="s">
        <v>1393</v>
      </c>
      <c r="U14" s="1220">
        <f t="shared" si="1"/>
        <v>100</v>
      </c>
      <c r="V14" s="1219" t="s">
        <v>1393</v>
      </c>
      <c r="W14" s="1220">
        <f t="shared" si="2"/>
        <v>100</v>
      </c>
      <c r="X14" s="1214"/>
      <c r="Y14" s="3385"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86"/>
      <c r="Q15" s="625"/>
      <c r="R15" s="1219"/>
      <c r="S15" s="1220"/>
      <c r="T15" s="1219"/>
      <c r="U15" s="1220"/>
      <c r="V15" s="1219"/>
      <c r="W15" s="1220"/>
      <c r="X15" s="1214"/>
      <c r="Y15" s="3386"/>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86"/>
      <c r="Q16" s="625" t="str">
        <f>B16</f>
        <v>公共配套设施</v>
      </c>
      <c r="R16" s="1219" t="s">
        <v>1393</v>
      </c>
      <c r="S16" s="1220">
        <f>F16</f>
        <v>100</v>
      </c>
      <c r="T16" s="1219" t="s">
        <v>1393</v>
      </c>
      <c r="U16" s="1220">
        <f>H16</f>
        <v>100</v>
      </c>
      <c r="V16" s="1219" t="s">
        <v>1393</v>
      </c>
      <c r="W16" s="1220">
        <f>J16</f>
        <v>100</v>
      </c>
      <c r="X16" s="1214"/>
      <c r="Y16" s="3386"/>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86"/>
      <c r="Q17" s="625"/>
      <c r="R17" s="1219"/>
      <c r="S17" s="1220"/>
      <c r="T17" s="1219"/>
      <c r="U17" s="1220"/>
      <c r="V17" s="1219"/>
      <c r="W17" s="1220"/>
      <c r="X17" s="1214"/>
      <c r="Y17" s="3386"/>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86"/>
      <c r="Q18" s="625" t="str">
        <f>B18</f>
        <v>基础设施水平</v>
      </c>
      <c r="R18" s="1219" t="s">
        <v>1393</v>
      </c>
      <c r="S18" s="1220">
        <f>F18</f>
        <v>100</v>
      </c>
      <c r="T18" s="1219" t="s">
        <v>1393</v>
      </c>
      <c r="U18" s="1220">
        <f>H18</f>
        <v>100</v>
      </c>
      <c r="V18" s="1219" t="s">
        <v>1393</v>
      </c>
      <c r="W18" s="1220">
        <f>J18</f>
        <v>100</v>
      </c>
      <c r="X18" s="1214"/>
      <c r="Y18" s="3386"/>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86"/>
      <c r="Q19" s="625"/>
      <c r="R19" s="1219"/>
      <c r="S19" s="1220"/>
      <c r="T19" s="1219"/>
      <c r="U19" s="1220"/>
      <c r="V19" s="1219"/>
      <c r="W19" s="1220"/>
      <c r="X19" s="1214"/>
      <c r="Y19" s="3386"/>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86"/>
      <c r="Q20" s="625" t="str">
        <f>B20</f>
        <v>自然及人文环境</v>
      </c>
      <c r="R20" s="1219" t="s">
        <v>1393</v>
      </c>
      <c r="S20" s="1220">
        <f>F20</f>
        <v>100</v>
      </c>
      <c r="T20" s="1219" t="s">
        <v>1393</v>
      </c>
      <c r="U20" s="1220">
        <f>H20</f>
        <v>100</v>
      </c>
      <c r="V20" s="1219" t="s">
        <v>1393</v>
      </c>
      <c r="W20" s="1220">
        <f>J20</f>
        <v>100</v>
      </c>
      <c r="X20" s="1214"/>
      <c r="Y20" s="3386"/>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86"/>
      <c r="Q21" s="625"/>
      <c r="R21" s="1219"/>
      <c r="S21" s="1220"/>
      <c r="T21" s="1219"/>
      <c r="U21" s="1220"/>
      <c r="V21" s="1219"/>
      <c r="W21" s="1220"/>
      <c r="X21" s="1214"/>
      <c r="Y21" s="3386"/>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86"/>
      <c r="Q22" s="625" t="str">
        <f>B22</f>
        <v>楼层</v>
      </c>
      <c r="R22" s="1219" t="s">
        <v>1393</v>
      </c>
      <c r="S22" s="1220">
        <f>F22</f>
        <v>100</v>
      </c>
      <c r="T22" s="1219" t="s">
        <v>1393</v>
      </c>
      <c r="U22" s="1220">
        <f>H22</f>
        <v>100</v>
      </c>
      <c r="V22" s="1219" t="s">
        <v>1393</v>
      </c>
      <c r="W22" s="1220">
        <f>J22</f>
        <v>100</v>
      </c>
      <c r="X22" s="1214"/>
      <c r="Y22" s="3386"/>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86"/>
      <c r="Q23" s="625">
        <f>B23</f>
        <v>111</v>
      </c>
      <c r="R23" s="1219" t="s">
        <v>1393</v>
      </c>
      <c r="S23" s="1220">
        <f>F23</f>
        <v>100</v>
      </c>
      <c r="T23" s="1219" t="s">
        <v>1393</v>
      </c>
      <c r="U23" s="1220">
        <f>H23</f>
        <v>100</v>
      </c>
      <c r="V23" s="1219" t="s">
        <v>1393</v>
      </c>
      <c r="W23" s="1220">
        <f>J23</f>
        <v>100</v>
      </c>
      <c r="X23" s="1214"/>
      <c r="Y23" s="3386"/>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86"/>
      <c r="Q24" s="625">
        <f t="shared" ref="Q24:Q34" si="11">B24</f>
        <v>111</v>
      </c>
      <c r="R24" s="1219" t="s">
        <v>1393</v>
      </c>
      <c r="S24" s="1220">
        <f>F24</f>
        <v>100</v>
      </c>
      <c r="T24" s="1219" t="s">
        <v>1393</v>
      </c>
      <c r="U24" s="1220">
        <f>H24</f>
        <v>100</v>
      </c>
      <c r="V24" s="1219" t="s">
        <v>1393</v>
      </c>
      <c r="W24" s="1220">
        <f>J24</f>
        <v>100</v>
      </c>
      <c r="X24" s="1214"/>
      <c r="Y24" s="3386"/>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86"/>
      <c r="Q25" s="794">
        <f t="shared" si="11"/>
        <v>111</v>
      </c>
      <c r="R25" s="1215" t="s">
        <v>1393</v>
      </c>
      <c r="S25" s="1216">
        <f>F25</f>
        <v>100</v>
      </c>
      <c r="T25" s="1215" t="s">
        <v>1393</v>
      </c>
      <c r="U25" s="1216">
        <f>H25</f>
        <v>100</v>
      </c>
      <c r="V25" s="1215" t="s">
        <v>1393</v>
      </c>
      <c r="W25" s="1216">
        <f>J25</f>
        <v>100</v>
      </c>
      <c r="X25" s="1217"/>
      <c r="Y25" s="3386"/>
      <c r="Z25" s="1227">
        <f>Q25</f>
        <v>111</v>
      </c>
      <c r="AA25" s="1204">
        <f t="shared" si="3"/>
        <v>1</v>
      </c>
      <c r="AB25" s="1204">
        <f t="shared" si="4"/>
        <v>1</v>
      </c>
      <c r="AC25" s="1204">
        <f t="shared" si="5"/>
        <v>1</v>
      </c>
    </row>
    <row r="26" spans="1:29" ht="28.5">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45"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87"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87"/>
      <c r="Q27" s="1415" t="str">
        <f t="shared" si="11"/>
        <v>成新率</v>
      </c>
      <c r="R27" s="1221" t="s">
        <v>1393</v>
      </c>
      <c r="S27" s="1222" t="e">
        <f t="shared" si="12"/>
        <v>#N/A</v>
      </c>
      <c r="T27" s="1221" t="s">
        <v>1393</v>
      </c>
      <c r="U27" s="1222" t="e">
        <f t="shared" si="13"/>
        <v>#N/A</v>
      </c>
      <c r="V27" s="1221" t="s">
        <v>1393</v>
      </c>
      <c r="W27" s="1222" t="e">
        <f t="shared" si="14"/>
        <v>#N/A</v>
      </c>
      <c r="X27" s="1223"/>
      <c r="Y27" s="3387"/>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87"/>
      <c r="Q28" s="625" t="str">
        <f t="shared" si="11"/>
        <v>物业等级</v>
      </c>
      <c r="R28" s="1219" t="s">
        <v>1393</v>
      </c>
      <c r="S28" s="1220">
        <f t="shared" si="12"/>
        <v>100</v>
      </c>
      <c r="T28" s="1219" t="s">
        <v>1393</v>
      </c>
      <c r="U28" s="1220">
        <f t="shared" si="13"/>
        <v>100</v>
      </c>
      <c r="V28" s="1219" t="s">
        <v>1393</v>
      </c>
      <c r="W28" s="1220">
        <f t="shared" si="14"/>
        <v>100</v>
      </c>
      <c r="X28" s="1214"/>
      <c r="Y28" s="3387"/>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87"/>
      <c r="Q29" s="625" t="str">
        <f t="shared" si="11"/>
        <v>有无电梯</v>
      </c>
      <c r="R29" s="1219" t="s">
        <v>1393</v>
      </c>
      <c r="S29" s="1220">
        <f t="shared" si="12"/>
        <v>100</v>
      </c>
      <c r="T29" s="1219" t="s">
        <v>1393</v>
      </c>
      <c r="U29" s="1220">
        <f t="shared" si="13"/>
        <v>100</v>
      </c>
      <c r="V29" s="1219" t="s">
        <v>1393</v>
      </c>
      <c r="W29" s="1220">
        <f t="shared" si="14"/>
        <v>100</v>
      </c>
      <c r="X29" s="1214"/>
      <c r="Y29" s="3387"/>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87"/>
      <c r="Q30" s="625" t="str">
        <f t="shared" si="11"/>
        <v>建筑面积</v>
      </c>
      <c r="R30" s="1219" t="s">
        <v>1393</v>
      </c>
      <c r="S30" s="1220" t="e">
        <f t="shared" si="12"/>
        <v>#N/A</v>
      </c>
      <c r="T30" s="1219" t="s">
        <v>1393</v>
      </c>
      <c r="U30" s="1220" t="e">
        <f t="shared" si="13"/>
        <v>#N/A</v>
      </c>
      <c r="V30" s="1219" t="s">
        <v>1393</v>
      </c>
      <c r="W30" s="1220" t="e">
        <f t="shared" si="14"/>
        <v>#N/A</v>
      </c>
      <c r="X30" s="1214"/>
      <c r="Y30" s="3387"/>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87"/>
      <c r="Q31" s="794" t="str">
        <f t="shared" si="11"/>
        <v>是否封闭</v>
      </c>
      <c r="R31" s="1215" t="s">
        <v>1393</v>
      </c>
      <c r="S31" s="1216">
        <f t="shared" si="12"/>
        <v>100</v>
      </c>
      <c r="T31" s="1215" t="s">
        <v>1393</v>
      </c>
      <c r="U31" s="1216">
        <f t="shared" si="13"/>
        <v>100</v>
      </c>
      <c r="V31" s="1215" t="s">
        <v>1393</v>
      </c>
      <c r="W31" s="1216">
        <f t="shared" si="14"/>
        <v>100</v>
      </c>
      <c r="X31" s="1217"/>
      <c r="Y31" s="3387"/>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87" t="s">
        <v>1421</v>
      </c>
      <c r="Q32" s="625">
        <f t="shared" si="11"/>
        <v>111</v>
      </c>
      <c r="R32" s="1219" t="s">
        <v>1393</v>
      </c>
      <c r="S32" s="1220">
        <f t="shared" si="12"/>
        <v>100</v>
      </c>
      <c r="T32" s="1219" t="s">
        <v>1393</v>
      </c>
      <c r="U32" s="1220">
        <f t="shared" si="13"/>
        <v>100</v>
      </c>
      <c r="V32" s="1219" t="s">
        <v>1393</v>
      </c>
      <c r="W32" s="1220">
        <f t="shared" si="14"/>
        <v>100</v>
      </c>
      <c r="X32" s="1214"/>
      <c r="Y32" s="3387"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87"/>
      <c r="Q33" s="625">
        <f t="shared" si="11"/>
        <v>111</v>
      </c>
      <c r="R33" s="1219" t="s">
        <v>1393</v>
      </c>
      <c r="S33" s="1220">
        <f t="shared" si="12"/>
        <v>100</v>
      </c>
      <c r="T33" s="1219" t="s">
        <v>1393</v>
      </c>
      <c r="U33" s="1220">
        <f t="shared" si="13"/>
        <v>100</v>
      </c>
      <c r="V33" s="1219" t="s">
        <v>1393</v>
      </c>
      <c r="W33" s="1220">
        <f t="shared" si="14"/>
        <v>100</v>
      </c>
      <c r="X33" s="1214"/>
      <c r="Y33" s="3387"/>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87"/>
      <c r="Q34" s="625">
        <f t="shared" si="11"/>
        <v>111</v>
      </c>
      <c r="R34" s="1219" t="s">
        <v>1393</v>
      </c>
      <c r="S34" s="1220">
        <f t="shared" si="12"/>
        <v>100</v>
      </c>
      <c r="T34" s="1219" t="s">
        <v>1393</v>
      </c>
      <c r="U34" s="1220">
        <f t="shared" si="13"/>
        <v>100</v>
      </c>
      <c r="V34" s="1219" t="s">
        <v>1393</v>
      </c>
      <c r="W34" s="1220">
        <f t="shared" si="14"/>
        <v>100</v>
      </c>
      <c r="X34" s="1214"/>
      <c r="Y34" s="3387"/>
      <c r="Z34" s="1204">
        <f t="shared" si="15"/>
        <v>111</v>
      </c>
      <c r="AA34" s="1204">
        <f t="shared" si="3"/>
        <v>1</v>
      </c>
      <c r="AB34" s="1204">
        <f t="shared" si="4"/>
        <v>1</v>
      </c>
      <c r="AC34" s="1204">
        <f t="shared" si="5"/>
        <v>1</v>
      </c>
    </row>
    <row r="35" spans="1:30" ht="15">
      <c r="A35" s="1105" t="s">
        <v>1437</v>
      </c>
      <c r="B35" s="1398"/>
      <c r="C35" s="1399" t="s">
        <v>124</v>
      </c>
      <c r="D35" s="1108"/>
      <c r="E35" s="1109"/>
      <c r="F35" s="1110"/>
      <c r="G35" s="1111"/>
      <c r="H35" s="1112"/>
      <c r="I35" s="1109"/>
      <c r="J35" s="1112"/>
      <c r="K35" s="1195"/>
      <c r="L35" s="1196"/>
      <c r="M35" s="1122"/>
      <c r="N35" s="1122"/>
      <c r="O35" s="1122"/>
      <c r="P35" s="3378" t="str">
        <f>A35</f>
        <v>成交单价（元/平方米）</v>
      </c>
      <c r="Q35" s="3378"/>
      <c r="R35" s="3379">
        <f>E35</f>
        <v>0</v>
      </c>
      <c r="S35" s="3379"/>
      <c r="T35" s="3379">
        <f>G35</f>
        <v>0</v>
      </c>
      <c r="U35" s="3379"/>
      <c r="V35" s="3379">
        <f>I35</f>
        <v>0</v>
      </c>
      <c r="W35" s="3379"/>
      <c r="X35" s="1162"/>
      <c r="Y35" s="1229"/>
      <c r="Z35" s="1162"/>
      <c r="AA35" s="1162"/>
      <c r="AB35" s="1162"/>
      <c r="AC35" s="1162"/>
    </row>
    <row r="36" spans="1:30" ht="15">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14" t="str">
        <f>A37</f>
        <v>估价对象XX用房的比较价值（楼面单价，元/平方米）</v>
      </c>
      <c r="Q37" s="3415"/>
      <c r="R37" s="3446" t="e">
        <f>IF(F1="售价",ROUND(IF(D36="简单平均",AVERAGE(R36:W36),R36*F36+T36*H36+V36*J36),0),ROUND(IF(D36="简单平均",AVERAGE(R36:V36),R36*F36+T36*H36+V36*J36),1))</f>
        <v>#DIV/0!</v>
      </c>
      <c r="S37" s="3446"/>
      <c r="T37" s="3446"/>
      <c r="U37" s="3446"/>
      <c r="V37" s="3446"/>
      <c r="W37" s="3446"/>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4" t="s">
        <v>1391</v>
      </c>
      <c r="B46" s="1405"/>
      <c r="C46" s="1406" t="str">
        <f>YEAR(C7)&amp;"-"&amp;MONTH(C7)</f>
        <v>2025-11</v>
      </c>
      <c r="D46" s="1407">
        <f>EDATE(C46,-1)</f>
        <v>45931</v>
      </c>
      <c r="E46" s="1407">
        <f t="shared" ref="E46:O46" si="16">EDATE(D46,-1)</f>
        <v>45901</v>
      </c>
      <c r="F46" s="1407">
        <f t="shared" si="16"/>
        <v>45870</v>
      </c>
      <c r="G46" s="1407">
        <f t="shared" si="16"/>
        <v>45839</v>
      </c>
      <c r="H46" s="1407">
        <f t="shared" si="16"/>
        <v>45809</v>
      </c>
      <c r="I46" s="1407">
        <f t="shared" si="16"/>
        <v>45778</v>
      </c>
      <c r="J46" s="1407">
        <f t="shared" si="16"/>
        <v>45748</v>
      </c>
      <c r="K46" s="1407">
        <f t="shared" si="16"/>
        <v>45717</v>
      </c>
      <c r="L46" s="1407">
        <f t="shared" si="16"/>
        <v>45689</v>
      </c>
      <c r="M46" s="1407">
        <f t="shared" si="16"/>
        <v>45658</v>
      </c>
      <c r="N46" s="1407">
        <f t="shared" si="16"/>
        <v>45627</v>
      </c>
      <c r="O46" s="1407">
        <f t="shared" si="16"/>
        <v>45597</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45973</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5">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75" t="s">
        <v>1397</v>
      </c>
      <c r="Q8" s="3376"/>
      <c r="R8" s="1215" t="s">
        <v>1393</v>
      </c>
      <c r="S8" s="1216">
        <f t="shared" si="0"/>
        <v>0</v>
      </c>
      <c r="T8" s="1215" t="s">
        <v>1393</v>
      </c>
      <c r="U8" s="1216">
        <f t="shared" si="1"/>
        <v>0</v>
      </c>
      <c r="V8" s="1215" t="s">
        <v>1393</v>
      </c>
      <c r="W8" s="1216">
        <f t="shared" si="2"/>
        <v>0</v>
      </c>
      <c r="X8" s="1217"/>
      <c r="Y8" s="3375" t="s">
        <v>1397</v>
      </c>
      <c r="Z8" s="3376"/>
      <c r="AA8" s="1227" t="e">
        <f t="shared" ref="AA8:AA45" si="3">D8/F8</f>
        <v>#DIV/0!</v>
      </c>
      <c r="AB8" s="1227" t="e">
        <f t="shared" ref="AB8:AB45" si="4">D8/H8</f>
        <v>#DIV/0!</v>
      </c>
      <c r="AC8" s="1227" t="e">
        <f t="shared" ref="AC8:AC45" si="5">D8/J8</f>
        <v>#DIV/0!</v>
      </c>
    </row>
    <row r="9" spans="1:29" s="1008" customFormat="1">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78"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110</v>
      </c>
      <c r="G10" s="1334"/>
      <c r="H10" s="1048">
        <f>ROUND(100/'数据-取费表'!G16,0)</f>
        <v>110</v>
      </c>
      <c r="I10" s="1334"/>
      <c r="J10" s="1048">
        <f>ROUND(100/'数据-取费表'!G16,0)</f>
        <v>110</v>
      </c>
      <c r="K10" s="1177"/>
      <c r="L10" s="1178"/>
      <c r="M10" s="1179"/>
      <c r="N10" s="1179"/>
      <c r="O10" s="1180"/>
      <c r="P10" s="3378"/>
      <c r="Q10" s="794" t="str">
        <f t="shared" si="6"/>
        <v>土地使用年限（年）</v>
      </c>
      <c r="R10" s="1215" t="s">
        <v>1393</v>
      </c>
      <c r="S10" s="1216">
        <f t="shared" si="0"/>
        <v>110</v>
      </c>
      <c r="T10" s="1215" t="s">
        <v>1393</v>
      </c>
      <c r="U10" s="1216">
        <f t="shared" si="1"/>
        <v>110</v>
      </c>
      <c r="V10" s="1215" t="s">
        <v>1393</v>
      </c>
      <c r="W10" s="1216">
        <f t="shared" si="2"/>
        <v>110</v>
      </c>
      <c r="X10" s="1217"/>
      <c r="Y10" s="3349"/>
      <c r="Z10" s="1227" t="str">
        <f t="shared" si="7"/>
        <v>土地使用年限（年）</v>
      </c>
      <c r="AA10" s="1227">
        <f t="shared" si="3"/>
        <v>0.90909090909090906</v>
      </c>
      <c r="AB10" s="1227">
        <f t="shared" si="4"/>
        <v>0.90909090909090906</v>
      </c>
      <c r="AC10" s="1227">
        <f t="shared" si="5"/>
        <v>0.90909090909090906</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78"/>
      <c r="Q11" s="794" t="str">
        <f t="shared" si="6"/>
        <v>容积率</v>
      </c>
      <c r="R11" s="1215" t="s">
        <v>1393</v>
      </c>
      <c r="S11" s="1216" t="e">
        <f t="shared" si="0"/>
        <v>#N/A</v>
      </c>
      <c r="T11" s="1215" t="s">
        <v>1393</v>
      </c>
      <c r="U11" s="1216" t="e">
        <f t="shared" si="1"/>
        <v>#N/A</v>
      </c>
      <c r="V11" s="1215" t="s">
        <v>1393</v>
      </c>
      <c r="W11" s="1216" t="e">
        <f t="shared" si="2"/>
        <v>#N/A</v>
      </c>
      <c r="X11" s="1217"/>
      <c r="Y11" s="3349"/>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78"/>
      <c r="Q12" s="794" t="str">
        <f t="shared" si="6"/>
        <v>配建</v>
      </c>
      <c r="R12" s="1215" t="s">
        <v>1393</v>
      </c>
      <c r="S12" s="1216">
        <f t="shared" si="0"/>
        <v>100</v>
      </c>
      <c r="T12" s="1215" t="s">
        <v>1393</v>
      </c>
      <c r="U12" s="1216">
        <f t="shared" si="1"/>
        <v>100</v>
      </c>
      <c r="V12" s="1215" t="s">
        <v>1393</v>
      </c>
      <c r="W12" s="1216">
        <f t="shared" si="2"/>
        <v>100</v>
      </c>
      <c r="X12" s="1217"/>
      <c r="Y12" s="3349"/>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78"/>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85" t="s">
        <v>1406</v>
      </c>
      <c r="Q15" s="625" t="str">
        <f t="shared" si="6"/>
        <v>居住社区成熟度</v>
      </c>
      <c r="R15" s="1219" t="s">
        <v>1393</v>
      </c>
      <c r="S15" s="1220">
        <f t="shared" si="0"/>
        <v>100</v>
      </c>
      <c r="T15" s="1219" t="s">
        <v>1393</v>
      </c>
      <c r="U15" s="1220">
        <f t="shared" si="1"/>
        <v>100</v>
      </c>
      <c r="V15" s="1219" t="s">
        <v>1393</v>
      </c>
      <c r="W15" s="1220">
        <f t="shared" si="2"/>
        <v>100</v>
      </c>
      <c r="X15" s="1214"/>
      <c r="Y15" s="3385"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86"/>
      <c r="Q16" s="625"/>
      <c r="R16" s="1219"/>
      <c r="S16" s="1220"/>
      <c r="T16" s="1219"/>
      <c r="U16" s="1220"/>
      <c r="V16" s="1219"/>
      <c r="W16" s="1220"/>
      <c r="X16" s="1214"/>
      <c r="Y16" s="3386"/>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86"/>
      <c r="Q17" s="625" t="str">
        <f>B17</f>
        <v>商业繁华度</v>
      </c>
      <c r="R17" s="1219" t="s">
        <v>1393</v>
      </c>
      <c r="S17" s="1220">
        <f>F17</f>
        <v>100</v>
      </c>
      <c r="T17" s="1219" t="s">
        <v>1393</v>
      </c>
      <c r="U17" s="1220">
        <f>H17</f>
        <v>100</v>
      </c>
      <c r="V17" s="1219" t="s">
        <v>1393</v>
      </c>
      <c r="W17" s="1220">
        <f>J17</f>
        <v>100</v>
      </c>
      <c r="X17" s="1214"/>
      <c r="Y17" s="3386"/>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86"/>
      <c r="Q18" s="625"/>
      <c r="R18" s="1219"/>
      <c r="S18" s="1220"/>
      <c r="T18" s="1219"/>
      <c r="U18" s="1220"/>
      <c r="V18" s="1219"/>
      <c r="W18" s="1220"/>
      <c r="X18" s="1214"/>
      <c r="Y18" s="3386"/>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86"/>
      <c r="Q19" s="625" t="str">
        <f>B19</f>
        <v>办公集聚程度</v>
      </c>
      <c r="R19" s="1219" t="s">
        <v>1393</v>
      </c>
      <c r="S19" s="1220">
        <f>F19</f>
        <v>100</v>
      </c>
      <c r="T19" s="1219" t="s">
        <v>1393</v>
      </c>
      <c r="U19" s="1220">
        <f>H19</f>
        <v>100</v>
      </c>
      <c r="V19" s="1219" t="s">
        <v>1393</v>
      </c>
      <c r="W19" s="1220">
        <f>J19</f>
        <v>100</v>
      </c>
      <c r="X19" s="1214"/>
      <c r="Y19" s="3386"/>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86"/>
      <c r="Q20" s="625"/>
      <c r="R20" s="1219"/>
      <c r="S20" s="1220"/>
      <c r="T20" s="1219"/>
      <c r="U20" s="1220"/>
      <c r="V20" s="1219"/>
      <c r="W20" s="1220"/>
      <c r="X20" s="1214"/>
      <c r="Y20" s="3386"/>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86"/>
      <c r="Q21" s="625" t="str">
        <f>B21</f>
        <v>交通便捷度</v>
      </c>
      <c r="R21" s="1219" t="s">
        <v>1393</v>
      </c>
      <c r="S21" s="1220">
        <f>F21</f>
        <v>100</v>
      </c>
      <c r="T21" s="1219" t="s">
        <v>1393</v>
      </c>
      <c r="U21" s="1220">
        <f>H21</f>
        <v>100</v>
      </c>
      <c r="V21" s="1219" t="s">
        <v>1393</v>
      </c>
      <c r="W21" s="1220">
        <f>J21</f>
        <v>100</v>
      </c>
      <c r="X21" s="1214"/>
      <c r="Y21" s="3386"/>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86"/>
      <c r="Q22" s="625"/>
      <c r="R22" s="1219"/>
      <c r="S22" s="1220"/>
      <c r="T22" s="1219"/>
      <c r="U22" s="1220"/>
      <c r="V22" s="1219"/>
      <c r="W22" s="1220"/>
      <c r="X22" s="1214"/>
      <c r="Y22" s="3386"/>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86"/>
      <c r="Q23" s="625" t="str">
        <f t="shared" ref="Q23:Q38" si="8">B23</f>
        <v>区域土地利用方向</v>
      </c>
      <c r="R23" s="1219" t="s">
        <v>1393</v>
      </c>
      <c r="S23" s="1220">
        <f>F23</f>
        <v>100</v>
      </c>
      <c r="T23" s="1219" t="s">
        <v>1393</v>
      </c>
      <c r="U23" s="1220">
        <f>H23</f>
        <v>100</v>
      </c>
      <c r="V23" s="1219" t="s">
        <v>1393</v>
      </c>
      <c r="W23" s="1220">
        <f>J23</f>
        <v>100</v>
      </c>
      <c r="X23" s="1214"/>
      <c r="Y23" s="3386"/>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86"/>
      <c r="Q24" s="625"/>
      <c r="R24" s="1219"/>
      <c r="S24" s="1220"/>
      <c r="T24" s="1219"/>
      <c r="U24" s="1220"/>
      <c r="V24" s="1219"/>
      <c r="W24" s="1220"/>
      <c r="X24" s="1214"/>
      <c r="Y24" s="3386"/>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86"/>
      <c r="Q25" s="625" t="str">
        <f t="shared" si="8"/>
        <v>自然及人文环境状况</v>
      </c>
      <c r="R25" s="1219" t="s">
        <v>1393</v>
      </c>
      <c r="S25" s="1220">
        <f>F25</f>
        <v>100</v>
      </c>
      <c r="T25" s="1219" t="s">
        <v>1393</v>
      </c>
      <c r="U25" s="1220">
        <f>H25</f>
        <v>100</v>
      </c>
      <c r="V25" s="1219" t="s">
        <v>1393</v>
      </c>
      <c r="W25" s="1220">
        <f>J25</f>
        <v>100</v>
      </c>
      <c r="X25" s="1214"/>
      <c r="Y25" s="3386"/>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86"/>
      <c r="Q26" s="625"/>
      <c r="R26" s="1219"/>
      <c r="S26" s="1220"/>
      <c r="T26" s="1219"/>
      <c r="U26" s="1220"/>
      <c r="V26" s="1219"/>
      <c r="W26" s="1220"/>
      <c r="X26" s="1214"/>
      <c r="Y26" s="3386"/>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86"/>
      <c r="Q27" s="794" t="str">
        <f t="shared" si="8"/>
        <v>公共配套设施</v>
      </c>
      <c r="R27" s="1215" t="s">
        <v>1393</v>
      </c>
      <c r="S27" s="1216">
        <f>F27</f>
        <v>100</v>
      </c>
      <c r="T27" s="1215" t="s">
        <v>1393</v>
      </c>
      <c r="U27" s="1216">
        <f>H27</f>
        <v>100</v>
      </c>
      <c r="V27" s="1215" t="s">
        <v>1393</v>
      </c>
      <c r="W27" s="1216">
        <f>J27</f>
        <v>100</v>
      </c>
      <c r="X27" s="1217"/>
      <c r="Y27" s="3386"/>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86"/>
      <c r="Q28" s="794"/>
      <c r="R28" s="1215"/>
      <c r="S28" s="1216"/>
      <c r="T28" s="1215"/>
      <c r="U28" s="1216"/>
      <c r="V28" s="1215"/>
      <c r="W28" s="1216"/>
      <c r="X28" s="1217"/>
      <c r="Y28" s="3386"/>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86"/>
      <c r="Q29" s="794" t="str">
        <f t="shared" ref="Q29" si="9">B29</f>
        <v>基础设施水平</v>
      </c>
      <c r="R29" s="1215" t="s">
        <v>1393</v>
      </c>
      <c r="S29" s="1216">
        <f>F29</f>
        <v>100</v>
      </c>
      <c r="T29" s="1215" t="s">
        <v>1393</v>
      </c>
      <c r="U29" s="1216">
        <f>H29</f>
        <v>100</v>
      </c>
      <c r="V29" s="1215" t="s">
        <v>1393</v>
      </c>
      <c r="W29" s="1216">
        <f>J29</f>
        <v>100</v>
      </c>
      <c r="X29" s="1217"/>
      <c r="Y29" s="3386"/>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86"/>
      <c r="Q30" s="794"/>
      <c r="R30" s="1215"/>
      <c r="S30" s="1216"/>
      <c r="T30" s="1215"/>
      <c r="U30" s="1216"/>
      <c r="V30" s="1215"/>
      <c r="W30" s="1216"/>
      <c r="X30" s="1217"/>
      <c r="Y30" s="3386"/>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86"/>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86"/>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86"/>
      <c r="Q32" s="625" t="str">
        <f t="shared" si="8"/>
        <v>毗邻道路的类型与等级</v>
      </c>
      <c r="R32" s="1219" t="s">
        <v>1393</v>
      </c>
      <c r="S32" s="1220">
        <f t="shared" si="10"/>
        <v>100</v>
      </c>
      <c r="T32" s="1219" t="s">
        <v>1393</v>
      </c>
      <c r="U32" s="1220">
        <f t="shared" si="11"/>
        <v>100</v>
      </c>
      <c r="V32" s="1219" t="s">
        <v>1393</v>
      </c>
      <c r="W32" s="1220">
        <f t="shared" si="12"/>
        <v>100</v>
      </c>
      <c r="X32" s="1214"/>
      <c r="Y32" s="3386"/>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86"/>
      <c r="Q33" s="625"/>
      <c r="R33" s="1219"/>
      <c r="S33" s="1220"/>
      <c r="T33" s="1219"/>
      <c r="U33" s="1220"/>
      <c r="V33" s="1219"/>
      <c r="W33" s="1220"/>
      <c r="X33" s="1214"/>
      <c r="Y33" s="3386"/>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86"/>
      <c r="Q34" s="625" t="str">
        <f t="shared" si="8"/>
        <v>土地级别</v>
      </c>
      <c r="R34" s="1219" t="s">
        <v>1393</v>
      </c>
      <c r="S34" s="1220">
        <f t="shared" si="10"/>
        <v>100</v>
      </c>
      <c r="T34" s="1219" t="s">
        <v>1393</v>
      </c>
      <c r="U34" s="1220">
        <f t="shared" si="11"/>
        <v>100</v>
      </c>
      <c r="V34" s="1219" t="s">
        <v>1393</v>
      </c>
      <c r="W34" s="1220">
        <f t="shared" si="12"/>
        <v>100</v>
      </c>
      <c r="X34" s="1214"/>
      <c r="Y34" s="3386"/>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86"/>
      <c r="Q35" s="625">
        <f t="shared" si="8"/>
        <v>111</v>
      </c>
      <c r="R35" s="1219" t="s">
        <v>1393</v>
      </c>
      <c r="S35" s="1220">
        <f t="shared" si="10"/>
        <v>100</v>
      </c>
      <c r="T35" s="1219" t="s">
        <v>1393</v>
      </c>
      <c r="U35" s="1220">
        <f t="shared" si="11"/>
        <v>100</v>
      </c>
      <c r="V35" s="1219" t="s">
        <v>1393</v>
      </c>
      <c r="W35" s="1220">
        <f t="shared" si="12"/>
        <v>100</v>
      </c>
      <c r="X35" s="1214"/>
      <c r="Y35" s="3386"/>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45" t="s">
        <v>1421</v>
      </c>
      <c r="Q36" s="625">
        <f t="shared" si="8"/>
        <v>111</v>
      </c>
      <c r="R36" s="1219" t="s">
        <v>1393</v>
      </c>
      <c r="S36" s="1220">
        <f t="shared" si="10"/>
        <v>100</v>
      </c>
      <c r="T36" s="1219" t="s">
        <v>1393</v>
      </c>
      <c r="U36" s="1220">
        <f t="shared" si="11"/>
        <v>100</v>
      </c>
      <c r="V36" s="1219" t="s">
        <v>1393</v>
      </c>
      <c r="W36" s="1220">
        <f t="shared" si="12"/>
        <v>100</v>
      </c>
      <c r="X36" s="1214"/>
      <c r="Y36" s="3387"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87"/>
      <c r="Q37" s="625">
        <f t="shared" si="8"/>
        <v>111</v>
      </c>
      <c r="R37" s="1221" t="s">
        <v>1393</v>
      </c>
      <c r="S37" s="1222">
        <f t="shared" si="10"/>
        <v>100</v>
      </c>
      <c r="T37" s="1221" t="s">
        <v>1393</v>
      </c>
      <c r="U37" s="1222">
        <f t="shared" si="11"/>
        <v>100</v>
      </c>
      <c r="V37" s="1221" t="s">
        <v>1393</v>
      </c>
      <c r="W37" s="1222">
        <f t="shared" si="12"/>
        <v>100</v>
      </c>
      <c r="X37" s="1223"/>
      <c r="Y37" s="3387"/>
      <c r="Z37" s="1228">
        <f t="shared" si="13"/>
        <v>111</v>
      </c>
      <c r="AA37" s="1204">
        <f t="shared" si="3"/>
        <v>1</v>
      </c>
      <c r="AB37" s="1204">
        <f t="shared" si="4"/>
        <v>1</v>
      </c>
      <c r="AC37" s="1204">
        <f t="shared" si="5"/>
        <v>1</v>
      </c>
    </row>
    <row r="38" spans="1:29" ht="15">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87"/>
      <c r="Q38" s="625" t="str">
        <f t="shared" si="8"/>
        <v>宗地面积</v>
      </c>
      <c r="R38" s="1219" t="s">
        <v>1393</v>
      </c>
      <c r="S38" s="1220" t="e">
        <f t="shared" si="10"/>
        <v>#N/A</v>
      </c>
      <c r="T38" s="1219" t="s">
        <v>1393</v>
      </c>
      <c r="U38" s="1220" t="e">
        <f t="shared" si="11"/>
        <v>#N/A</v>
      </c>
      <c r="V38" s="1219" t="s">
        <v>1393</v>
      </c>
      <c r="W38" s="1220" t="e">
        <f t="shared" si="12"/>
        <v>#N/A</v>
      </c>
      <c r="X38" s="1214"/>
      <c r="Y38" s="3387"/>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87"/>
      <c r="Q39" s="625" t="str">
        <f t="shared" ref="Q39:Q45" si="14">B39</f>
        <v>宗地形状</v>
      </c>
      <c r="R39" s="1219" t="s">
        <v>1393</v>
      </c>
      <c r="S39" s="1220">
        <f t="shared" si="10"/>
        <v>100</v>
      </c>
      <c r="T39" s="1219" t="s">
        <v>1393</v>
      </c>
      <c r="U39" s="1220">
        <f t="shared" si="11"/>
        <v>100</v>
      </c>
      <c r="V39" s="1219" t="s">
        <v>1393</v>
      </c>
      <c r="W39" s="1220">
        <f t="shared" si="12"/>
        <v>100</v>
      </c>
      <c r="X39" s="1214"/>
      <c r="Y39" s="3387"/>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87"/>
      <c r="Q40" s="625" t="str">
        <f t="shared" si="14"/>
        <v>临街宽度及深度</v>
      </c>
      <c r="R40" s="1219" t="s">
        <v>1393</v>
      </c>
      <c r="S40" s="1220">
        <f t="shared" si="10"/>
        <v>100</v>
      </c>
      <c r="T40" s="1219" t="s">
        <v>1393</v>
      </c>
      <c r="U40" s="1220">
        <f t="shared" si="11"/>
        <v>100</v>
      </c>
      <c r="V40" s="1219" t="s">
        <v>1393</v>
      </c>
      <c r="W40" s="1220">
        <f t="shared" si="12"/>
        <v>100</v>
      </c>
      <c r="X40" s="1214"/>
      <c r="Y40" s="3387"/>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87"/>
      <c r="Q41" s="625" t="str">
        <f t="shared" si="14"/>
        <v>宗地开发程度</v>
      </c>
      <c r="R41" s="1215" t="s">
        <v>1393</v>
      </c>
      <c r="S41" s="1216">
        <f t="shared" si="10"/>
        <v>100</v>
      </c>
      <c r="T41" s="1215" t="s">
        <v>1393</v>
      </c>
      <c r="U41" s="1216">
        <f t="shared" si="11"/>
        <v>100</v>
      </c>
      <c r="V41" s="1215" t="s">
        <v>1393</v>
      </c>
      <c r="W41" s="1216">
        <f t="shared" si="12"/>
        <v>100</v>
      </c>
      <c r="X41" s="1217"/>
      <c r="Y41" s="3387"/>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87" t="s">
        <v>1421</v>
      </c>
      <c r="Q42" s="625" t="str">
        <f t="shared" si="14"/>
        <v>工程地质条件</v>
      </c>
      <c r="R42" s="1219" t="s">
        <v>1393</v>
      </c>
      <c r="S42" s="1220">
        <f t="shared" si="10"/>
        <v>100</v>
      </c>
      <c r="T42" s="1219" t="s">
        <v>1393</v>
      </c>
      <c r="U42" s="1220">
        <f t="shared" si="11"/>
        <v>100</v>
      </c>
      <c r="V42" s="1219" t="s">
        <v>1393</v>
      </c>
      <c r="W42" s="1220">
        <f t="shared" si="12"/>
        <v>100</v>
      </c>
      <c r="X42" s="1214"/>
      <c r="Y42" s="3387"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87"/>
      <c r="Q43" s="625">
        <f t="shared" si="14"/>
        <v>111</v>
      </c>
      <c r="R43" s="1219" t="s">
        <v>1393</v>
      </c>
      <c r="S43" s="1220">
        <f t="shared" si="10"/>
        <v>100</v>
      </c>
      <c r="T43" s="1219" t="s">
        <v>1393</v>
      </c>
      <c r="U43" s="1220">
        <f t="shared" si="11"/>
        <v>100</v>
      </c>
      <c r="V43" s="1219" t="s">
        <v>1393</v>
      </c>
      <c r="W43" s="1220">
        <f t="shared" si="12"/>
        <v>100</v>
      </c>
      <c r="X43" s="1214"/>
      <c r="Y43" s="3387"/>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87"/>
      <c r="Q44" s="625">
        <f t="shared" si="14"/>
        <v>111</v>
      </c>
      <c r="R44" s="1219" t="s">
        <v>1393</v>
      </c>
      <c r="S44" s="1220">
        <f t="shared" si="10"/>
        <v>100</v>
      </c>
      <c r="T44" s="1219" t="s">
        <v>1393</v>
      </c>
      <c r="U44" s="1220">
        <f t="shared" si="11"/>
        <v>100</v>
      </c>
      <c r="V44" s="1219" t="s">
        <v>1393</v>
      </c>
      <c r="W44" s="1220">
        <f t="shared" si="12"/>
        <v>100</v>
      </c>
      <c r="X44" s="1214"/>
      <c r="Y44" s="3387"/>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87"/>
      <c r="Q45" s="625">
        <f t="shared" si="14"/>
        <v>111</v>
      </c>
      <c r="R45" s="1221" t="s">
        <v>1393</v>
      </c>
      <c r="S45" s="1222">
        <f t="shared" si="10"/>
        <v>100</v>
      </c>
      <c r="T45" s="1221" t="s">
        <v>1393</v>
      </c>
      <c r="U45" s="1222">
        <f t="shared" si="11"/>
        <v>100</v>
      </c>
      <c r="V45" s="1221" t="s">
        <v>1393</v>
      </c>
      <c r="W45" s="1222">
        <f t="shared" si="12"/>
        <v>100</v>
      </c>
      <c r="X45" s="1223"/>
      <c r="Y45" s="3387"/>
      <c r="Z45" s="1228">
        <f t="shared" si="13"/>
        <v>111</v>
      </c>
      <c r="AA45" s="1204">
        <f t="shared" si="3"/>
        <v>1</v>
      </c>
      <c r="AB45" s="1204">
        <f t="shared" si="4"/>
        <v>1</v>
      </c>
      <c r="AC45" s="1204">
        <f t="shared" si="5"/>
        <v>1</v>
      </c>
    </row>
    <row r="46" spans="1:29" ht="15">
      <c r="A46" s="1105" t="s">
        <v>1648</v>
      </c>
      <c r="B46" s="1106" t="s">
        <v>1667</v>
      </c>
      <c r="C46" s="1107" t="s">
        <v>124</v>
      </c>
      <c r="D46" s="1108"/>
      <c r="E46" s="1109"/>
      <c r="F46" s="1110"/>
      <c r="G46" s="1111"/>
      <c r="H46" s="1112"/>
      <c r="I46" s="1109"/>
      <c r="J46" s="1112"/>
      <c r="K46" s="1195"/>
      <c r="L46" s="1196"/>
      <c r="M46" s="1122"/>
      <c r="N46" s="1122"/>
      <c r="O46" s="1122"/>
      <c r="P46" s="3378" t="str">
        <f>A46</f>
        <v>成交单价</v>
      </c>
      <c r="Q46" s="3378"/>
      <c r="R46" s="3379">
        <f>E46</f>
        <v>0</v>
      </c>
      <c r="S46" s="3379"/>
      <c r="T46" s="3379">
        <f>G46</f>
        <v>0</v>
      </c>
      <c r="U46" s="3379"/>
      <c r="V46" s="3379">
        <f>I46</f>
        <v>0</v>
      </c>
      <c r="W46" s="3379"/>
      <c r="X46" s="1162"/>
      <c r="Y46" s="1229"/>
      <c r="Z46" s="1162"/>
      <c r="AA46" s="1162"/>
      <c r="AB46" s="1162"/>
      <c r="AC46" s="1162"/>
    </row>
    <row r="47" spans="1:29" ht="15">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78" t="str">
        <f>A47</f>
        <v>比较价值（元/平方米）</v>
      </c>
      <c r="Q47" s="3378"/>
      <c r="R47" s="3448" t="e">
        <f>ROUND(PRODUCT(R46,AA7:AA45),0)</f>
        <v>#DIV/0!</v>
      </c>
      <c r="S47" s="3448"/>
      <c r="T47" s="3448" t="e">
        <f>ROUND(PRODUCT(T46,AB7:AB45),0)</f>
        <v>#DIV/0!</v>
      </c>
      <c r="U47" s="3448"/>
      <c r="V47" s="3448" t="e">
        <f>ROUND(PRODUCT(V46,AC7:AC45),0)</f>
        <v>#DIV/0!</v>
      </c>
      <c r="W47" s="3448"/>
      <c r="X47" s="1162"/>
      <c r="Y47" s="1162"/>
      <c r="Z47" s="1162"/>
      <c r="AA47" s="1162"/>
      <c r="AB47" s="1162"/>
      <c r="AC47" s="1162"/>
    </row>
    <row r="48" spans="1:29" ht="15">
      <c r="A48" s="1119" t="s">
        <v>1668</v>
      </c>
      <c r="B48" s="1120"/>
      <c r="C48" s="1121" t="e">
        <f>R48</f>
        <v>#DIV/0!</v>
      </c>
      <c r="D48" s="1121"/>
      <c r="E48" s="1121"/>
      <c r="F48" s="1121"/>
      <c r="G48" s="1121"/>
      <c r="H48" s="1121"/>
      <c r="I48" s="1121"/>
      <c r="J48" s="1121"/>
      <c r="K48" s="1198"/>
      <c r="L48" s="1196"/>
      <c r="M48" s="1122"/>
      <c r="N48" s="1122"/>
      <c r="O48" s="1122"/>
      <c r="P48" s="3414" t="str">
        <f>A48</f>
        <v>估价对象XX用房的比较价值（楼面单价，元/平方米）</v>
      </c>
      <c r="Q48" s="3415"/>
      <c r="R48" s="3449" t="e">
        <f>ROUND(IF(D47="简单平均",AVERAGE(R47:W47),R47*F47+T47*H47+V47*J47),0)</f>
        <v>#DIV/0!</v>
      </c>
      <c r="S48" s="3449"/>
      <c r="T48" s="3449"/>
      <c r="U48" s="3449"/>
      <c r="V48" s="3449"/>
      <c r="W48" s="3449"/>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363" t="s">
        <v>1675</v>
      </c>
      <c r="H55" s="3447"/>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134.04</v>
      </c>
      <c r="F56" s="1345" t="e">
        <f t="shared" ref="F56:F64" si="15">ROUND(B56*E56/10000,0)</f>
        <v>#DIV/0!</v>
      </c>
      <c r="G56" s="3377"/>
      <c r="H56" s="3378"/>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四级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四级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四级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0.3</v>
      </c>
      <c r="D60" s="1143">
        <v>0.25</v>
      </c>
      <c r="E60" s="359">
        <f>'数据-汇总表'!E11</f>
        <v>0</v>
      </c>
      <c r="F60" s="1345" t="e">
        <f t="shared" si="15"/>
        <v>#DIV/0!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0.3</v>
      </c>
      <c r="D61" s="1143">
        <v>0.25</v>
      </c>
      <c r="E61" s="359">
        <f>'数据-汇总表'!E12</f>
        <v>0</v>
      </c>
      <c r="F61" s="1345" t="e">
        <f t="shared" si="15"/>
        <v>#DIV/0!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四级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0.2</v>
      </c>
      <c r="D64" s="1143">
        <v>0.25</v>
      </c>
      <c r="E64" s="359">
        <f>'数据-汇总表'!E15</f>
        <v>0</v>
      </c>
      <c r="F64" s="1345" t="e">
        <f t="shared" si="15"/>
        <v>#DIV/0!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134.04</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2025-11-1</v>
      </c>
      <c r="D67" s="1160">
        <f>EDATE(C67,-3)</f>
        <v>45870</v>
      </c>
      <c r="E67" s="1160">
        <f>EDATE(D67,-3)</f>
        <v>45778</v>
      </c>
      <c r="F67" s="1160">
        <f t="shared" ref="F67:O67" si="18">EDATE(E67,-3)</f>
        <v>45689</v>
      </c>
      <c r="G67" s="1160">
        <f t="shared" si="18"/>
        <v>45597</v>
      </c>
      <c r="H67" s="1160">
        <f t="shared" si="18"/>
        <v>45505</v>
      </c>
      <c r="I67" s="1160">
        <f t="shared" si="18"/>
        <v>45413</v>
      </c>
      <c r="J67" s="1160">
        <f t="shared" si="18"/>
        <v>45323</v>
      </c>
      <c r="K67" s="1160">
        <f t="shared" si="18"/>
        <v>45231</v>
      </c>
      <c r="L67" s="1160">
        <f t="shared" si="18"/>
        <v>45139</v>
      </c>
      <c r="M67" s="1160">
        <f t="shared" si="18"/>
        <v>45047</v>
      </c>
      <c r="N67" s="1160">
        <f t="shared" si="18"/>
        <v>44958</v>
      </c>
      <c r="O67" s="1160">
        <f t="shared" si="18"/>
        <v>44866</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5">
      <c r="A6" s="1031"/>
      <c r="B6" s="1032"/>
      <c r="C6" s="3450" t="s">
        <v>1699</v>
      </c>
      <c r="D6" s="3451"/>
      <c r="E6" s="3452" t="s">
        <v>1699</v>
      </c>
      <c r="F6" s="3453"/>
      <c r="G6" s="3450" t="s">
        <v>1699</v>
      </c>
      <c r="H6" s="3451"/>
      <c r="I6" s="3450" t="s">
        <v>1699</v>
      </c>
      <c r="J6" s="3451"/>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45973</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75" t="s">
        <v>1397</v>
      </c>
      <c r="Q8" s="3376"/>
      <c r="R8" s="1215" t="s">
        <v>1393</v>
      </c>
      <c r="S8" s="1216">
        <f t="shared" si="0"/>
        <v>0</v>
      </c>
      <c r="T8" s="1215" t="s">
        <v>1393</v>
      </c>
      <c r="U8" s="1216">
        <f t="shared" si="1"/>
        <v>0</v>
      </c>
      <c r="V8" s="1215" t="s">
        <v>1393</v>
      </c>
      <c r="W8" s="1216">
        <f t="shared" si="2"/>
        <v>0</v>
      </c>
      <c r="X8" s="1217"/>
      <c r="Y8" s="3375" t="s">
        <v>1397</v>
      </c>
      <c r="Z8" s="3376"/>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78"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110</v>
      </c>
      <c r="G10" s="1047"/>
      <c r="H10" s="1048">
        <f>ROUND(100/'数据-取费表'!G16,0)</f>
        <v>110</v>
      </c>
      <c r="I10" s="1047"/>
      <c r="J10" s="1048">
        <f>ROUND(100/'数据-取费表'!G16,0)</f>
        <v>110</v>
      </c>
      <c r="K10" s="1177"/>
      <c r="L10" s="1178"/>
      <c r="M10" s="1179"/>
      <c r="N10" s="1179"/>
      <c r="O10" s="1180"/>
      <c r="P10" s="3378"/>
      <c r="Q10" s="794" t="str">
        <f t="shared" si="6"/>
        <v>土地使用年限（年）</v>
      </c>
      <c r="R10" s="1215" t="s">
        <v>1393</v>
      </c>
      <c r="S10" s="1216">
        <f t="shared" si="0"/>
        <v>110</v>
      </c>
      <c r="T10" s="1215" t="s">
        <v>1393</v>
      </c>
      <c r="U10" s="1216">
        <f t="shared" si="1"/>
        <v>110</v>
      </c>
      <c r="V10" s="1215" t="s">
        <v>1393</v>
      </c>
      <c r="W10" s="1216">
        <f t="shared" si="2"/>
        <v>110</v>
      </c>
      <c r="X10" s="1217"/>
      <c r="Y10" s="3349"/>
      <c r="Z10" s="1227" t="str">
        <f t="shared" si="7"/>
        <v>土地使用年限（年）</v>
      </c>
      <c r="AA10" s="1227">
        <f t="shared" si="3"/>
        <v>0.90909090909090906</v>
      </c>
      <c r="AB10" s="1227">
        <f t="shared" si="4"/>
        <v>0.90909090909090906</v>
      </c>
      <c r="AC10" s="1227">
        <f t="shared" si="5"/>
        <v>0.90909090909090906</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78"/>
      <c r="Q11" s="794" t="str">
        <f t="shared" si="6"/>
        <v>容积率</v>
      </c>
      <c r="R11" s="1215" t="s">
        <v>1393</v>
      </c>
      <c r="S11" s="1216" t="e">
        <f t="shared" si="0"/>
        <v>#N/A</v>
      </c>
      <c r="T11" s="1215" t="s">
        <v>1393</v>
      </c>
      <c r="U11" s="1216" t="e">
        <f t="shared" si="1"/>
        <v>#N/A</v>
      </c>
      <c r="V11" s="1215" t="s">
        <v>1393</v>
      </c>
      <c r="W11" s="1216" t="e">
        <f t="shared" si="2"/>
        <v>#N/A</v>
      </c>
      <c r="X11" s="1217"/>
      <c r="Y11" s="3349"/>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78"/>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85" t="s">
        <v>1406</v>
      </c>
      <c r="Q15" s="625" t="str">
        <f t="shared" si="6"/>
        <v>产业集聚程度</v>
      </c>
      <c r="R15" s="1219" t="s">
        <v>1393</v>
      </c>
      <c r="S15" s="1220">
        <f t="shared" si="0"/>
        <v>100</v>
      </c>
      <c r="T15" s="1219" t="s">
        <v>1393</v>
      </c>
      <c r="U15" s="1220">
        <f t="shared" si="1"/>
        <v>100</v>
      </c>
      <c r="V15" s="1219" t="s">
        <v>1393</v>
      </c>
      <c r="W15" s="1220">
        <f t="shared" si="2"/>
        <v>100</v>
      </c>
      <c r="X15" s="1214"/>
      <c r="Y15" s="3385"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86"/>
      <c r="Q16" s="625"/>
      <c r="R16" s="1219"/>
      <c r="S16" s="1220"/>
      <c r="T16" s="1219"/>
      <c r="U16" s="1220"/>
      <c r="V16" s="1219"/>
      <c r="W16" s="1220"/>
      <c r="X16" s="1214"/>
      <c r="Y16" s="3386"/>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86"/>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86"/>
      <c r="Q18" s="625"/>
      <c r="R18" s="1219"/>
      <c r="S18" s="1220"/>
      <c r="T18" s="1219"/>
      <c r="U18" s="1220"/>
      <c r="V18" s="1219"/>
      <c r="W18" s="1220"/>
      <c r="X18" s="1214"/>
      <c r="Y18" s="3386"/>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86"/>
      <c r="Q19" s="625" t="str">
        <f t="shared" ref="Q19:Q34" si="8">B19</f>
        <v>区域土地利用方向</v>
      </c>
      <c r="R19" s="1219" t="s">
        <v>1393</v>
      </c>
      <c r="S19" s="1220">
        <f>F19</f>
        <v>100</v>
      </c>
      <c r="T19" s="1219" t="s">
        <v>1393</v>
      </c>
      <c r="U19" s="1220">
        <f>H19</f>
        <v>100</v>
      </c>
      <c r="V19" s="1219" t="s">
        <v>1393</v>
      </c>
      <c r="W19" s="1220">
        <f>J19</f>
        <v>100</v>
      </c>
      <c r="X19" s="1214"/>
      <c r="Y19" s="3386"/>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86"/>
      <c r="Q20" s="625"/>
      <c r="R20" s="1219"/>
      <c r="S20" s="1220"/>
      <c r="T20" s="1219"/>
      <c r="U20" s="1220"/>
      <c r="V20" s="1219"/>
      <c r="W20" s="1220"/>
      <c r="X20" s="1214"/>
      <c r="Y20" s="3386"/>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86"/>
      <c r="Q21" s="625" t="str">
        <f t="shared" si="8"/>
        <v>环境状况</v>
      </c>
      <c r="R21" s="1219" t="s">
        <v>1393</v>
      </c>
      <c r="S21" s="1220">
        <f>F21</f>
        <v>100</v>
      </c>
      <c r="T21" s="1219" t="s">
        <v>1393</v>
      </c>
      <c r="U21" s="1220">
        <f>H21</f>
        <v>100</v>
      </c>
      <c r="V21" s="1219" t="s">
        <v>1393</v>
      </c>
      <c r="W21" s="1220">
        <f>J21</f>
        <v>100</v>
      </c>
      <c r="X21" s="1214"/>
      <c r="Y21" s="3386"/>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86"/>
      <c r="Q22" s="625"/>
      <c r="R22" s="1219"/>
      <c r="S22" s="1220"/>
      <c r="T22" s="1219"/>
      <c r="U22" s="1220"/>
      <c r="V22" s="1219"/>
      <c r="W22" s="1220"/>
      <c r="X22" s="1214"/>
      <c r="Y22" s="3386"/>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86"/>
      <c r="Q23" s="794" t="str">
        <f t="shared" si="8"/>
        <v>公共配套设施</v>
      </c>
      <c r="R23" s="1215" t="s">
        <v>1393</v>
      </c>
      <c r="S23" s="1216">
        <f>F23</f>
        <v>100</v>
      </c>
      <c r="T23" s="1215" t="s">
        <v>1393</v>
      </c>
      <c r="U23" s="1216">
        <f>H23</f>
        <v>100</v>
      </c>
      <c r="V23" s="1215" t="s">
        <v>1393</v>
      </c>
      <c r="W23" s="1216">
        <f>J23</f>
        <v>100</v>
      </c>
      <c r="X23" s="1217"/>
      <c r="Y23" s="3386"/>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86"/>
      <c r="Q24" s="794"/>
      <c r="R24" s="1215"/>
      <c r="S24" s="1216"/>
      <c r="T24" s="1215"/>
      <c r="U24" s="1216"/>
      <c r="V24" s="1215"/>
      <c r="W24" s="1216"/>
      <c r="X24" s="1217"/>
      <c r="Y24" s="3386"/>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86"/>
      <c r="Q25" s="794" t="str">
        <f t="shared" ref="Q25" si="9">B25</f>
        <v>基础设施水平</v>
      </c>
      <c r="R25" s="1215" t="s">
        <v>1393</v>
      </c>
      <c r="S25" s="1216">
        <f>F25</f>
        <v>100</v>
      </c>
      <c r="T25" s="1215" t="s">
        <v>1393</v>
      </c>
      <c r="U25" s="1216">
        <f>H25</f>
        <v>100</v>
      </c>
      <c r="V25" s="1215" t="s">
        <v>1393</v>
      </c>
      <c r="W25" s="1216">
        <f>J25</f>
        <v>100</v>
      </c>
      <c r="X25" s="1217"/>
      <c r="Y25" s="3386"/>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86"/>
      <c r="Q26" s="794"/>
      <c r="R26" s="1215"/>
      <c r="S26" s="1216"/>
      <c r="T26" s="1215"/>
      <c r="U26" s="1216"/>
      <c r="V26" s="1215"/>
      <c r="W26" s="1216"/>
      <c r="X26" s="1217"/>
      <c r="Y26" s="3386"/>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86"/>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86"/>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86"/>
      <c r="Q28" s="625" t="str">
        <f t="shared" si="8"/>
        <v>毗邻道路的类型与等级</v>
      </c>
      <c r="R28" s="1219" t="s">
        <v>1393</v>
      </c>
      <c r="S28" s="1220">
        <f t="shared" si="10"/>
        <v>100</v>
      </c>
      <c r="T28" s="1219" t="s">
        <v>1393</v>
      </c>
      <c r="U28" s="1220">
        <f t="shared" si="11"/>
        <v>100</v>
      </c>
      <c r="V28" s="1219" t="s">
        <v>1393</v>
      </c>
      <c r="W28" s="1220">
        <f t="shared" si="12"/>
        <v>100</v>
      </c>
      <c r="X28" s="1214"/>
      <c r="Y28" s="3386"/>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86"/>
      <c r="Q29" s="625"/>
      <c r="R29" s="1219"/>
      <c r="S29" s="1220"/>
      <c r="T29" s="1219"/>
      <c r="U29" s="1220"/>
      <c r="V29" s="1219"/>
      <c r="W29" s="1220"/>
      <c r="X29" s="1214"/>
      <c r="Y29" s="3386"/>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86"/>
      <c r="Q30" s="625" t="str">
        <f t="shared" si="8"/>
        <v>土地级别</v>
      </c>
      <c r="R30" s="1219" t="s">
        <v>1393</v>
      </c>
      <c r="S30" s="1220">
        <f t="shared" si="10"/>
        <v>100</v>
      </c>
      <c r="T30" s="1219" t="s">
        <v>1393</v>
      </c>
      <c r="U30" s="1220">
        <f t="shared" si="11"/>
        <v>100</v>
      </c>
      <c r="V30" s="1219" t="s">
        <v>1393</v>
      </c>
      <c r="W30" s="1220">
        <f t="shared" si="12"/>
        <v>100</v>
      </c>
      <c r="X30" s="1214"/>
      <c r="Y30" s="3386"/>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86"/>
      <c r="Q31" s="625">
        <f t="shared" si="8"/>
        <v>111</v>
      </c>
      <c r="R31" s="1219" t="s">
        <v>1393</v>
      </c>
      <c r="S31" s="1220">
        <f t="shared" si="10"/>
        <v>100</v>
      </c>
      <c r="T31" s="1219" t="s">
        <v>1393</v>
      </c>
      <c r="U31" s="1220">
        <f t="shared" si="11"/>
        <v>100</v>
      </c>
      <c r="V31" s="1219" t="s">
        <v>1393</v>
      </c>
      <c r="W31" s="1220">
        <f t="shared" si="12"/>
        <v>100</v>
      </c>
      <c r="X31" s="1214"/>
      <c r="Y31" s="3386"/>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45" t="s">
        <v>1421</v>
      </c>
      <c r="Q32" s="625">
        <f t="shared" si="8"/>
        <v>111</v>
      </c>
      <c r="R32" s="1219" t="s">
        <v>1393</v>
      </c>
      <c r="S32" s="1220">
        <f t="shared" si="10"/>
        <v>100</v>
      </c>
      <c r="T32" s="1219" t="s">
        <v>1393</v>
      </c>
      <c r="U32" s="1220">
        <f t="shared" si="11"/>
        <v>100</v>
      </c>
      <c r="V32" s="1219" t="s">
        <v>1393</v>
      </c>
      <c r="W32" s="1220">
        <f t="shared" si="12"/>
        <v>100</v>
      </c>
      <c r="X32" s="1214"/>
      <c r="Y32" s="3387"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87"/>
      <c r="Q33" s="625">
        <f t="shared" si="8"/>
        <v>111</v>
      </c>
      <c r="R33" s="1221" t="s">
        <v>1393</v>
      </c>
      <c r="S33" s="1222">
        <f t="shared" si="10"/>
        <v>100</v>
      </c>
      <c r="T33" s="1221" t="s">
        <v>1393</v>
      </c>
      <c r="U33" s="1222">
        <f t="shared" si="11"/>
        <v>100</v>
      </c>
      <c r="V33" s="1221" t="s">
        <v>1393</v>
      </c>
      <c r="W33" s="1222">
        <f t="shared" si="12"/>
        <v>100</v>
      </c>
      <c r="X33" s="1223"/>
      <c r="Y33" s="3387"/>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87"/>
      <c r="Q34" s="625" t="str">
        <f t="shared" si="8"/>
        <v>宗地面积</v>
      </c>
      <c r="R34" s="1219" t="s">
        <v>1393</v>
      </c>
      <c r="S34" s="1220" t="e">
        <f t="shared" si="10"/>
        <v>#N/A</v>
      </c>
      <c r="T34" s="1219" t="s">
        <v>1393</v>
      </c>
      <c r="U34" s="1220" t="e">
        <f t="shared" si="11"/>
        <v>#N/A</v>
      </c>
      <c r="V34" s="1219" t="s">
        <v>1393</v>
      </c>
      <c r="W34" s="1220" t="e">
        <f t="shared" si="12"/>
        <v>#N/A</v>
      </c>
      <c r="X34" s="1214"/>
      <c r="Y34" s="3387"/>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87"/>
      <c r="Q35" s="625" t="str">
        <f t="shared" ref="Q35:Q40" si="14">B35</f>
        <v>宗地形状</v>
      </c>
      <c r="R35" s="1219" t="s">
        <v>1393</v>
      </c>
      <c r="S35" s="1220">
        <f t="shared" si="10"/>
        <v>100</v>
      </c>
      <c r="T35" s="1219" t="s">
        <v>1393</v>
      </c>
      <c r="U35" s="1220">
        <f t="shared" si="11"/>
        <v>100</v>
      </c>
      <c r="V35" s="1219" t="s">
        <v>1393</v>
      </c>
      <c r="W35" s="1220">
        <f t="shared" si="12"/>
        <v>100</v>
      </c>
      <c r="X35" s="1214"/>
      <c r="Y35" s="3387"/>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87"/>
      <c r="Q36" s="625" t="str">
        <f t="shared" si="14"/>
        <v>宗地开发程度</v>
      </c>
      <c r="R36" s="1215" t="s">
        <v>1393</v>
      </c>
      <c r="S36" s="1216">
        <f t="shared" si="10"/>
        <v>100</v>
      </c>
      <c r="T36" s="1215" t="s">
        <v>1393</v>
      </c>
      <c r="U36" s="1216">
        <f t="shared" si="11"/>
        <v>100</v>
      </c>
      <c r="V36" s="1215" t="s">
        <v>1393</v>
      </c>
      <c r="W36" s="1216">
        <f t="shared" si="12"/>
        <v>100</v>
      </c>
      <c r="X36" s="1217"/>
      <c r="Y36" s="3387"/>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87" t="s">
        <v>1421</v>
      </c>
      <c r="Q37" s="625" t="str">
        <f t="shared" si="14"/>
        <v>工程地质条件</v>
      </c>
      <c r="R37" s="1219" t="s">
        <v>1393</v>
      </c>
      <c r="S37" s="1220">
        <f t="shared" si="10"/>
        <v>100</v>
      </c>
      <c r="T37" s="1219" t="s">
        <v>1393</v>
      </c>
      <c r="U37" s="1220">
        <f t="shared" si="11"/>
        <v>100</v>
      </c>
      <c r="V37" s="1219" t="s">
        <v>1393</v>
      </c>
      <c r="W37" s="1220">
        <f t="shared" si="12"/>
        <v>100</v>
      </c>
      <c r="X37" s="1214"/>
      <c r="Y37" s="3387"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87"/>
      <c r="Q38" s="625">
        <f t="shared" si="14"/>
        <v>111</v>
      </c>
      <c r="R38" s="1219" t="s">
        <v>1393</v>
      </c>
      <c r="S38" s="1220">
        <f t="shared" si="10"/>
        <v>100</v>
      </c>
      <c r="T38" s="1219" t="s">
        <v>1393</v>
      </c>
      <c r="U38" s="1220">
        <f t="shared" si="11"/>
        <v>100</v>
      </c>
      <c r="V38" s="1219" t="s">
        <v>1393</v>
      </c>
      <c r="W38" s="1220">
        <f t="shared" si="12"/>
        <v>100</v>
      </c>
      <c r="X38" s="1214"/>
      <c r="Y38" s="3387"/>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87"/>
      <c r="Q39" s="625">
        <f t="shared" si="14"/>
        <v>111</v>
      </c>
      <c r="R39" s="1219" t="s">
        <v>1393</v>
      </c>
      <c r="S39" s="1220">
        <f t="shared" si="10"/>
        <v>100</v>
      </c>
      <c r="T39" s="1219" t="s">
        <v>1393</v>
      </c>
      <c r="U39" s="1220">
        <f t="shared" si="11"/>
        <v>100</v>
      </c>
      <c r="V39" s="1219" t="s">
        <v>1393</v>
      </c>
      <c r="W39" s="1220">
        <f t="shared" si="12"/>
        <v>100</v>
      </c>
      <c r="X39" s="1214"/>
      <c r="Y39" s="3387"/>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87"/>
      <c r="Q40" s="625">
        <f t="shared" si="14"/>
        <v>111</v>
      </c>
      <c r="R40" s="1221" t="s">
        <v>1393</v>
      </c>
      <c r="S40" s="1222">
        <f t="shared" si="10"/>
        <v>100</v>
      </c>
      <c r="T40" s="1221" t="s">
        <v>1393</v>
      </c>
      <c r="U40" s="1222">
        <f t="shared" si="11"/>
        <v>100</v>
      </c>
      <c r="V40" s="1221" t="s">
        <v>1393</v>
      </c>
      <c r="W40" s="1222">
        <f t="shared" si="12"/>
        <v>100</v>
      </c>
      <c r="X40" s="1223"/>
      <c r="Y40" s="3387"/>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78" t="str">
        <f>A41</f>
        <v>成交单价</v>
      </c>
      <c r="Q41" s="3378"/>
      <c r="R41" s="3379">
        <f>E41</f>
        <v>0</v>
      </c>
      <c r="S41" s="3379"/>
      <c r="T41" s="3379">
        <f>G41</f>
        <v>0</v>
      </c>
      <c r="U41" s="3379"/>
      <c r="V41" s="3379">
        <f>I41</f>
        <v>0</v>
      </c>
      <c r="W41" s="3379"/>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78" t="str">
        <f>A42</f>
        <v>比较价值（元/平方米）</v>
      </c>
      <c r="Q42" s="3378"/>
      <c r="R42" s="3448" t="e">
        <f>ROUND(PRODUCT(R41,AA7:AA40),0)</f>
        <v>#DIV/0!</v>
      </c>
      <c r="S42" s="3448"/>
      <c r="T42" s="3448" t="e">
        <f>ROUND(PRODUCT(T41,AB7:AB40),0)</f>
        <v>#DIV/0!</v>
      </c>
      <c r="U42" s="3448"/>
      <c r="V42" s="3448" t="e">
        <f>ROUND(PRODUCT(V41,AC7:AC40),0)</f>
        <v>#DIV/0!</v>
      </c>
      <c r="W42" s="3448"/>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14" t="str">
        <f>A43</f>
        <v>估价对象XX用房的比较价值（楼面单价，元/平方米）</v>
      </c>
      <c r="Q43" s="3415"/>
      <c r="R43" s="3449" t="e">
        <f>ROUND(IF(D42="简单平均",AVERAGE(R42:W42),R42*F42+T42*H42+V42*J42),0)</f>
        <v>#DIV/0!</v>
      </c>
      <c r="S43" s="3449"/>
      <c r="T43" s="3449"/>
      <c r="U43" s="3449"/>
      <c r="V43" s="3449"/>
      <c r="W43" s="3449"/>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363" t="s">
        <v>1675</v>
      </c>
      <c r="H50" s="3447"/>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134.04</v>
      </c>
      <c r="F51" s="1141" t="e">
        <f t="shared" ref="F51:F60" si="15">ROUND(B51*E51/10000,0)</f>
        <v>#DIV/0!</v>
      </c>
      <c r="G51" s="3377"/>
      <c r="H51" s="3378"/>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四级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四级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四级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四级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2025-11-1</v>
      </c>
      <c r="D63" s="1160">
        <f>EDATE(C63,-3)</f>
        <v>45870</v>
      </c>
      <c r="E63" s="1160">
        <f>EDATE(D63,-3)</f>
        <v>45778</v>
      </c>
      <c r="F63" s="1160">
        <f t="shared" ref="F63:O63" si="18">EDATE(E63,-3)</f>
        <v>45689</v>
      </c>
      <c r="G63" s="1160">
        <f t="shared" si="18"/>
        <v>45597</v>
      </c>
      <c r="H63" s="1160">
        <f t="shared" si="18"/>
        <v>45505</v>
      </c>
      <c r="I63" s="1160">
        <f t="shared" si="18"/>
        <v>45413</v>
      </c>
      <c r="J63" s="1160">
        <f t="shared" si="18"/>
        <v>45323</v>
      </c>
      <c r="K63" s="1160">
        <f t="shared" si="18"/>
        <v>45231</v>
      </c>
      <c r="L63" s="1160">
        <f t="shared" si="18"/>
        <v>45139</v>
      </c>
      <c r="M63" s="1160">
        <f t="shared" si="18"/>
        <v>45047</v>
      </c>
      <c r="N63" s="1160">
        <f t="shared" si="18"/>
        <v>44958</v>
      </c>
      <c r="O63" s="1160">
        <f t="shared" si="18"/>
        <v>44866</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6" sqref="B26"/>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54" t="s">
        <v>1705</v>
      </c>
      <c r="D1" s="3455"/>
      <c r="E1" s="3455"/>
      <c r="F1" s="3455"/>
      <c r="G1" s="3455"/>
      <c r="H1" s="3455"/>
      <c r="I1" s="3455"/>
      <c r="J1" s="3455"/>
      <c r="K1" s="3455"/>
      <c r="L1" s="3455"/>
      <c r="M1" s="3455"/>
      <c r="N1" s="3455"/>
      <c r="O1" s="3455"/>
      <c r="P1" s="3455"/>
      <c r="Q1" s="3455"/>
      <c r="R1" s="3455"/>
      <c r="S1" s="3456"/>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426</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17398</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244.85999999999999</v>
      </c>
      <c r="C22" s="3457" t="s">
        <v>124</v>
      </c>
      <c r="D22" s="3458"/>
      <c r="E22" s="3458"/>
      <c r="F22" s="3458"/>
      <c r="G22" s="3458"/>
      <c r="H22" s="3458"/>
      <c r="I22" s="3458"/>
      <c r="J22" s="3458"/>
      <c r="K22" s="3458"/>
      <c r="L22" s="3458"/>
      <c r="M22" s="3458"/>
      <c r="N22" s="3458"/>
      <c r="O22" s="3458"/>
      <c r="P22" s="3458"/>
      <c r="Q22" s="3459"/>
      <c r="R22" s="950">
        <f ca="1">ROUND(S22*10000/B22,0)</f>
        <v>17398</v>
      </c>
      <c r="S22" s="950">
        <f ca="1">SUM(S24:S10000)</f>
        <v>426</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c r="B24" s="954">
        <f>'数据-基础表'!I13</f>
        <v>134.04</v>
      </c>
      <c r="C24" s="955">
        <v>1</v>
      </c>
      <c r="D24" s="956"/>
      <c r="E24" s="955">
        <v>1</v>
      </c>
      <c r="F24" s="956"/>
      <c r="G24" s="955">
        <v>1</v>
      </c>
      <c r="H24" s="956"/>
      <c r="I24" s="955">
        <v>1</v>
      </c>
      <c r="J24" s="956"/>
      <c r="K24" s="955">
        <v>1</v>
      </c>
      <c r="L24" s="956"/>
      <c r="M24" s="955">
        <v>1</v>
      </c>
      <c r="N24" s="956"/>
      <c r="O24" s="955">
        <v>1</v>
      </c>
      <c r="P24" s="956"/>
      <c r="Q24" s="955">
        <v>1</v>
      </c>
      <c r="R24" s="954">
        <f ca="1">结果表!C32</f>
        <v>17397</v>
      </c>
      <c r="S24" s="1005">
        <f t="shared" ref="S24:S54" ca="1" si="11">ROUND(R24*B24/10000,0)</f>
        <v>233</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v>110.82</v>
      </c>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17397</v>
      </c>
      <c r="S25" s="949">
        <f t="shared" ca="1" si="11"/>
        <v>193</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t="e">
        <f ca="1">SUMIF(B6:B13,"&lt;&gt;#ref!",B6:B13)</f>
        <v>#DIV/0!</v>
      </c>
      <c r="C2" s="883" t="s">
        <v>1723</v>
      </c>
      <c r="D2" s="883" t="s">
        <v>1724</v>
      </c>
      <c r="E2" s="885">
        <f ca="1">SUMIF(E6:E13,"&lt;&gt;#ref!",E6:E13)</f>
        <v>134.04</v>
      </c>
      <c r="F2" s="882"/>
      <c r="G2" s="882"/>
      <c r="H2" s="882"/>
      <c r="I2" s="882"/>
      <c r="J2" s="882"/>
      <c r="K2" s="882"/>
      <c r="L2" s="882"/>
      <c r="M2" s="882"/>
      <c r="N2" s="882"/>
      <c r="O2" s="882"/>
      <c r="P2" s="882"/>
    </row>
    <row r="3" spans="1:16" ht="15.75">
      <c r="A3" s="883" t="s">
        <v>1725</v>
      </c>
      <c r="B3" s="884" t="e">
        <f ca="1">ROUND(B2*10000/E2,0)</f>
        <v>#DIV/0!</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t="e">
        <f ca="1">SUMIF(INDIRECT("'"&amp;A6&amp;"'"&amp;"!A:A"),"总价",INDIRECT("'"&amp;A6&amp;"'"&amp;"!B:B"))</f>
        <v>#DIV/0!</v>
      </c>
      <c r="C6" s="883" t="s">
        <v>1723</v>
      </c>
      <c r="D6" s="882"/>
      <c r="E6" s="885">
        <f ca="1">SUMIF(INDIRECT("'"&amp;A6&amp;"'"&amp;"!C:C"),"建筑面积",INDIRECT("'"&amp;A6&amp;"'"&amp;"!D:D"))</f>
        <v>134.04</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bestFit="1"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134.04</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t="e">
        <f>C30</f>
        <v>#DIV/0!</v>
      </c>
      <c r="C2" s="512" t="s">
        <v>1030</v>
      </c>
      <c r="D2" s="513" t="s">
        <v>1738</v>
      </c>
      <c r="E2" s="514" t="s">
        <v>229</v>
      </c>
      <c r="F2" s="513" t="s">
        <v>1739</v>
      </c>
      <c r="G2" s="515" t="str">
        <f>IF(E2="商业",项目基本情况!B37,IF(E2="办公",项目基本情况!C37,IF(E2="住宅",项目基本情况!D37,IF(E2="工业",项目基本情况!E37,项目基本情况!F37))))</f>
        <v>四级</v>
      </c>
      <c r="H2" s="513" t="s">
        <v>1740</v>
      </c>
      <c r="I2" s="515" t="str">
        <f>IF(E2="商业",项目基本情况!B38,IF(E2="办公",项目基本情况!C38,IF(E2="住宅",项目基本情况!D38,IF(E2="工业",项目基本情况!E38,项目基本情况!F38))))</f>
        <v>Ⅳ-19</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t="e">
        <f t="shared" ref="T2:T16" si="0">ROUND($C$5*$C$22*$C$23*$C$24*S2*$C$28,0)</f>
        <v>#DIV/0!</v>
      </c>
      <c r="U2" s="801"/>
      <c r="V2" s="800" t="e">
        <f>ROUND(T2*U2/10000,0)</f>
        <v>#DIV/0!</v>
      </c>
      <c r="W2" s="799"/>
      <c r="X2" s="799"/>
      <c r="Y2" s="799"/>
      <c r="Z2" s="799"/>
      <c r="AA2" s="799"/>
      <c r="AB2" s="799"/>
      <c r="AC2" s="810"/>
      <c r="AD2" s="811"/>
      <c r="AE2" s="811"/>
      <c r="AF2" s="811"/>
      <c r="AG2" s="811"/>
      <c r="AH2" s="811"/>
      <c r="AI2" s="811"/>
      <c r="AJ2" s="820"/>
    </row>
    <row r="3" spans="1:36" ht="15.75">
      <c r="A3" s="346" t="s">
        <v>1031</v>
      </c>
      <c r="B3" s="347" t="e">
        <f>ROUND(B2*10000/D1,0)</f>
        <v>#DIV/0!</v>
      </c>
      <c r="C3" s="512" t="s">
        <v>1032</v>
      </c>
      <c r="D3" s="513" t="s">
        <v>1742</v>
      </c>
      <c r="E3" s="516" t="s">
        <v>244</v>
      </c>
      <c r="F3" s="517" t="s">
        <v>2781</v>
      </c>
      <c r="G3" s="518">
        <f>IF(F3="宗地容积率",'数据-汇总表'!I4,IF(F3="估价对象容积率",'数据-汇总表'!I6,'数据-汇总表'!I7))</f>
        <v>3.5</v>
      </c>
      <c r="H3" s="513" t="s">
        <v>1743</v>
      </c>
      <c r="I3" s="714">
        <v>5</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t="e">
        <f t="shared" si="0"/>
        <v>#DIV/0!</v>
      </c>
      <c r="U3" s="801"/>
      <c r="V3" s="800" t="e">
        <f t="shared" ref="V3:V16" si="1">ROUND(T3*U3/10000,0)</f>
        <v>#DIV/0!</v>
      </c>
      <c r="W3" s="799"/>
      <c r="X3" s="799"/>
      <c r="Y3" s="799"/>
      <c r="Z3" s="799"/>
      <c r="AA3" s="799"/>
      <c r="AB3" s="799"/>
      <c r="AC3" s="810"/>
      <c r="AD3" s="811"/>
      <c r="AE3" s="811"/>
      <c r="AF3" s="811"/>
      <c r="AG3" s="811"/>
      <c r="AH3" s="811"/>
      <c r="AI3" s="811"/>
      <c r="AJ3" s="820"/>
    </row>
    <row r="4" spans="1:36" ht="15.75">
      <c r="A4" s="3460"/>
      <c r="B4" s="3461"/>
      <c r="C4" s="3461"/>
      <c r="D4" s="3462"/>
      <c r="E4" s="3462"/>
      <c r="F4" s="3462"/>
      <c r="G4" s="3462"/>
      <c r="H4" s="3462"/>
      <c r="I4" s="3462"/>
      <c r="J4" s="3463"/>
      <c r="K4" s="503"/>
      <c r="L4" s="712" t="s">
        <v>1746</v>
      </c>
      <c r="M4" s="713">
        <f>SUMPRODUCT((区片价!B55:B86=I2)*(区片价!C3:G3=E2)*(区片价!C55:G86))</f>
        <v>17610</v>
      </c>
      <c r="N4" s="711">
        <f>SUMPRODUCT((因素修正幅度!B55:B86=I2)*(因素修正幅度!C3:G3=E2)*(因素修正幅度!C55:G86))</f>
        <v>0.1</v>
      </c>
      <c r="O4" s="503"/>
      <c r="P4" s="503"/>
      <c r="Q4" s="503"/>
      <c r="R4" s="798">
        <v>3</v>
      </c>
      <c r="S4" s="800">
        <f>ROUND(SUMPRODUCT((B106:B110=R4)*(C105:N105=G2)*(C106:N110)),4)</f>
        <v>1.0004999999999999</v>
      </c>
      <c r="T4" s="800" t="e">
        <f t="shared" si="0"/>
        <v>#DIV/0!</v>
      </c>
      <c r="U4" s="801"/>
      <c r="V4" s="800" t="e">
        <f t="shared" si="1"/>
        <v>#DIV/0!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17574</v>
      </c>
      <c r="D5" s="522">
        <f>ROUND(C6*C17+C20,0)</f>
        <v>17574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t="e">
        <f t="shared" si="0"/>
        <v>#DIV/0!</v>
      </c>
      <c r="U5" s="801"/>
      <c r="V5" s="800" t="e">
        <f t="shared" si="1"/>
        <v>#DIV/0!</v>
      </c>
      <c r="W5" s="799"/>
      <c r="X5" s="799"/>
      <c r="Y5" s="799"/>
      <c r="Z5" s="799"/>
      <c r="AA5" s="799"/>
      <c r="AB5" s="799"/>
      <c r="AC5" s="812"/>
      <c r="AD5" s="813"/>
      <c r="AE5" s="813"/>
      <c r="AF5" s="813"/>
      <c r="AG5" s="813"/>
      <c r="AH5" s="813"/>
      <c r="AI5" s="813"/>
      <c r="AJ5" s="821"/>
    </row>
    <row r="6" spans="1:36" ht="15">
      <c r="A6" s="525" t="s">
        <v>1034</v>
      </c>
      <c r="B6" s="526" t="s">
        <v>1749</v>
      </c>
      <c r="C6" s="527">
        <f>SUMIF(L1:L12,G2,M1:M12)</f>
        <v>17610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t="e">
        <f t="shared" si="0"/>
        <v>#DIV/0!</v>
      </c>
      <c r="U6" s="801">
        <f>'数据-汇总表'!E19</f>
        <v>134.04</v>
      </c>
      <c r="V6" s="800" t="e">
        <f t="shared" si="1"/>
        <v>#DIV/0!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t="e">
        <f t="shared" si="0"/>
        <v>#DIV/0!</v>
      </c>
      <c r="U7" s="801"/>
      <c r="V7" s="800" t="e">
        <f t="shared" si="1"/>
        <v>#DIV/0!</v>
      </c>
      <c r="W7" s="803" t="s">
        <v>1755</v>
      </c>
      <c r="X7" s="804" t="str">
        <f>G2</f>
        <v>四级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t="e">
        <f t="shared" si="0"/>
        <v>#DIV/0!</v>
      </c>
      <c r="U8" s="801"/>
      <c r="V8" s="800" t="e">
        <f t="shared" si="1"/>
        <v>#DIV/0!</v>
      </c>
      <c r="W8" s="3464" t="s">
        <v>1761</v>
      </c>
      <c r="X8" s="3465"/>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t="e">
        <f t="shared" si="0"/>
        <v>#DIV/0!</v>
      </c>
      <c r="U9" s="801"/>
      <c r="V9" s="800" t="e">
        <f t="shared" si="1"/>
        <v>#DIV/0!</v>
      </c>
      <c r="W9" s="3478"/>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t="e">
        <f t="shared" si="0"/>
        <v>#DIV/0!</v>
      </c>
      <c r="U10" s="801"/>
      <c r="V10" s="800" t="e">
        <f t="shared" si="1"/>
        <v>#DIV/0!</v>
      </c>
      <c r="W10" s="3478"/>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t="e">
        <f t="shared" si="0"/>
        <v>#DIV/0!</v>
      </c>
      <c r="U11" s="801"/>
      <c r="V11" s="800" t="e">
        <f t="shared" si="1"/>
        <v>#DIV/0!</v>
      </c>
      <c r="W11" s="799"/>
      <c r="X11" s="799"/>
      <c r="Y11" s="799"/>
      <c r="Z11" s="799"/>
      <c r="AA11" s="799"/>
      <c r="AB11" s="799"/>
      <c r="AC11" s="810"/>
      <c r="AD11" s="819"/>
      <c r="AE11" s="819"/>
      <c r="AF11" s="819"/>
      <c r="AG11" s="819"/>
      <c r="AH11" s="819"/>
      <c r="AI11" s="819"/>
      <c r="AJ11" s="822"/>
    </row>
    <row r="12" spans="1:36" ht="24.75">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t="e">
        <f t="shared" si="0"/>
        <v>#DIV/0!</v>
      </c>
      <c r="U12" s="801"/>
      <c r="V12" s="800" t="e">
        <f t="shared" si="1"/>
        <v>#DIV/0!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t="e">
        <f t="shared" si="0"/>
        <v>#DIV/0!</v>
      </c>
      <c r="U13" s="801"/>
      <c r="V13" s="800" t="e">
        <f t="shared" si="1"/>
        <v>#DIV/0!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t="e">
        <f t="shared" si="0"/>
        <v>#DIV/0!</v>
      </c>
      <c r="U14" s="801"/>
      <c r="V14" s="800" t="e">
        <f t="shared" si="1"/>
        <v>#DIV/0!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t="e">
        <f t="shared" si="0"/>
        <v>#DIV/0!</v>
      </c>
      <c r="U15" s="801"/>
      <c r="V15" s="800" t="e">
        <f t="shared" si="1"/>
        <v>#DIV/0!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t="e">
        <f t="shared" si="0"/>
        <v>#DIV/0!</v>
      </c>
      <c r="U16" s="801"/>
      <c r="V16" s="800" t="e">
        <f t="shared" si="1"/>
        <v>#DIV/0!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70" t="s">
        <v>1810</v>
      </c>
      <c r="B20" s="590" t="s">
        <v>1811</v>
      </c>
      <c r="C20" s="591">
        <f>ROUND(IF(F21="与级别开发程度一致",0,(G21-E21)/C21),0)</f>
        <v>-36</v>
      </c>
      <c r="D20" s="592" t="s">
        <v>1812</v>
      </c>
      <c r="E20" s="593"/>
      <c r="F20" s="3466" t="s">
        <v>1813</v>
      </c>
      <c r="G20" s="3467"/>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71"/>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2782</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45973</v>
      </c>
      <c r="H23" s="612" t="s">
        <v>2783</v>
      </c>
      <c r="I23" s="742" t="str">
        <f>IF(H23="季度增幅（自定义）",SUMIF(N25:N28,E2,O25:O28),"")</f>
        <v/>
      </c>
      <c r="J23" s="743" t="s">
        <v>2788</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t="e">
        <f>ROUND(POWER(1+G24,J24-I24)*(POWER(1+G24,I24)-1)/(POWER(1+G24,J24)-1),4)</f>
        <v>#DIV/0!</v>
      </c>
      <c r="D24" s="616" t="s">
        <v>1822</v>
      </c>
      <c r="E24" s="617">
        <f>存贷款利率!E28/100</f>
        <v>4.3499999999999997E-2</v>
      </c>
      <c r="F24" s="616" t="s">
        <v>1823</v>
      </c>
      <c r="G24" s="618">
        <f>SUMIF(M30:Q30,E2,M33:Q33)</f>
        <v>5.5E-2</v>
      </c>
      <c r="H24" s="616" t="s">
        <v>1824</v>
      </c>
      <c r="I24" s="748" t="e">
        <f>SUMIF('数据-取费表'!C6:C15,E2,'数据-取费表'!F6:F15)/COUNTIF('数据-取费表'!C6:C15,E2)</f>
        <v>#DIV/0!</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2790</v>
      </c>
      <c r="C25" s="621">
        <f>IF(B25="容积率修正",IF(G3&lt;10,D26,J26),C27)</f>
        <v>0.84799999999999998</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0.84799999999999998</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1.0435000000000001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t="e">
        <f>IF(B25="容积率修正",E33+SUM(E37:E42),SUM(V2:V16)+SUM(E37:E42))</f>
        <v>#DIV/0!</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t="e">
        <f>E34+SUM(I37:I42)</f>
        <v>#DIV/0!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t="e">
        <f>ROUND(C5*C22*C23*C24*C25*C28,0)</f>
        <v>#DIV/0!</v>
      </c>
      <c r="D33" s="652">
        <f>'数据-汇总表'!F19</f>
        <v>134.04</v>
      </c>
      <c r="E33" s="653" t="e">
        <f>ROUND(C33*D33/10000,0)</f>
        <v>#DIV/0!</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t="e">
        <f>ROUND(IF(E2="工业",C33*M42,IF(B25="楼层修正",SUM(V2:V16)*M41*10000/D34,C33*M41)),0)</f>
        <v>#DIV/0!</v>
      </c>
      <c r="D34" s="658"/>
      <c r="E34" s="653" t="e">
        <f>ROUND(IF(B25="楼层修正",SUM(V2:V16)*M40,C34*D34/10000),0)</f>
        <v>#DIV/0!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72"/>
      <c r="B37" s="669" t="s">
        <v>1864</v>
      </c>
      <c r="C37" s="651" t="e">
        <f>ROUND(D5*C22*C23*C24*C28*F37,0)</f>
        <v>#DIV/0!</v>
      </c>
      <c r="D37" s="652"/>
      <c r="E37" s="515" t="e">
        <f>ROUND(C37*D37/10000,0)</f>
        <v>#DIV/0!</v>
      </c>
      <c r="F37" s="515">
        <f>SUMIF(修正!A59:A70,G2,修正!B59:B70)</f>
        <v>0.6</v>
      </c>
      <c r="G37" s="515" t="e">
        <f>ROUND(IF(E2="工业",C37*$M$42,C37*$M$41),0)</f>
        <v>#DIV/0!</v>
      </c>
      <c r="H37" s="515">
        <f>D37</f>
        <v>0</v>
      </c>
      <c r="I37" s="515" t="e">
        <f>ROUND(G37*H37/10000,0)</f>
        <v>#DIV/0!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73"/>
      <c r="B38" s="562" t="s">
        <v>1866</v>
      </c>
      <c r="C38" s="651" t="e">
        <f>ROUND(D5*C22*C23*C24*C28*F38,0)</f>
        <v>#DIV/0!</v>
      </c>
      <c r="D38" s="652"/>
      <c r="E38" s="515" t="e">
        <f t="shared" ref="E38:E42" si="4">ROUND(C38*D38/10000,0)</f>
        <v>#DIV/0!</v>
      </c>
      <c r="F38" s="515">
        <f>SUMIF(修正!A59:A70,G2,修正!C59:C70)</f>
        <v>0.3</v>
      </c>
      <c r="G38" s="515" t="e">
        <f>ROUND(IF(E2="工业",C38*$M$42,C38*$M$41),0)</f>
        <v>#DIV/0!</v>
      </c>
      <c r="H38" s="515">
        <f t="shared" ref="H38:H42" si="5">D38</f>
        <v>0</v>
      </c>
      <c r="I38" s="515" t="e">
        <f t="shared" ref="I38:I42" si="6">ROUND(G38*H38/10000,0)</f>
        <v>#DIV/0!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73"/>
      <c r="B39" s="562" t="s">
        <v>1867</v>
      </c>
      <c r="C39" s="651" t="e">
        <f>ROUND(D5*C22*C23*C24*C28*F39,0)</f>
        <v>#DIV/0!</v>
      </c>
      <c r="D39" s="652"/>
      <c r="E39" s="515" t="e">
        <f t="shared" si="4"/>
        <v>#DIV/0!</v>
      </c>
      <c r="F39" s="515">
        <f>SUMIF(修正!A59:A70,G2,修正!D59:D70)</f>
        <v>0.25</v>
      </c>
      <c r="G39" s="515" t="e">
        <f>ROUND(IF(E2="工业",C39*$M$42,C39*$M$41),0)</f>
        <v>#DIV/0!</v>
      </c>
      <c r="H39" s="515">
        <f t="shared" si="5"/>
        <v>0</v>
      </c>
      <c r="I39" s="515" t="e">
        <f t="shared" si="6"/>
        <v>#DIV/0!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t="e">
        <f>ROUND(D5*C22*C23*C24*C28*F40,0)</f>
        <v>#DIV/0!</v>
      </c>
      <c r="D40" s="652"/>
      <c r="E40" s="515" t="e">
        <f t="shared" si="4"/>
        <v>#DIV/0!</v>
      </c>
      <c r="F40" s="651">
        <f>SUMIF(修正!A59:A70,G2,修正!E59:E70)</f>
        <v>0.25</v>
      </c>
      <c r="G40" s="515" t="e">
        <f>ROUND(IF(E2="工业",C40*$M$42,C40*$M$41),0)</f>
        <v>#DIV/0!</v>
      </c>
      <c r="H40" s="515">
        <f t="shared" si="5"/>
        <v>0</v>
      </c>
      <c r="I40" s="515" t="e">
        <f t="shared" si="6"/>
        <v>#DIV/0!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f>1+E50</f>
        <v>1.0435000000000001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1407</v>
      </c>
      <c r="D50" s="695">
        <f t="shared" ref="D50:D58" si="7">SUMIF($J$49:$N$49,C50,J50:N50)</f>
        <v>1.4999999999999999E-2</v>
      </c>
      <c r="E50" s="696">
        <f>ROUND(SUM(D50:D58),4)</f>
        <v>4.3499999999999997E-2</v>
      </c>
      <c r="F50" s="697">
        <f>IF(E2="商业",SUMIF(L1:L12,G2,N1:N12),"——")</f>
        <v>0.1</v>
      </c>
      <c r="G50" s="698">
        <f>H50</f>
        <v>1.4999999999999999E-2</v>
      </c>
      <c r="H50" s="699">
        <f t="shared" ref="H50:H58" si="8">IFERROR(ROUNDDOWN($F$50*I50/2,4),"——")</f>
        <v>1.4999999999999999E-2</v>
      </c>
      <c r="I50" s="795">
        <v>0.3</v>
      </c>
      <c r="J50" s="796">
        <f t="shared" ref="J50:J58" si="9">K50+$G50</f>
        <v>0.03</v>
      </c>
      <c r="K50" s="796">
        <f t="shared" ref="K50:K58" si="10">$L50+$G50</f>
        <v>1.4999999999999999E-2</v>
      </c>
      <c r="L50" s="796">
        <v>0</v>
      </c>
      <c r="M50" s="796">
        <f t="shared" ref="M50:N58" si="11">L50-$G50</f>
        <v>-1.4999999999999999E-2</v>
      </c>
      <c r="N50" s="796">
        <f t="shared" si="11"/>
        <v>-0.03</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1407</v>
      </c>
      <c r="D51" s="695">
        <f t="shared" si="7"/>
        <v>1.0999999999999999E-2</v>
      </c>
      <c r="E51" s="700"/>
      <c r="F51" s="697"/>
      <c r="G51" s="698">
        <f t="shared" ref="G51:G58" si="12">H51</f>
        <v>1.0999999999999999E-2</v>
      </c>
      <c r="H51" s="699">
        <f t="shared" si="8"/>
        <v>1.0999999999999999E-2</v>
      </c>
      <c r="I51" s="795">
        <v>0.22</v>
      </c>
      <c r="J51" s="796">
        <f t="shared" si="9"/>
        <v>2.1999999999999999E-2</v>
      </c>
      <c r="K51" s="796">
        <f t="shared" si="10"/>
        <v>1.0999999999999999E-2</v>
      </c>
      <c r="L51" s="796">
        <v>0</v>
      </c>
      <c r="M51" s="796">
        <f t="shared" si="11"/>
        <v>-1.0999999999999999E-2</v>
      </c>
      <c r="N51" s="796">
        <f t="shared" si="11"/>
        <v>-2.1999999999999999E-2</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f t="shared" si="7"/>
        <v>6.0000000000000001E-3</v>
      </c>
      <c r="E52" s="700"/>
      <c r="F52" s="697"/>
      <c r="G52" s="698">
        <f t="shared" si="12"/>
        <v>6.0000000000000001E-3</v>
      </c>
      <c r="H52" s="699">
        <f t="shared" si="8"/>
        <v>6.0000000000000001E-3</v>
      </c>
      <c r="I52" s="795">
        <v>0.12</v>
      </c>
      <c r="J52" s="796">
        <f t="shared" si="9"/>
        <v>1.2E-2</v>
      </c>
      <c r="K52" s="796">
        <f t="shared" si="10"/>
        <v>6.0000000000000001E-3</v>
      </c>
      <c r="L52" s="796">
        <v>0</v>
      </c>
      <c r="M52" s="796">
        <f t="shared" si="11"/>
        <v>-6.0000000000000001E-3</v>
      </c>
      <c r="N52" s="796">
        <f t="shared" si="11"/>
        <v>-1.2E-2</v>
      </c>
      <c r="AA52" s="674"/>
      <c r="AB52" s="674"/>
      <c r="AC52" s="674"/>
      <c r="AD52" s="674"/>
      <c r="AE52" s="674"/>
      <c r="AF52" s="674"/>
      <c r="AG52" s="674"/>
      <c r="AH52" s="674"/>
      <c r="AI52" s="674"/>
      <c r="AJ52" s="674"/>
      <c r="AK52" s="674"/>
    </row>
    <row r="53" spans="1:37" s="503" customFormat="1" ht="36.75">
      <c r="A53" s="689" t="s">
        <v>1887</v>
      </c>
      <c r="B53" s="702" t="s">
        <v>1888</v>
      </c>
      <c r="C53" s="568" t="s">
        <v>2765</v>
      </c>
      <c r="D53" s="695">
        <f t="shared" si="7"/>
        <v>0</v>
      </c>
      <c r="E53" s="700"/>
      <c r="F53" s="697"/>
      <c r="G53" s="698">
        <f t="shared" si="12"/>
        <v>2.5000000000000001E-3</v>
      </c>
      <c r="H53" s="699">
        <f t="shared" si="8"/>
        <v>2.5000000000000001E-3</v>
      </c>
      <c r="I53" s="795">
        <v>0.05</v>
      </c>
      <c r="J53" s="796">
        <f t="shared" si="9"/>
        <v>5.0000000000000001E-3</v>
      </c>
      <c r="K53" s="796">
        <f t="shared" si="10"/>
        <v>2.5000000000000001E-3</v>
      </c>
      <c r="L53" s="796">
        <v>0</v>
      </c>
      <c r="M53" s="796">
        <f t="shared" si="11"/>
        <v>-2.5000000000000001E-3</v>
      </c>
      <c r="N53" s="796">
        <f t="shared" si="11"/>
        <v>-5.0000000000000001E-3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-4.0000000000000001E-3</v>
      </c>
      <c r="E54" s="700"/>
      <c r="F54" s="697"/>
      <c r="G54" s="698">
        <f t="shared" si="12"/>
        <v>4.0000000000000001E-3</v>
      </c>
      <c r="H54" s="699">
        <f t="shared" si="8"/>
        <v>4.0000000000000001E-3</v>
      </c>
      <c r="I54" s="795">
        <v>0.08</v>
      </c>
      <c r="J54" s="796">
        <f t="shared" si="9"/>
        <v>8.0000000000000002E-3</v>
      </c>
      <c r="K54" s="796">
        <f t="shared" si="10"/>
        <v>4.0000000000000001E-3</v>
      </c>
      <c r="L54" s="796">
        <v>0</v>
      </c>
      <c r="M54" s="796">
        <f t="shared" si="11"/>
        <v>-4.0000000000000001E-3</v>
      </c>
      <c r="N54" s="796">
        <f t="shared" si="11"/>
        <v>-8.0000000000000002E-3</v>
      </c>
      <c r="AA54" s="674"/>
      <c r="AB54" s="674"/>
      <c r="AC54" s="674"/>
      <c r="AD54" s="674"/>
      <c r="AE54" s="674"/>
      <c r="AF54" s="674"/>
      <c r="AG54" s="674"/>
      <c r="AH54" s="674"/>
      <c r="AI54" s="674"/>
      <c r="AJ54" s="674"/>
      <c r="AK54" s="674"/>
    </row>
    <row r="55" spans="1:37" s="503" customFormat="1" ht="24">
      <c r="A55" s="689" t="s">
        <v>1890</v>
      </c>
      <c r="B55" s="703" t="s">
        <v>1891</v>
      </c>
      <c r="C55" s="568" t="s">
        <v>1407</v>
      </c>
      <c r="D55" s="695">
        <f t="shared" si="7"/>
        <v>2.5000000000000001E-3</v>
      </c>
      <c r="E55" s="700"/>
      <c r="F55" s="697"/>
      <c r="G55" s="698">
        <f t="shared" si="12"/>
        <v>2.5000000000000001E-3</v>
      </c>
      <c r="H55" s="699">
        <f t="shared" si="8"/>
        <v>2.5000000000000001E-3</v>
      </c>
      <c r="I55" s="795">
        <v>0.05</v>
      </c>
      <c r="J55" s="796">
        <f t="shared" si="9"/>
        <v>5.0000000000000001E-3</v>
      </c>
      <c r="K55" s="796">
        <f t="shared" si="10"/>
        <v>2.5000000000000001E-3</v>
      </c>
      <c r="L55" s="796">
        <v>0</v>
      </c>
      <c r="M55" s="796">
        <f t="shared" si="11"/>
        <v>-2.5000000000000001E-3</v>
      </c>
      <c r="N55" s="796">
        <f t="shared" si="11"/>
        <v>-5.0000000000000001E-3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2.5000000000000001E-3</v>
      </c>
      <c r="E56" s="700"/>
      <c r="F56" s="697"/>
      <c r="G56" s="698">
        <f t="shared" si="12"/>
        <v>2.5000000000000001E-3</v>
      </c>
      <c r="H56" s="699">
        <f t="shared" si="8"/>
        <v>2.5000000000000001E-3</v>
      </c>
      <c r="I56" s="795">
        <v>0.05</v>
      </c>
      <c r="J56" s="796">
        <f t="shared" si="9"/>
        <v>5.0000000000000001E-3</v>
      </c>
      <c r="K56" s="796">
        <f t="shared" si="10"/>
        <v>2.5000000000000001E-3</v>
      </c>
      <c r="L56" s="796">
        <v>0</v>
      </c>
      <c r="M56" s="796">
        <f t="shared" si="11"/>
        <v>-2.5000000000000001E-3</v>
      </c>
      <c r="N56" s="796">
        <f t="shared" si="11"/>
        <v>-5.0000000000000001E-3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8.0000000000000002E-3</v>
      </c>
      <c r="E57" s="700"/>
      <c r="F57" s="697"/>
      <c r="G57" s="698">
        <f t="shared" si="12"/>
        <v>4.0000000000000001E-3</v>
      </c>
      <c r="H57" s="699">
        <f t="shared" si="8"/>
        <v>4.0000000000000001E-3</v>
      </c>
      <c r="I57" s="795">
        <v>0.08</v>
      </c>
      <c r="J57" s="796">
        <f t="shared" si="9"/>
        <v>8.0000000000000002E-3</v>
      </c>
      <c r="K57" s="796">
        <f t="shared" si="10"/>
        <v>4.0000000000000001E-3</v>
      </c>
      <c r="L57" s="796">
        <v>0</v>
      </c>
      <c r="M57" s="796">
        <f t="shared" si="11"/>
        <v>-4.0000000000000001E-3</v>
      </c>
      <c r="N57" s="796">
        <f t="shared" si="11"/>
        <v>-8.0000000000000002E-3</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f t="shared" si="7"/>
        <v>2.5000000000000001E-3</v>
      </c>
      <c r="E58" s="708"/>
      <c r="F58" s="697"/>
      <c r="G58" s="698">
        <f t="shared" si="12"/>
        <v>2.5000000000000001E-3</v>
      </c>
      <c r="H58" s="699">
        <f t="shared" si="8"/>
        <v>2.5000000000000001E-3</v>
      </c>
      <c r="I58" s="797">
        <v>0.05</v>
      </c>
      <c r="J58" s="796">
        <f t="shared" si="9"/>
        <v>5.0000000000000001E-3</v>
      </c>
      <c r="K58" s="796">
        <f t="shared" si="10"/>
        <v>2.5000000000000001E-3</v>
      </c>
      <c r="L58" s="796">
        <v>0</v>
      </c>
      <c r="M58" s="796">
        <f t="shared" si="11"/>
        <v>-2.5000000000000001E-3</v>
      </c>
      <c r="N58" s="796">
        <f t="shared" si="11"/>
        <v>-5.0000000000000001E-3</v>
      </c>
      <c r="AA58" s="674"/>
      <c r="AB58" s="674"/>
      <c r="AC58" s="674"/>
      <c r="AD58" s="674"/>
      <c r="AE58" s="674"/>
      <c r="AF58" s="674"/>
      <c r="AG58" s="674"/>
      <c r="AH58" s="674"/>
      <c r="AI58" s="674"/>
      <c r="AJ58" s="674"/>
      <c r="AK58" s="674"/>
    </row>
    <row r="59" spans="1:37" s="503" customFormat="1" ht="15">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2764</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6.75">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24">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68" t="s">
        <v>1907</v>
      </c>
      <c r="B103" s="3468"/>
      <c r="C103" s="3468"/>
      <c r="D103" s="3468"/>
      <c r="E103" s="3468"/>
      <c r="F103" s="3468"/>
      <c r="G103" s="3468"/>
      <c r="H103" s="3468"/>
      <c r="I103" s="3468"/>
      <c r="J103" s="3468"/>
      <c r="K103" s="851"/>
      <c r="L103" s="851"/>
      <c r="M103" s="851"/>
      <c r="N103" s="851"/>
    </row>
    <row r="104" spans="1:14">
      <c r="A104" s="3474" t="s">
        <v>1908</v>
      </c>
      <c r="B104" s="3474" t="s">
        <v>1909</v>
      </c>
      <c r="C104" s="853" t="s">
        <v>1910</v>
      </c>
      <c r="D104" s="854"/>
      <c r="E104" s="854"/>
      <c r="F104" s="854"/>
      <c r="G104" s="854"/>
      <c r="H104" s="854"/>
      <c r="I104" s="854"/>
      <c r="J104" s="873"/>
      <c r="K104" s="874"/>
      <c r="L104" s="874"/>
      <c r="M104" s="874"/>
      <c r="N104" s="874"/>
    </row>
    <row r="105" spans="1:14">
      <c r="A105" s="3474"/>
      <c r="B105" s="3474"/>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75"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6"/>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6"/>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6"/>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6"/>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6"/>
      <c r="B111" s="852" t="s">
        <v>1778</v>
      </c>
      <c r="C111" s="855">
        <f>$I$3</f>
        <v>5</v>
      </c>
      <c r="D111" s="855">
        <f t="shared" ref="D111:N111" si="34">$I$3</f>
        <v>5</v>
      </c>
      <c r="E111" s="855">
        <f t="shared" si="34"/>
        <v>5</v>
      </c>
      <c r="F111" s="855">
        <f t="shared" si="34"/>
        <v>5</v>
      </c>
      <c r="G111" s="855">
        <f t="shared" si="34"/>
        <v>5</v>
      </c>
      <c r="H111" s="855">
        <f t="shared" si="34"/>
        <v>5</v>
      </c>
      <c r="I111" s="855">
        <f t="shared" si="34"/>
        <v>5</v>
      </c>
      <c r="J111" s="855">
        <f t="shared" si="34"/>
        <v>5</v>
      </c>
      <c r="K111" s="855">
        <f t="shared" si="34"/>
        <v>5</v>
      </c>
      <c r="L111" s="855">
        <f t="shared" si="34"/>
        <v>5</v>
      </c>
      <c r="M111" s="855">
        <f t="shared" si="34"/>
        <v>5</v>
      </c>
      <c r="N111" s="855">
        <f t="shared" si="34"/>
        <v>5</v>
      </c>
    </row>
    <row r="112" spans="1:14">
      <c r="A112" s="3477"/>
      <c r="B112" s="852">
        <v>6</v>
      </c>
      <c r="C112" s="840">
        <f>(-0.5556*(C111^2)-0.2719*C111+8944)*(10^(-4))</f>
        <v>0.89287505</v>
      </c>
      <c r="D112" s="840">
        <f>(-0.5556*(D111^2)-0.2719*D111+8944)*(10^(-4))</f>
        <v>0.89287505</v>
      </c>
      <c r="E112" s="840">
        <f>(-0.7912*(E111^2)-11.3794*E111+8482)*(10^(-4))</f>
        <v>0.84053230000000012</v>
      </c>
      <c r="F112" s="840">
        <f t="shared" ref="F112:I112" si="35">(-0.7912*(F111^2)-11.3794*F111+8482)*(10^(-4))</f>
        <v>0.84053230000000012</v>
      </c>
      <c r="G112" s="840">
        <f t="shared" si="35"/>
        <v>0.84053230000000012</v>
      </c>
      <c r="H112" s="840">
        <f t="shared" si="35"/>
        <v>0.84053230000000012</v>
      </c>
      <c r="I112" s="840">
        <f t="shared" si="35"/>
        <v>0.84053230000000012</v>
      </c>
      <c r="J112" s="840">
        <f>(-0.989*(J111^2)-63.78*J111+7771)*(10^(-4))</f>
        <v>0.74273750000000005</v>
      </c>
      <c r="K112" s="840">
        <f t="shared" ref="K112:N112" si="36">(-0.989*(K111^2)-63.78*K111+7771)*(10^(-4))</f>
        <v>0.74273750000000005</v>
      </c>
      <c r="L112" s="840">
        <f t="shared" si="36"/>
        <v>0.74273750000000005</v>
      </c>
      <c r="M112" s="840">
        <f t="shared" si="36"/>
        <v>0.74273750000000005</v>
      </c>
      <c r="N112" s="840">
        <f t="shared" si="36"/>
        <v>0.74273750000000005</v>
      </c>
    </row>
    <row r="113" spans="1:14">
      <c r="A113" s="3469" t="s">
        <v>1912</v>
      </c>
      <c r="B113" s="3469"/>
      <c r="C113" s="3469"/>
      <c r="D113" s="3469"/>
      <c r="E113" s="3469"/>
      <c r="F113" s="3469"/>
      <c r="G113" s="3469"/>
      <c r="H113" s="3469"/>
      <c r="I113" s="3469"/>
      <c r="J113" s="3469"/>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v>
      </c>
      <c r="E116" s="513" t="s">
        <v>1738</v>
      </c>
      <c r="F116" s="862" t="str">
        <f>E2</f>
        <v>商业</v>
      </c>
      <c r="G116" s="513" t="s">
        <v>1739</v>
      </c>
      <c r="H116" s="862" t="str">
        <f>G2</f>
        <v>四级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79" t="s">
        <v>229</v>
      </c>
      <c r="B20" s="3485" t="s">
        <v>1934</v>
      </c>
      <c r="C20" s="462" t="s">
        <v>244</v>
      </c>
      <c r="D20" s="462"/>
      <c r="E20" s="463">
        <v>1</v>
      </c>
      <c r="F20" s="464" t="s">
        <v>1935</v>
      </c>
      <c r="G20" s="464"/>
    </row>
    <row r="21" spans="1:13" ht="19.5" customHeight="1">
      <c r="A21" s="3480"/>
      <c r="B21" s="3486"/>
      <c r="C21" s="465" t="s">
        <v>259</v>
      </c>
      <c r="D21" s="465"/>
      <c r="E21" s="466">
        <v>1</v>
      </c>
      <c r="F21" s="464" t="s">
        <v>1936</v>
      </c>
      <c r="G21" s="464"/>
    </row>
    <row r="22" spans="1:13" ht="19.5" customHeight="1">
      <c r="A22" s="3480"/>
      <c r="B22" s="3486"/>
      <c r="C22" s="465" t="s">
        <v>270</v>
      </c>
      <c r="D22" s="465"/>
      <c r="E22" s="466">
        <v>0.9</v>
      </c>
      <c r="F22" s="464" t="s">
        <v>1937</v>
      </c>
      <c r="G22" s="464"/>
    </row>
    <row r="23" spans="1:13" ht="19.5" customHeight="1">
      <c r="A23" s="3480"/>
      <c r="B23" s="3486"/>
      <c r="C23" s="465" t="s">
        <v>281</v>
      </c>
      <c r="D23" s="465"/>
      <c r="E23" s="466">
        <v>0.9</v>
      </c>
      <c r="F23" s="464" t="s">
        <v>1938</v>
      </c>
      <c r="G23" s="464"/>
    </row>
    <row r="24" spans="1:13" ht="19.5" customHeight="1">
      <c r="A24" s="3480"/>
      <c r="B24" s="3486"/>
      <c r="C24" s="465" t="s">
        <v>290</v>
      </c>
      <c r="D24" s="465"/>
      <c r="E24" s="466">
        <v>0.8</v>
      </c>
      <c r="F24" s="464" t="s">
        <v>1939</v>
      </c>
      <c r="G24" s="464"/>
    </row>
    <row r="25" spans="1:13" ht="19.5" customHeight="1">
      <c r="A25" s="3480"/>
      <c r="B25" s="3486"/>
      <c r="C25" s="465" t="s">
        <v>298</v>
      </c>
      <c r="D25" s="465"/>
      <c r="E25" s="466">
        <v>0.8</v>
      </c>
      <c r="F25" s="464"/>
      <c r="G25" s="464"/>
    </row>
    <row r="26" spans="1:13" ht="19.5" customHeight="1">
      <c r="A26" s="3480"/>
      <c r="B26" s="3486"/>
      <c r="C26" s="465" t="s">
        <v>306</v>
      </c>
      <c r="D26" s="465"/>
      <c r="E26" s="466">
        <v>0.43</v>
      </c>
      <c r="F26" s="464"/>
      <c r="G26" s="464"/>
    </row>
    <row r="27" spans="1:13" ht="19.5" customHeight="1">
      <c r="A27" s="3481"/>
      <c r="B27" s="3487"/>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82" t="s">
        <v>231</v>
      </c>
      <c r="B29" s="3488" t="s">
        <v>231</v>
      </c>
      <c r="C29" s="474" t="s">
        <v>246</v>
      </c>
      <c r="D29" s="475"/>
      <c r="E29" s="463">
        <v>1</v>
      </c>
      <c r="F29" s="464" t="s">
        <v>1942</v>
      </c>
      <c r="G29" s="464"/>
    </row>
    <row r="30" spans="1:13" ht="19.5" customHeight="1">
      <c r="A30" s="3483"/>
      <c r="B30" s="3489"/>
      <c r="C30" s="476" t="s">
        <v>260</v>
      </c>
      <c r="D30" s="477"/>
      <c r="E30" s="466">
        <v>1</v>
      </c>
      <c r="F30" s="464" t="s">
        <v>1943</v>
      </c>
      <c r="G30" s="464"/>
    </row>
    <row r="31" spans="1:13" ht="19.5" customHeight="1">
      <c r="A31" s="3483"/>
      <c r="B31" s="3489"/>
      <c r="C31" s="476" t="s">
        <v>271</v>
      </c>
      <c r="D31" s="477"/>
      <c r="E31" s="466">
        <v>0.8</v>
      </c>
      <c r="F31" s="464" t="s">
        <v>1944</v>
      </c>
      <c r="G31" s="464"/>
    </row>
    <row r="32" spans="1:13" ht="19.5" customHeight="1">
      <c r="A32" s="3483"/>
      <c r="B32" s="3489"/>
      <c r="C32" s="476" t="s">
        <v>282</v>
      </c>
      <c r="D32" s="477"/>
      <c r="E32" s="466">
        <v>0.8</v>
      </c>
      <c r="F32" s="464" t="s">
        <v>1945</v>
      </c>
      <c r="G32" s="464"/>
    </row>
    <row r="33" spans="1:7" ht="19.5" customHeight="1">
      <c r="A33" s="3483"/>
      <c r="B33" s="3489"/>
      <c r="C33" s="476" t="s">
        <v>291</v>
      </c>
      <c r="D33" s="477"/>
      <c r="E33" s="466">
        <v>0.8</v>
      </c>
      <c r="F33" s="464" t="s">
        <v>1946</v>
      </c>
      <c r="G33" s="464"/>
    </row>
    <row r="34" spans="1:7" ht="19.5" customHeight="1">
      <c r="A34" s="3483"/>
      <c r="B34" s="3489"/>
      <c r="C34" s="476" t="s">
        <v>299</v>
      </c>
      <c r="D34" s="477"/>
      <c r="E34" s="466">
        <v>0.7</v>
      </c>
      <c r="F34" s="464" t="s">
        <v>1947</v>
      </c>
      <c r="G34" s="464"/>
    </row>
    <row r="35" spans="1:7" ht="19.5" customHeight="1">
      <c r="A35" s="3483"/>
      <c r="B35" s="3489"/>
      <c r="C35" s="476" t="s">
        <v>307</v>
      </c>
      <c r="D35" s="477"/>
      <c r="E35" s="466">
        <v>0.8</v>
      </c>
      <c r="F35" s="464" t="s">
        <v>1948</v>
      </c>
      <c r="G35" s="464"/>
    </row>
    <row r="36" spans="1:7" ht="19.5" customHeight="1">
      <c r="A36" s="3483"/>
      <c r="B36" s="3489"/>
      <c r="C36" s="476" t="s">
        <v>314</v>
      </c>
      <c r="D36" s="477"/>
      <c r="E36" s="466">
        <v>0.6</v>
      </c>
      <c r="F36" s="464" t="s">
        <v>1949</v>
      </c>
      <c r="G36" s="464"/>
    </row>
    <row r="37" spans="1:7" ht="19.5" customHeight="1">
      <c r="A37" s="3483"/>
      <c r="B37" s="3489"/>
      <c r="C37" s="476" t="s">
        <v>320</v>
      </c>
      <c r="D37" s="477"/>
      <c r="E37" s="466">
        <v>0.2</v>
      </c>
      <c r="F37" s="464" t="s">
        <v>1950</v>
      </c>
      <c r="G37" s="464"/>
    </row>
    <row r="38" spans="1:7" ht="19.5" customHeight="1">
      <c r="A38" s="3483"/>
      <c r="B38" s="3489"/>
      <c r="C38" s="476" t="s">
        <v>326</v>
      </c>
      <c r="D38" s="477"/>
      <c r="E38" s="466">
        <v>0.2</v>
      </c>
      <c r="F38" s="464" t="s">
        <v>1951</v>
      </c>
      <c r="G38" s="464"/>
    </row>
    <row r="39" spans="1:7" ht="19.5" customHeight="1">
      <c r="A39" s="3483"/>
      <c r="B39" s="3490" t="s">
        <v>1952</v>
      </c>
      <c r="C39" s="476" t="s">
        <v>332</v>
      </c>
      <c r="D39" s="477"/>
      <c r="E39" s="466">
        <v>0.6</v>
      </c>
      <c r="F39" s="464" t="s">
        <v>1953</v>
      </c>
      <c r="G39" s="464"/>
    </row>
    <row r="40" spans="1:7" ht="19.5" customHeight="1">
      <c r="A40" s="3483"/>
      <c r="B40" s="3489"/>
      <c r="C40" s="476" t="s">
        <v>338</v>
      </c>
      <c r="D40" s="477"/>
      <c r="E40" s="466">
        <v>0.6</v>
      </c>
      <c r="F40" s="464" t="s">
        <v>1954</v>
      </c>
      <c r="G40" s="464"/>
    </row>
    <row r="41" spans="1:7" ht="19.5" customHeight="1">
      <c r="A41" s="3484"/>
      <c r="B41" s="3491"/>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79" t="s">
        <v>233</v>
      </c>
      <c r="B43" s="3488" t="s">
        <v>1957</v>
      </c>
      <c r="C43" s="474" t="s">
        <v>248</v>
      </c>
      <c r="D43" s="475"/>
      <c r="E43" s="463">
        <v>1</v>
      </c>
      <c r="F43" s="464" t="s">
        <v>1958</v>
      </c>
      <c r="G43" s="464"/>
    </row>
    <row r="44" spans="1:7" ht="19.5" customHeight="1">
      <c r="A44" s="3480"/>
      <c r="B44" s="3489"/>
      <c r="C44" s="476" t="s">
        <v>261</v>
      </c>
      <c r="D44" s="477"/>
      <c r="E44" s="466">
        <v>1</v>
      </c>
      <c r="F44" s="464" t="s">
        <v>1959</v>
      </c>
      <c r="G44" s="464"/>
    </row>
    <row r="45" spans="1:7" ht="19.5" customHeight="1">
      <c r="A45" s="3480"/>
      <c r="B45" s="3492"/>
      <c r="C45" s="476" t="s">
        <v>272</v>
      </c>
      <c r="D45" s="477"/>
      <c r="E45" s="466">
        <v>1.5</v>
      </c>
      <c r="F45" s="464" t="s">
        <v>1960</v>
      </c>
      <c r="G45" s="464"/>
    </row>
    <row r="46" spans="1:7" ht="19.5" customHeight="1">
      <c r="A46" s="3480"/>
      <c r="B46" s="465" t="s">
        <v>231</v>
      </c>
      <c r="C46" s="476" t="s">
        <v>283</v>
      </c>
      <c r="D46" s="477"/>
      <c r="E46" s="466">
        <v>2</v>
      </c>
      <c r="F46" s="464" t="s">
        <v>1961</v>
      </c>
      <c r="G46" s="464"/>
    </row>
    <row r="47" spans="1:7" ht="19.5" customHeight="1">
      <c r="A47" s="3480"/>
      <c r="B47" s="3490" t="s">
        <v>1962</v>
      </c>
      <c r="C47" s="476" t="s">
        <v>292</v>
      </c>
      <c r="D47" s="477"/>
      <c r="E47" s="466">
        <v>1</v>
      </c>
      <c r="F47" s="464" t="s">
        <v>1963</v>
      </c>
      <c r="G47" s="464"/>
    </row>
    <row r="48" spans="1:7" ht="19.5" customHeight="1">
      <c r="A48" s="3480"/>
      <c r="B48" s="3489"/>
      <c r="C48" s="476" t="s">
        <v>300</v>
      </c>
      <c r="D48" s="477"/>
      <c r="E48" s="466">
        <v>1</v>
      </c>
      <c r="F48" s="464" t="s">
        <v>1964</v>
      </c>
      <c r="G48" s="464"/>
    </row>
    <row r="49" spans="1:7" ht="19.5" customHeight="1">
      <c r="A49" s="3480"/>
      <c r="B49" s="3489"/>
      <c r="C49" s="476" t="s">
        <v>308</v>
      </c>
      <c r="D49" s="477"/>
      <c r="E49" s="466">
        <v>1</v>
      </c>
      <c r="F49" s="464" t="s">
        <v>1965</v>
      </c>
      <c r="G49" s="464"/>
    </row>
    <row r="50" spans="1:7" ht="19.5" customHeight="1">
      <c r="A50" s="3480"/>
      <c r="B50" s="3489"/>
      <c r="C50" s="476" t="s">
        <v>315</v>
      </c>
      <c r="D50" s="477"/>
      <c r="E50" s="466">
        <v>1</v>
      </c>
      <c r="F50" s="464" t="s">
        <v>1966</v>
      </c>
      <c r="G50" s="464"/>
    </row>
    <row r="51" spans="1:7" ht="19.5" customHeight="1">
      <c r="A51" s="3480"/>
      <c r="B51" s="3489"/>
      <c r="C51" s="476" t="s">
        <v>321</v>
      </c>
      <c r="D51" s="477"/>
      <c r="E51" s="466">
        <v>1</v>
      </c>
      <c r="F51" s="464" t="s">
        <v>1967</v>
      </c>
      <c r="G51" s="464"/>
    </row>
    <row r="52" spans="1:7" ht="19.5" customHeight="1">
      <c r="A52" s="3480"/>
      <c r="B52" s="3489"/>
      <c r="C52" s="476" t="s">
        <v>327</v>
      </c>
      <c r="D52" s="477"/>
      <c r="E52" s="466">
        <v>1</v>
      </c>
      <c r="F52" s="464" t="s">
        <v>1968</v>
      </c>
      <c r="G52" s="464"/>
    </row>
    <row r="53" spans="1:7" ht="19.5" customHeight="1">
      <c r="A53" s="3481"/>
      <c r="B53" s="3491"/>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90" t="s">
        <v>1980</v>
      </c>
      <c r="C75" s="454" t="s">
        <v>1981</v>
      </c>
      <c r="D75" s="454" t="s">
        <v>1982</v>
      </c>
      <c r="E75" s="465">
        <v>0.2</v>
      </c>
      <c r="F75" s="465">
        <v>25</v>
      </c>
    </row>
    <row r="76" spans="1:7" ht="24">
      <c r="A76" s="465">
        <v>2</v>
      </c>
      <c r="B76" s="3489"/>
      <c r="C76" s="454" t="s">
        <v>1983</v>
      </c>
      <c r="D76" s="454" t="s">
        <v>1984</v>
      </c>
      <c r="E76" s="465">
        <v>0.2</v>
      </c>
      <c r="F76" s="465">
        <v>25</v>
      </c>
    </row>
    <row r="77" spans="1:7" ht="24">
      <c r="A77" s="465">
        <v>3</v>
      </c>
      <c r="B77" s="3489"/>
      <c r="C77" s="454" t="s">
        <v>1985</v>
      </c>
      <c r="D77" s="454" t="s">
        <v>1986</v>
      </c>
      <c r="E77" s="465">
        <v>0.2</v>
      </c>
      <c r="F77" s="465">
        <v>25</v>
      </c>
    </row>
    <row r="78" spans="1:7" ht="13.5">
      <c r="A78" s="465">
        <v>4</v>
      </c>
      <c r="B78" s="3489"/>
      <c r="C78" s="454" t="s">
        <v>1987</v>
      </c>
      <c r="D78" s="454" t="s">
        <v>1988</v>
      </c>
      <c r="E78" s="465">
        <v>0.15</v>
      </c>
      <c r="F78" s="465">
        <v>20</v>
      </c>
    </row>
    <row r="79" spans="1:7" ht="24">
      <c r="A79" s="465">
        <v>5</v>
      </c>
      <c r="B79" s="3489"/>
      <c r="C79" s="454" t="s">
        <v>1989</v>
      </c>
      <c r="D79" s="454" t="s">
        <v>1990</v>
      </c>
      <c r="E79" s="465">
        <v>0.15</v>
      </c>
      <c r="F79" s="465">
        <v>20</v>
      </c>
    </row>
    <row r="80" spans="1:7" ht="24">
      <c r="A80" s="465">
        <v>6</v>
      </c>
      <c r="B80" s="3489"/>
      <c r="C80" s="454" t="s">
        <v>1991</v>
      </c>
      <c r="D80" s="454" t="s">
        <v>1992</v>
      </c>
      <c r="E80" s="465">
        <v>0.15</v>
      </c>
      <c r="F80" s="465">
        <v>20</v>
      </c>
    </row>
    <row r="81" spans="1:6" ht="24">
      <c r="A81" s="465">
        <v>7</v>
      </c>
      <c r="B81" s="3489"/>
      <c r="C81" s="454" t="s">
        <v>1993</v>
      </c>
      <c r="D81" s="454" t="s">
        <v>1994</v>
      </c>
      <c r="E81" s="465">
        <v>0.15</v>
      </c>
      <c r="F81" s="465">
        <v>20</v>
      </c>
    </row>
    <row r="82" spans="1:6" ht="24">
      <c r="A82" s="465">
        <v>8</v>
      </c>
      <c r="B82" s="3489"/>
      <c r="C82" s="454" t="s">
        <v>1995</v>
      </c>
      <c r="D82" s="454" t="s">
        <v>1996</v>
      </c>
      <c r="E82" s="465">
        <v>0.1</v>
      </c>
      <c r="F82" s="465">
        <v>15</v>
      </c>
    </row>
    <row r="83" spans="1:6" ht="24">
      <c r="A83" s="465">
        <v>9</v>
      </c>
      <c r="B83" s="3489"/>
      <c r="C83" s="454" t="s">
        <v>1997</v>
      </c>
      <c r="D83" s="454" t="s">
        <v>1998</v>
      </c>
      <c r="E83" s="465">
        <v>0.1</v>
      </c>
      <c r="F83" s="465">
        <v>15</v>
      </c>
    </row>
    <row r="84" spans="1:6" ht="24">
      <c r="A84" s="465">
        <v>10</v>
      </c>
      <c r="B84" s="3489"/>
      <c r="C84" s="454" t="s">
        <v>1999</v>
      </c>
      <c r="D84" s="454" t="s">
        <v>2000</v>
      </c>
      <c r="E84" s="465">
        <v>0.1</v>
      </c>
      <c r="F84" s="465">
        <v>15</v>
      </c>
    </row>
    <row r="85" spans="1:6" ht="24">
      <c r="A85" s="465">
        <v>11</v>
      </c>
      <c r="B85" s="3489"/>
      <c r="C85" s="454" t="s">
        <v>2001</v>
      </c>
      <c r="D85" s="454" t="s">
        <v>2002</v>
      </c>
      <c r="E85" s="465">
        <v>0.1</v>
      </c>
      <c r="F85" s="465">
        <v>15</v>
      </c>
    </row>
    <row r="86" spans="1:6" ht="24">
      <c r="A86" s="465">
        <v>12</v>
      </c>
      <c r="B86" s="3489"/>
      <c r="C86" s="454" t="s">
        <v>2003</v>
      </c>
      <c r="D86" s="454" t="s">
        <v>2004</v>
      </c>
      <c r="E86" s="465">
        <v>0.1</v>
      </c>
      <c r="F86" s="465">
        <v>15</v>
      </c>
    </row>
    <row r="87" spans="1:6" ht="13.5">
      <c r="A87" s="465">
        <v>13</v>
      </c>
      <c r="B87" s="3489"/>
      <c r="C87" s="454" t="s">
        <v>2005</v>
      </c>
      <c r="D87" s="454" t="s">
        <v>2006</v>
      </c>
      <c r="E87" s="465">
        <v>0.1</v>
      </c>
      <c r="F87" s="465">
        <v>15</v>
      </c>
    </row>
    <row r="88" spans="1:6" ht="13.5">
      <c r="A88" s="465">
        <v>14</v>
      </c>
      <c r="B88" s="3489"/>
      <c r="C88" s="454" t="s">
        <v>2007</v>
      </c>
      <c r="D88" s="454" t="s">
        <v>2008</v>
      </c>
      <c r="E88" s="465">
        <v>0.1</v>
      </c>
      <c r="F88" s="465">
        <v>15</v>
      </c>
    </row>
    <row r="89" spans="1:6" ht="13.5">
      <c r="A89" s="465">
        <v>15</v>
      </c>
      <c r="B89" s="3489"/>
      <c r="C89" s="454" t="s">
        <v>2009</v>
      </c>
      <c r="D89" s="454" t="s">
        <v>2010</v>
      </c>
      <c r="E89" s="465">
        <v>0.1</v>
      </c>
      <c r="F89" s="465">
        <v>15</v>
      </c>
    </row>
    <row r="90" spans="1:6" ht="24">
      <c r="A90" s="465">
        <v>16</v>
      </c>
      <c r="B90" s="3489"/>
      <c r="C90" s="454" t="s">
        <v>2011</v>
      </c>
      <c r="D90" s="454" t="s">
        <v>2012</v>
      </c>
      <c r="E90" s="465">
        <v>0.1</v>
      </c>
      <c r="F90" s="465">
        <v>15</v>
      </c>
    </row>
    <row r="91" spans="1:6" ht="24">
      <c r="A91" s="465">
        <v>17</v>
      </c>
      <c r="B91" s="3492"/>
      <c r="C91" s="454" t="s">
        <v>2013</v>
      </c>
      <c r="D91" s="454" t="s">
        <v>2014</v>
      </c>
      <c r="E91" s="465">
        <v>0.1</v>
      </c>
      <c r="F91" s="465">
        <v>15</v>
      </c>
    </row>
    <row r="92" spans="1:6" ht="13.5">
      <c r="A92" s="465">
        <v>18</v>
      </c>
      <c r="B92" s="3490" t="s">
        <v>2015</v>
      </c>
      <c r="C92" s="454" t="s">
        <v>2016</v>
      </c>
      <c r="D92" s="454" t="s">
        <v>2017</v>
      </c>
      <c r="E92" s="465">
        <v>0.2</v>
      </c>
      <c r="F92" s="465">
        <v>25</v>
      </c>
    </row>
    <row r="93" spans="1:6" ht="24">
      <c r="A93" s="465">
        <v>19</v>
      </c>
      <c r="B93" s="3489"/>
      <c r="C93" s="454" t="s">
        <v>2018</v>
      </c>
      <c r="D93" s="454" t="s">
        <v>2019</v>
      </c>
      <c r="E93" s="465">
        <v>0.2</v>
      </c>
      <c r="F93" s="465">
        <v>25</v>
      </c>
    </row>
    <row r="94" spans="1:6" ht="13.5">
      <c r="A94" s="465">
        <v>20</v>
      </c>
      <c r="B94" s="3489"/>
      <c r="C94" s="454" t="s">
        <v>2020</v>
      </c>
      <c r="D94" s="454" t="s">
        <v>2021</v>
      </c>
      <c r="E94" s="465">
        <v>0.15</v>
      </c>
      <c r="F94" s="465">
        <v>20</v>
      </c>
    </row>
    <row r="95" spans="1:6" ht="13.5">
      <c r="A95" s="465">
        <v>21</v>
      </c>
      <c r="B95" s="3489"/>
      <c r="C95" s="454" t="s">
        <v>2022</v>
      </c>
      <c r="D95" s="454" t="s">
        <v>2023</v>
      </c>
      <c r="E95" s="465">
        <v>0.15</v>
      </c>
      <c r="F95" s="465">
        <v>20</v>
      </c>
    </row>
    <row r="96" spans="1:6" ht="13.5">
      <c r="A96" s="465">
        <v>22</v>
      </c>
      <c r="B96" s="3489"/>
      <c r="C96" s="454" t="s">
        <v>2024</v>
      </c>
      <c r="D96" s="454" t="s">
        <v>2025</v>
      </c>
      <c r="E96" s="465">
        <v>0.15</v>
      </c>
      <c r="F96" s="465">
        <v>20</v>
      </c>
    </row>
    <row r="97" spans="1:6" ht="36">
      <c r="A97" s="465">
        <v>23</v>
      </c>
      <c r="B97" s="3489"/>
      <c r="C97" s="454" t="s">
        <v>2026</v>
      </c>
      <c r="D97" s="454" t="s">
        <v>2027</v>
      </c>
      <c r="E97" s="465">
        <v>0.15</v>
      </c>
      <c r="F97" s="465">
        <v>20</v>
      </c>
    </row>
    <row r="98" spans="1:6" ht="13.5">
      <c r="A98" s="465">
        <v>24</v>
      </c>
      <c r="B98" s="3489"/>
      <c r="C98" s="454" t="s">
        <v>2028</v>
      </c>
      <c r="D98" s="454" t="s">
        <v>2029</v>
      </c>
      <c r="E98" s="465">
        <v>0.1</v>
      </c>
      <c r="F98" s="465">
        <v>15</v>
      </c>
    </row>
    <row r="99" spans="1:6" ht="13.5">
      <c r="A99" s="465">
        <v>25</v>
      </c>
      <c r="B99" s="3489"/>
      <c r="C99" s="454" t="s">
        <v>2030</v>
      </c>
      <c r="D99" s="454" t="s">
        <v>2031</v>
      </c>
      <c r="E99" s="465">
        <v>0.1</v>
      </c>
      <c r="F99" s="465">
        <v>15</v>
      </c>
    </row>
    <row r="100" spans="1:6" ht="24">
      <c r="A100" s="465">
        <v>26</v>
      </c>
      <c r="B100" s="3489"/>
      <c r="C100" s="454" t="s">
        <v>2032</v>
      </c>
      <c r="D100" s="454" t="s">
        <v>2033</v>
      </c>
      <c r="E100" s="465">
        <v>0.1</v>
      </c>
      <c r="F100" s="465">
        <v>15</v>
      </c>
    </row>
    <row r="101" spans="1:6" ht="24">
      <c r="A101" s="465">
        <v>27</v>
      </c>
      <c r="B101" s="3489"/>
      <c r="C101" s="454" t="s">
        <v>2034</v>
      </c>
      <c r="D101" s="454" t="s">
        <v>2035</v>
      </c>
      <c r="E101" s="465">
        <v>0.1</v>
      </c>
      <c r="F101" s="465">
        <v>15</v>
      </c>
    </row>
    <row r="102" spans="1:6" ht="13.5">
      <c r="A102" s="465">
        <v>28</v>
      </c>
      <c r="B102" s="3489"/>
      <c r="C102" s="454" t="s">
        <v>2036</v>
      </c>
      <c r="D102" s="454" t="s">
        <v>2037</v>
      </c>
      <c r="E102" s="465">
        <v>0.1</v>
      </c>
      <c r="F102" s="465">
        <v>15</v>
      </c>
    </row>
    <row r="103" spans="1:6" ht="13.5">
      <c r="A103" s="465">
        <v>29</v>
      </c>
      <c r="B103" s="3489"/>
      <c r="C103" s="454" t="s">
        <v>2038</v>
      </c>
      <c r="D103" s="454" t="s">
        <v>2039</v>
      </c>
      <c r="E103" s="465">
        <v>0.1</v>
      </c>
      <c r="F103" s="465">
        <v>15</v>
      </c>
    </row>
    <row r="104" spans="1:6" ht="13.5">
      <c r="A104" s="465">
        <v>30</v>
      </c>
      <c r="B104" s="3489"/>
      <c r="C104" s="454" t="s">
        <v>2040</v>
      </c>
      <c r="D104" s="454" t="s">
        <v>2041</v>
      </c>
      <c r="E104" s="465">
        <v>0.1</v>
      </c>
      <c r="F104" s="465">
        <v>15</v>
      </c>
    </row>
    <row r="105" spans="1:6" ht="24">
      <c r="A105" s="465">
        <v>31</v>
      </c>
      <c r="B105" s="3489"/>
      <c r="C105" s="454" t="s">
        <v>2042</v>
      </c>
      <c r="D105" s="454" t="s">
        <v>2043</v>
      </c>
      <c r="E105" s="465">
        <v>0.1</v>
      </c>
      <c r="F105" s="465">
        <v>15</v>
      </c>
    </row>
    <row r="106" spans="1:6" ht="24">
      <c r="A106" s="465">
        <v>32</v>
      </c>
      <c r="B106" s="3489"/>
      <c r="C106" s="454" t="s">
        <v>2044</v>
      </c>
      <c r="D106" s="454" t="s">
        <v>2045</v>
      </c>
      <c r="E106" s="465">
        <v>0.1</v>
      </c>
      <c r="F106" s="465">
        <v>15</v>
      </c>
    </row>
    <row r="107" spans="1:6" ht="24">
      <c r="A107" s="465">
        <v>33</v>
      </c>
      <c r="B107" s="3489"/>
      <c r="C107" s="454" t="s">
        <v>2046</v>
      </c>
      <c r="D107" s="454" t="s">
        <v>2047</v>
      </c>
      <c r="E107" s="465">
        <v>0.1</v>
      </c>
      <c r="F107" s="465">
        <v>15</v>
      </c>
    </row>
    <row r="108" spans="1:6" ht="24">
      <c r="A108" s="465">
        <v>34</v>
      </c>
      <c r="B108" s="3492"/>
      <c r="C108" s="454" t="s">
        <v>2048</v>
      </c>
      <c r="D108" s="454" t="s">
        <v>2049</v>
      </c>
      <c r="E108" s="465">
        <v>0.1</v>
      </c>
      <c r="F108" s="465">
        <v>15</v>
      </c>
    </row>
    <row r="109" spans="1:6" ht="24">
      <c r="A109" s="465">
        <v>35</v>
      </c>
      <c r="B109" s="3490" t="s">
        <v>2050</v>
      </c>
      <c r="C109" s="465" t="s">
        <v>2051</v>
      </c>
      <c r="D109" s="454" t="s">
        <v>2052</v>
      </c>
      <c r="E109" s="465">
        <v>0.15</v>
      </c>
      <c r="F109" s="465">
        <v>20</v>
      </c>
    </row>
    <row r="110" spans="1:6" ht="13.5">
      <c r="A110" s="465">
        <v>36</v>
      </c>
      <c r="B110" s="3489"/>
      <c r="C110" s="465" t="s">
        <v>2053</v>
      </c>
      <c r="D110" s="454" t="s">
        <v>2054</v>
      </c>
      <c r="E110" s="465">
        <v>0.15</v>
      </c>
      <c r="F110" s="465">
        <v>20</v>
      </c>
    </row>
    <row r="111" spans="1:6" ht="13.5">
      <c r="A111" s="465">
        <v>37</v>
      </c>
      <c r="B111" s="3489"/>
      <c r="C111" s="465" t="s">
        <v>2055</v>
      </c>
      <c r="D111" s="454" t="s">
        <v>2056</v>
      </c>
      <c r="E111" s="465">
        <v>0.15</v>
      </c>
      <c r="F111" s="465">
        <v>20</v>
      </c>
    </row>
    <row r="112" spans="1:6" ht="13.5">
      <c r="A112" s="465">
        <v>38</v>
      </c>
      <c r="B112" s="3489"/>
      <c r="C112" s="465" t="s">
        <v>2057</v>
      </c>
      <c r="D112" s="454" t="s">
        <v>2058</v>
      </c>
      <c r="E112" s="465">
        <v>0.1</v>
      </c>
      <c r="F112" s="465">
        <v>15</v>
      </c>
    </row>
    <row r="113" spans="1:6" ht="24">
      <c r="A113" s="465">
        <v>39</v>
      </c>
      <c r="B113" s="3489"/>
      <c r="C113" s="465" t="s">
        <v>2059</v>
      </c>
      <c r="D113" s="454" t="s">
        <v>2060</v>
      </c>
      <c r="E113" s="465">
        <v>0.1</v>
      </c>
      <c r="F113" s="465">
        <v>15</v>
      </c>
    </row>
    <row r="114" spans="1:6" ht="24">
      <c r="A114" s="465">
        <v>40</v>
      </c>
      <c r="B114" s="3492"/>
      <c r="C114" s="465" t="s">
        <v>2061</v>
      </c>
      <c r="D114" s="454" t="s">
        <v>2062</v>
      </c>
      <c r="E114" s="465">
        <v>0.1</v>
      </c>
      <c r="F114" s="465">
        <v>15</v>
      </c>
    </row>
    <row r="115" spans="1:6" ht="13.5">
      <c r="A115" s="465">
        <v>41</v>
      </c>
      <c r="B115" s="3486" t="s">
        <v>2063</v>
      </c>
      <c r="C115" s="465" t="s">
        <v>2064</v>
      </c>
      <c r="D115" s="454" t="s">
        <v>2065</v>
      </c>
      <c r="E115" s="465">
        <v>0.1</v>
      </c>
      <c r="F115" s="465">
        <v>15</v>
      </c>
    </row>
    <row r="116" spans="1:6" ht="13.5">
      <c r="A116" s="465">
        <v>42</v>
      </c>
      <c r="B116" s="3486"/>
      <c r="C116" s="465" t="s">
        <v>2066</v>
      </c>
      <c r="D116" s="454" t="s">
        <v>2067</v>
      </c>
      <c r="E116" s="465">
        <v>0.1</v>
      </c>
      <c r="F116" s="465">
        <v>15</v>
      </c>
    </row>
    <row r="117" spans="1:6" ht="24">
      <c r="A117" s="465">
        <v>43</v>
      </c>
      <c r="B117" s="3486"/>
      <c r="C117" s="465" t="s">
        <v>2068</v>
      </c>
      <c r="D117" s="454" t="s">
        <v>2069</v>
      </c>
      <c r="E117" s="465">
        <v>0.1</v>
      </c>
      <c r="F117" s="465">
        <v>15</v>
      </c>
    </row>
    <row r="118" spans="1:6" ht="13.5">
      <c r="A118" s="465">
        <v>44</v>
      </c>
      <c r="B118" s="3490" t="s">
        <v>2070</v>
      </c>
      <c r="C118" s="465" t="s">
        <v>2071</v>
      </c>
      <c r="D118" s="454" t="s">
        <v>2072</v>
      </c>
      <c r="E118" s="465">
        <v>0.1</v>
      </c>
      <c r="F118" s="465">
        <v>15</v>
      </c>
    </row>
    <row r="119" spans="1:6" ht="24">
      <c r="A119" s="465">
        <v>45</v>
      </c>
      <c r="B119" s="3492"/>
      <c r="C119" s="454" t="s">
        <v>2073</v>
      </c>
      <c r="D119" s="454" t="s">
        <v>2074</v>
      </c>
      <c r="E119" s="465">
        <v>0.1</v>
      </c>
      <c r="F119" s="465">
        <v>15</v>
      </c>
    </row>
    <row r="120" spans="1:6" ht="24">
      <c r="A120" s="465">
        <v>46</v>
      </c>
      <c r="B120" s="3490" t="s">
        <v>2075</v>
      </c>
      <c r="C120" s="465" t="s">
        <v>2076</v>
      </c>
      <c r="D120" s="454" t="s">
        <v>2077</v>
      </c>
      <c r="E120" s="465">
        <v>0.1</v>
      </c>
      <c r="F120" s="465">
        <v>15</v>
      </c>
    </row>
    <row r="121" spans="1:6" ht="24">
      <c r="A121" s="465">
        <v>47</v>
      </c>
      <c r="B121" s="3492"/>
      <c r="C121" s="465" t="s">
        <v>2078</v>
      </c>
      <c r="D121" s="454" t="s">
        <v>2079</v>
      </c>
      <c r="E121" s="465">
        <v>0.1</v>
      </c>
      <c r="F121" s="465">
        <v>15</v>
      </c>
    </row>
    <row r="122" spans="1:6" ht="13.5">
      <c r="A122" s="465">
        <v>48</v>
      </c>
      <c r="B122" s="3490" t="s">
        <v>2080</v>
      </c>
      <c r="C122" s="465" t="s">
        <v>2081</v>
      </c>
      <c r="D122" s="454" t="s">
        <v>2082</v>
      </c>
      <c r="E122" s="465">
        <v>0.1</v>
      </c>
      <c r="F122" s="465">
        <v>15</v>
      </c>
    </row>
    <row r="123" spans="1:6" ht="13.5">
      <c r="A123" s="465">
        <v>49</v>
      </c>
      <c r="B123" s="3492"/>
      <c r="C123" s="465" t="s">
        <v>2083</v>
      </c>
      <c r="D123" s="454" t="s">
        <v>2084</v>
      </c>
      <c r="E123" s="465">
        <v>0.1</v>
      </c>
      <c r="F123" s="465">
        <v>15</v>
      </c>
    </row>
    <row r="124" spans="1:6" ht="24">
      <c r="A124" s="465">
        <v>50</v>
      </c>
      <c r="B124" s="3486" t="s">
        <v>2085</v>
      </c>
      <c r="C124" s="465" t="s">
        <v>2086</v>
      </c>
      <c r="D124" s="454" t="s">
        <v>2087</v>
      </c>
      <c r="E124" s="465">
        <v>0.1</v>
      </c>
      <c r="F124" s="465">
        <v>15</v>
      </c>
    </row>
    <row r="125" spans="1:6" ht="24">
      <c r="A125" s="465">
        <v>51</v>
      </c>
      <c r="B125" s="3486"/>
      <c r="C125" s="465" t="s">
        <v>2088</v>
      </c>
      <c r="D125" s="454" t="s">
        <v>2089</v>
      </c>
      <c r="E125" s="465">
        <v>0.1</v>
      </c>
      <c r="F125" s="465">
        <v>15</v>
      </c>
    </row>
    <row r="126" spans="1:6" ht="24">
      <c r="A126" s="465">
        <v>52</v>
      </c>
      <c r="B126" s="3486" t="s">
        <v>2090</v>
      </c>
      <c r="C126" s="465" t="s">
        <v>2091</v>
      </c>
      <c r="D126" s="454" t="s">
        <v>2092</v>
      </c>
      <c r="E126" s="465">
        <v>0.1</v>
      </c>
      <c r="F126" s="465">
        <v>15</v>
      </c>
    </row>
    <row r="127" spans="1:6" ht="24">
      <c r="A127" s="465">
        <v>53</v>
      </c>
      <c r="B127" s="3486"/>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86" t="s">
        <v>2098</v>
      </c>
      <c r="C129" s="465" t="s">
        <v>2099</v>
      </c>
      <c r="D129" s="454" t="s">
        <v>2100</v>
      </c>
      <c r="E129" s="465">
        <v>0.1</v>
      </c>
      <c r="F129" s="465">
        <v>15</v>
      </c>
    </row>
    <row r="130" spans="1:6" ht="13.5">
      <c r="A130" s="465">
        <v>56</v>
      </c>
      <c r="B130" s="3486"/>
      <c r="C130" s="465" t="s">
        <v>2101</v>
      </c>
      <c r="D130" s="454" t="s">
        <v>2102</v>
      </c>
      <c r="E130" s="465">
        <v>0.1</v>
      </c>
      <c r="F130" s="465">
        <v>15</v>
      </c>
    </row>
    <row r="131" spans="1:6" ht="24">
      <c r="A131" s="465">
        <v>57</v>
      </c>
      <c r="B131" s="3486"/>
      <c r="C131" s="465" t="s">
        <v>2103</v>
      </c>
      <c r="D131" s="454" t="s">
        <v>2104</v>
      </c>
      <c r="E131" s="465">
        <v>0.1</v>
      </c>
      <c r="F131" s="465">
        <v>15</v>
      </c>
    </row>
    <row r="132" spans="1:6" ht="24">
      <c r="A132" s="465">
        <v>58</v>
      </c>
      <c r="B132" s="3486" t="s">
        <v>2105</v>
      </c>
      <c r="C132" s="465" t="s">
        <v>2106</v>
      </c>
      <c r="D132" s="454" t="s">
        <v>2107</v>
      </c>
      <c r="E132" s="465">
        <v>0.1</v>
      </c>
      <c r="F132" s="465">
        <v>15</v>
      </c>
    </row>
    <row r="133" spans="1:6" ht="13.5">
      <c r="A133" s="465">
        <v>59</v>
      </c>
      <c r="B133" s="3486"/>
      <c r="C133" s="465" t="s">
        <v>2108</v>
      </c>
      <c r="D133" s="454" t="s">
        <v>2109</v>
      </c>
      <c r="E133" s="465">
        <v>0.1</v>
      </c>
      <c r="F133" s="465">
        <v>15</v>
      </c>
    </row>
    <row r="134" spans="1:6" ht="13.5">
      <c r="A134" s="465">
        <v>60</v>
      </c>
      <c r="B134" s="3490" t="s">
        <v>2110</v>
      </c>
      <c r="C134" s="465" t="s">
        <v>2111</v>
      </c>
      <c r="D134" s="454" t="s">
        <v>2112</v>
      </c>
      <c r="E134" s="465">
        <v>0.1</v>
      </c>
      <c r="F134" s="465">
        <v>15</v>
      </c>
    </row>
    <row r="135" spans="1:6" ht="13.5">
      <c r="A135" s="465">
        <v>61</v>
      </c>
      <c r="B135" s="3492"/>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86" t="s">
        <v>2118</v>
      </c>
      <c r="C137" s="465" t="s">
        <v>2119</v>
      </c>
      <c r="D137" s="454" t="s">
        <v>2120</v>
      </c>
      <c r="E137" s="465">
        <v>0.1</v>
      </c>
      <c r="F137" s="465">
        <v>15</v>
      </c>
    </row>
    <row r="138" spans="1:6" ht="13.5">
      <c r="A138" s="465">
        <v>64</v>
      </c>
      <c r="B138" s="3486"/>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27966</v>
      </c>
      <c r="C2" s="345" t="s">
        <v>1470</v>
      </c>
      <c r="D2" s="342"/>
      <c r="E2" s="342"/>
      <c r="F2" s="342"/>
      <c r="G2" s="342"/>
    </row>
    <row r="3" spans="1:7" s="331" customFormat="1" ht="18" customHeight="1">
      <c r="A3" s="346" t="s">
        <v>2140</v>
      </c>
      <c r="B3" s="347">
        <f ca="1">ROUND(B2*10000/'数据-汇总表'!E3,0)</f>
        <v>2086392</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3</v>
      </c>
      <c r="D10" s="369">
        <f>'数据-汇总表'!E6</f>
        <v>134.04</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3</v>
      </c>
      <c r="D19" s="354">
        <f>'数据-汇总表'!E3</f>
        <v>134.04</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3185</v>
      </c>
      <c r="D27" s="379">
        <f>C29</f>
        <v>3.0000000000000001E-3</v>
      </c>
      <c r="E27" s="380" t="s">
        <v>2166</v>
      </c>
      <c r="F27" s="394">
        <f>'数据-取费表'!Q16</f>
        <v>0.15</v>
      </c>
      <c r="G27" s="395" t="s">
        <v>2177</v>
      </c>
    </row>
    <row r="28" spans="1:7" s="333" customFormat="1" ht="13.5" customHeight="1">
      <c r="A28" s="384" t="s">
        <v>1038</v>
      </c>
      <c r="B28" s="396" t="s">
        <v>2178</v>
      </c>
      <c r="C28" s="397">
        <f>ROUND((C5+C19+C20)*F27*'数据-取费表'!B21/'数据-取费表'!B20,0)</f>
        <v>3185</v>
      </c>
      <c r="D28" s="379"/>
      <c r="E28" s="380"/>
      <c r="F28" s="394"/>
      <c r="G28" s="395"/>
    </row>
    <row r="29" spans="1:7" s="333" customFormat="1" ht="13.5" customHeight="1">
      <c r="A29" s="384" t="s">
        <v>1040</v>
      </c>
      <c r="B29" s="396" t="s">
        <v>2179</v>
      </c>
      <c r="C29" s="386">
        <f>ROUND(C21*F27*'数据-取费表'!B21/'数据-取费表'!B20,4)</f>
        <v>3.0000000000000001E-3</v>
      </c>
      <c r="D29" s="379"/>
      <c r="E29" s="380"/>
      <c r="F29" s="394"/>
      <c r="G29" s="395"/>
    </row>
    <row r="30" spans="1:7" s="333" customFormat="1" ht="13.5" customHeight="1">
      <c r="A30" s="374" t="s">
        <v>2180</v>
      </c>
      <c r="B30" s="352" t="s">
        <v>2181</v>
      </c>
      <c r="C30" s="379">
        <f>F30</f>
        <v>5.6000000000000001E-2</v>
      </c>
      <c r="D30" s="380" t="s">
        <v>2182</v>
      </c>
      <c r="E30" s="389"/>
      <c r="F30" s="383">
        <f>'数据-取费表'!B41</f>
        <v>5.6000000000000001E-2</v>
      </c>
      <c r="G30" s="381" t="s">
        <v>2183</v>
      </c>
    </row>
    <row r="31" spans="1:7" ht="16.5" customHeight="1">
      <c r="A31" s="398">
        <v>1</v>
      </c>
      <c r="B31" s="352" t="s">
        <v>2184</v>
      </c>
      <c r="C31" s="353">
        <f ca="1">ROUND((C5+C19+C20+C22+C27)/(1-C21-D22-D27-C30/(1+'数据-取费表'!B42)),0)</f>
        <v>27891</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67</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60</v>
      </c>
      <c r="D34" s="359"/>
      <c r="E34" s="362"/>
      <c r="F34" s="405">
        <f>IF('数据-取费表'!B24=0,1,'数据-取费表'!N16)</f>
        <v>1</v>
      </c>
      <c r="G34" s="361" t="s">
        <v>2189</v>
      </c>
    </row>
    <row r="35" spans="1:7" ht="13.5" customHeight="1">
      <c r="A35" s="384" t="s">
        <v>1040</v>
      </c>
      <c r="B35" s="357" t="s">
        <v>2190</v>
      </c>
      <c r="C35" s="362">
        <f>ROUND(C34*F35,0)</f>
        <v>3</v>
      </c>
      <c r="D35" s="362"/>
      <c r="E35" s="362"/>
      <c r="F35" s="406">
        <f>'数据-取费表'!B33</f>
        <v>0.05</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3</v>
      </c>
      <c r="D37" s="359">
        <f>'数据-汇总表'!E3</f>
        <v>134.04</v>
      </c>
      <c r="E37" s="397">
        <f>'数据-取费表'!B35</f>
        <v>200</v>
      </c>
      <c r="F37" s="406"/>
      <c r="G37" s="408" t="s">
        <v>2195</v>
      </c>
    </row>
    <row r="38" spans="1:7" ht="13.5" customHeight="1">
      <c r="A38" s="384" t="s">
        <v>1104</v>
      </c>
      <c r="B38" s="357" t="s">
        <v>2153</v>
      </c>
      <c r="C38" s="362">
        <f>ROUND(C34*F38,0)</f>
        <v>1</v>
      </c>
      <c r="D38" s="362"/>
      <c r="E38" s="362"/>
      <c r="F38" s="406">
        <f>'数据-取费表'!B36</f>
        <v>0.02</v>
      </c>
      <c r="G38" s="361" t="s">
        <v>2191</v>
      </c>
    </row>
    <row r="39" spans="1:7" s="333" customFormat="1" ht="13.5" customHeight="1">
      <c r="A39" s="374" t="s">
        <v>1751</v>
      </c>
      <c r="B39" s="352" t="s">
        <v>2163</v>
      </c>
      <c r="C39" s="376">
        <f>ROUND(C33*F20,0)</f>
        <v>2</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2</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2</v>
      </c>
      <c r="D42" s="386"/>
      <c r="E42" s="386"/>
      <c r="F42" s="387"/>
      <c r="G42" s="3355" t="s">
        <v>2199</v>
      </c>
    </row>
    <row r="43" spans="1:7" ht="13.5" customHeight="1">
      <c r="A43" s="384" t="s">
        <v>1040</v>
      </c>
      <c r="B43" s="357" t="s">
        <v>2171</v>
      </c>
      <c r="C43" s="386">
        <f ca="1">ROUND(IF('数据-取费表'!B22&lt;=1,C39*F22*'数据-取费表'!B21/2,C39*(POWER((1+F22),'数据-取费表'!B21/2)-1)),0)</f>
        <v>0</v>
      </c>
      <c r="D43" s="386"/>
      <c r="E43" s="386"/>
      <c r="F43" s="387"/>
      <c r="G43" s="3356"/>
    </row>
    <row r="44" spans="1:7" ht="13.5" customHeight="1">
      <c r="A44" s="384" t="s">
        <v>1042</v>
      </c>
      <c r="B44" s="357" t="s">
        <v>2173</v>
      </c>
      <c r="C44" s="386">
        <f ca="1">ROUND(IF('数据-取费表'!B22&lt;=1,C40*F22*'数据-取费表'!B21/2,C40*(POWER((1+F22),'数据-取费表'!B21/2)-1)),4)</f>
        <v>5.9999999999999995E-4</v>
      </c>
      <c r="D44" s="386"/>
      <c r="E44" s="386"/>
      <c r="F44" s="387"/>
      <c r="G44" s="3357"/>
    </row>
    <row r="45" spans="1:7" s="333" customFormat="1" ht="13.5" customHeight="1">
      <c r="A45" s="374" t="s">
        <v>1801</v>
      </c>
      <c r="B45" s="392" t="s">
        <v>2176</v>
      </c>
      <c r="C45" s="393">
        <f>C46</f>
        <v>10</v>
      </c>
      <c r="D45" s="379">
        <f>C47</f>
        <v>3.0000000000000001E-3</v>
      </c>
      <c r="E45" s="380" t="s">
        <v>2197</v>
      </c>
      <c r="F45" s="394"/>
      <c r="G45" s="395" t="s">
        <v>2200</v>
      </c>
    </row>
    <row r="46" spans="1:7" s="333" customFormat="1" ht="13.5" customHeight="1">
      <c r="A46" s="384" t="s">
        <v>1038</v>
      </c>
      <c r="B46" s="396" t="s">
        <v>2201</v>
      </c>
      <c r="C46" s="397">
        <f>ROUND((C33+C39)*F27,0)</f>
        <v>10</v>
      </c>
      <c r="D46" s="410"/>
      <c r="E46" s="380"/>
      <c r="F46" s="394"/>
      <c r="G46" s="395"/>
    </row>
    <row r="47" spans="1:7" s="333" customFormat="1" ht="13.5" customHeight="1">
      <c r="A47" s="384" t="s">
        <v>1040</v>
      </c>
      <c r="B47" s="396" t="s">
        <v>2202</v>
      </c>
      <c r="C47" s="386">
        <f>ROUND(C40*F27,4)</f>
        <v>3.0000000000000001E-3</v>
      </c>
      <c r="D47" s="410"/>
      <c r="E47" s="380"/>
      <c r="F47" s="394"/>
      <c r="G47" s="395"/>
    </row>
    <row r="48" spans="1:7" s="333" customFormat="1" ht="13.5" customHeight="1">
      <c r="A48" s="374" t="s">
        <v>1810</v>
      </c>
      <c r="B48" s="352" t="s">
        <v>2181</v>
      </c>
      <c r="C48" s="409">
        <f>F30</f>
        <v>5.6000000000000001E-2</v>
      </c>
      <c r="D48" s="380" t="s">
        <v>2203</v>
      </c>
      <c r="E48" s="376"/>
      <c r="F48" s="383"/>
      <c r="G48" s="381" t="s">
        <v>2204</v>
      </c>
    </row>
    <row r="49" spans="1:7" ht="16.5" customHeight="1">
      <c r="A49" s="374" t="s">
        <v>2180</v>
      </c>
      <c r="B49" s="352" t="s">
        <v>2205</v>
      </c>
      <c r="C49" s="376">
        <f ca="1">ROUND((C33+C39+C41+C45)/(1-C40-D41-D45-C48/(1+'数据-取费表'!B42)),0)</f>
        <v>88</v>
      </c>
      <c r="D49" s="376"/>
      <c r="E49" s="376"/>
      <c r="F49" s="411"/>
      <c r="G49" s="381" t="s">
        <v>2206</v>
      </c>
    </row>
    <row r="50" spans="1:7" s="335" customFormat="1" ht="24">
      <c r="A50" s="374" t="s">
        <v>2207</v>
      </c>
      <c r="B50" s="352" t="s">
        <v>2208</v>
      </c>
      <c r="C50" s="376"/>
      <c r="D50" s="376"/>
      <c r="E50" s="376"/>
      <c r="F50" s="411">
        <f>IF('数据-取费表'!B24=0,'数据-取费表'!N16,1)</f>
        <v>0.85</v>
      </c>
      <c r="G50" s="395" t="s">
        <v>2209</v>
      </c>
    </row>
    <row r="51" spans="1:7" ht="16.5" customHeight="1">
      <c r="A51" s="374" t="s">
        <v>2210</v>
      </c>
      <c r="B51" s="352" t="s">
        <v>2211</v>
      </c>
      <c r="C51" s="376">
        <f ca="1">ROUND(C49*F50,0)</f>
        <v>75</v>
      </c>
      <c r="D51" s="376"/>
      <c r="E51" s="376"/>
      <c r="F51" s="411"/>
      <c r="G51" s="381" t="s">
        <v>2212</v>
      </c>
    </row>
    <row r="52" spans="1:7" s="332" customFormat="1" ht="15.75">
      <c r="A52" s="412" t="s">
        <v>2213</v>
      </c>
      <c r="B52" s="413"/>
      <c r="C52" s="414">
        <f ca="1">C31+C51</f>
        <v>27966</v>
      </c>
      <c r="D52" s="413"/>
      <c r="E52" s="413"/>
      <c r="F52" s="413"/>
      <c r="G52" s="415"/>
    </row>
    <row r="55" spans="1:7" ht="15">
      <c r="B55" s="416" t="s">
        <v>2214</v>
      </c>
      <c r="C55" s="417"/>
    </row>
    <row r="56" spans="1:7">
      <c r="B56" s="418" t="s">
        <v>2215</v>
      </c>
      <c r="C56" s="419">
        <f ca="1">ROUND(C51/C52,3)</f>
        <v>3.0000000000000001E-3</v>
      </c>
    </row>
    <row r="57" spans="1:7">
      <c r="B57" s="418" t="s">
        <v>2216</v>
      </c>
      <c r="C57" s="420">
        <f ca="1">1-C56</f>
        <v>0.997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8.75">
      <c r="A4" s="3118"/>
      <c r="B4" s="3183" t="s">
        <v>95</v>
      </c>
      <c r="C4" s="3183"/>
      <c r="D4" s="3183"/>
      <c r="E4" s="3118"/>
    </row>
    <row r="5" spans="1:5" ht="15.75">
      <c r="B5" s="3175" t="s">
        <v>96</v>
      </c>
      <c r="C5" s="3119" t="s">
        <v>97</v>
      </c>
      <c r="D5" s="3120">
        <f ca="1">结果表!H101</f>
        <v>233</v>
      </c>
    </row>
    <row r="6" spans="1:5" ht="15.75">
      <c r="B6" s="3175"/>
      <c r="C6" s="3119" t="s">
        <v>98</v>
      </c>
      <c r="D6" s="3120" t="str">
        <f ca="1">NUMBERSTRING(INT(D5*10000),2)&amp;"元整"</f>
        <v>贰佰叁拾叁万元整</v>
      </c>
    </row>
    <row r="7" spans="1:5" ht="15.75">
      <c r="B7" s="3176"/>
      <c r="C7" s="3121" t="s">
        <v>99</v>
      </c>
      <c r="D7" s="3122">
        <f ca="1">结果表!H102</f>
        <v>17397</v>
      </c>
    </row>
    <row r="8" spans="1:5" ht="15.75">
      <c r="B8" s="3177" t="str">
        <f>结果表!E103</f>
        <v>2.估价师知悉的法定优先受偿款</v>
      </c>
      <c r="C8" s="3123" t="s">
        <v>100</v>
      </c>
      <c r="D8" s="3122">
        <f>结果表!H103</f>
        <v>0</v>
      </c>
    </row>
    <row r="9" spans="1:5" ht="15.75">
      <c r="B9" s="3179"/>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74" t="str">
        <f>结果表!E107</f>
        <v>3.房地产抵押价值</v>
      </c>
      <c r="C13" s="3127" t="s">
        <v>97</v>
      </c>
      <c r="D13" s="3128">
        <f ca="1">结果表!H107</f>
        <v>233</v>
      </c>
    </row>
    <row r="14" spans="1:5" ht="15.75">
      <c r="B14" s="3175"/>
      <c r="C14" s="3119" t="s">
        <v>98</v>
      </c>
      <c r="D14" s="3120" t="str">
        <f ca="1">NUMBERSTRING(INT(D13*10000),2)&amp;"元整"</f>
        <v>贰佰叁拾叁万元整</v>
      </c>
    </row>
    <row r="15" spans="1:5" ht="15">
      <c r="B15" s="3176"/>
      <c r="C15" s="3121" t="s">
        <v>99</v>
      </c>
      <c r="D15" s="3129">
        <f ca="1">结果表!H108</f>
        <v>17397</v>
      </c>
    </row>
    <row r="16" spans="1:5" ht="15">
      <c r="B16" s="3177" t="str">
        <f>结果表!E109</f>
        <v>——</v>
      </c>
      <c r="C16" s="3127" t="s">
        <v>97</v>
      </c>
      <c r="D16" s="3130" t="str">
        <f>结果表!H109</f>
        <v>——</v>
      </c>
    </row>
    <row r="17" spans="1:5" ht="15.75">
      <c r="B17" s="3178"/>
      <c r="C17" s="3119" t="s">
        <v>98</v>
      </c>
      <c r="D17" s="3120" t="e">
        <f>NUMBERSTRING(INT(D16*10000),2)&amp;"元整"</f>
        <v>#VALUE!</v>
      </c>
    </row>
    <row r="18" spans="1:5" ht="15">
      <c r="B18" s="3179"/>
      <c r="C18" s="3121" t="s">
        <v>99</v>
      </c>
      <c r="D18" s="3129" t="str">
        <f>结果表!H110</f>
        <v>——</v>
      </c>
    </row>
    <row r="19" spans="1:5" ht="15.75">
      <c r="B19" s="3174" t="str">
        <f>结果表!E111</f>
        <v>——</v>
      </c>
      <c r="C19" s="3127" t="s">
        <v>97</v>
      </c>
      <c r="D19" s="3122" t="str">
        <f>结果表!H111</f>
        <v>——</v>
      </c>
    </row>
    <row r="20" spans="1:5" ht="15.75">
      <c r="B20" s="3175"/>
      <c r="C20" s="3119" t="s">
        <v>98</v>
      </c>
      <c r="D20" s="3120" t="e">
        <f>NUMBERSTRING(INT(D19*10000),2)&amp;"元整"</f>
        <v>#VALUE!</v>
      </c>
    </row>
    <row r="21" spans="1:5" ht="15">
      <c r="B21" s="3180"/>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3" t="s">
        <v>2217</v>
      </c>
      <c r="B1" s="3493"/>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4" t="s">
        <v>2600</v>
      </c>
      <c r="B1" s="3494"/>
      <c r="C1" s="3494"/>
      <c r="D1" s="3494"/>
      <c r="E1" s="3494"/>
      <c r="F1" s="3495"/>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45973</v>
      </c>
      <c r="B1" s="226" t="s">
        <v>2605</v>
      </c>
      <c r="C1" s="227"/>
      <c r="D1" s="227"/>
      <c r="E1" s="227"/>
      <c r="F1" s="227"/>
      <c r="G1" s="227"/>
      <c r="H1" s="227"/>
      <c r="I1" s="227"/>
      <c r="J1" s="245"/>
      <c r="K1" s="227" t="s">
        <v>2606</v>
      </c>
      <c r="L1" s="227"/>
      <c r="M1" s="227"/>
      <c r="N1" s="227"/>
      <c r="O1" s="227"/>
      <c r="P1" s="227"/>
      <c r="Q1" s="245"/>
      <c r="R1" s="3496" t="s">
        <v>2607</v>
      </c>
      <c r="S1" s="3497"/>
      <c r="T1" s="3497"/>
      <c r="U1" s="3497"/>
      <c r="V1" s="3497"/>
      <c r="W1" s="3497"/>
      <c r="X1" s="245"/>
      <c r="Y1" s="3496" t="s">
        <v>2608</v>
      </c>
      <c r="Z1" s="3497"/>
      <c r="AA1" s="3497"/>
      <c r="AB1" s="3497"/>
      <c r="AC1" s="3497"/>
      <c r="AD1" s="3497"/>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6" t="s">
        <v>2607</v>
      </c>
      <c r="S29" s="3497"/>
      <c r="T29" s="3497"/>
      <c r="U29" s="3497"/>
      <c r="V29" s="3497"/>
      <c r="W29" s="3497"/>
      <c r="X29" s="245"/>
      <c r="Y29" s="3496" t="s">
        <v>2608</v>
      </c>
      <c r="Z29" s="3497"/>
      <c r="AA29" s="3497"/>
      <c r="AB29" s="3497"/>
      <c r="AC29" s="3497"/>
      <c r="AD29" s="3497"/>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8" t="s">
        <v>2634</v>
      </c>
      <c r="C1" s="3498"/>
      <c r="D1" s="3498"/>
      <c r="E1" s="3498"/>
      <c r="F1" s="3498"/>
      <c r="G1" s="3497" t="s">
        <v>2635</v>
      </c>
      <c r="H1" s="3497"/>
      <c r="I1" s="3497"/>
      <c r="J1" s="3497"/>
      <c r="K1" s="3497"/>
      <c r="L1" s="3497"/>
      <c r="N1" s="3497" t="s">
        <v>2606</v>
      </c>
      <c r="O1" s="3497"/>
      <c r="P1" s="3497"/>
      <c r="Q1" s="3497"/>
      <c r="S1" s="3497" t="s">
        <v>2636</v>
      </c>
      <c r="T1" s="3497"/>
      <c r="U1" s="3497"/>
      <c r="V1" s="3497"/>
      <c r="X1" s="3496" t="s">
        <v>2607</v>
      </c>
      <c r="Y1" s="3497"/>
      <c r="Z1" s="3497"/>
      <c r="AA1" s="3497"/>
      <c r="AB1" s="3497"/>
      <c r="AD1" s="3496" t="s">
        <v>2608</v>
      </c>
      <c r="AE1" s="3497"/>
      <c r="AF1" s="3497"/>
      <c r="AG1" s="3497"/>
      <c r="AH1" s="3497"/>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9">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9"/>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9"/>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00"/>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501">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9"/>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499"/>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500"/>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501">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9"/>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499"/>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502"/>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503">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9"/>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499"/>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502"/>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503">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9"/>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499"/>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502"/>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504">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05"/>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505"/>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6"/>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503">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499"/>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499"/>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502"/>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503">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9">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499">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502">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503">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9">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499">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502">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503">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9">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499">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502">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503">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9">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499">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502">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503">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9">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499">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502">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503">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9">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499">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502">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503">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9">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499">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502">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503">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9">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499">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502">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503">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499">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499">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502">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503">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499">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499">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502">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7" t="s">
        <v>2725</v>
      </c>
      <c r="B1" s="3507"/>
      <c r="C1" s="3507"/>
      <c r="D1" s="3507"/>
      <c r="E1" s="3507"/>
      <c r="F1" s="3507"/>
      <c r="G1" s="3508"/>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09"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10"/>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45973</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 workbookViewId="0">
      <selection activeCell="S29" sqref="S29"/>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4" t="str">
        <f>IF(项目基本情况!B9="房地产市场价值","估价结果一览表","结果表-2")</f>
        <v>结果表-2</v>
      </c>
      <c r="B1" s="3184"/>
      <c r="C1" s="3184"/>
      <c r="D1" s="3184"/>
      <c r="E1" s="3184"/>
      <c r="F1" s="3184"/>
      <c r="G1" s="3184"/>
      <c r="H1" s="3184"/>
      <c r="I1" s="3184"/>
    </row>
    <row r="2" spans="1:9" ht="30" customHeight="1">
      <c r="A2" s="3185" t="s">
        <v>107</v>
      </c>
      <c r="B2" s="3185" t="s">
        <v>108</v>
      </c>
      <c r="C2" s="3185" t="s">
        <v>109</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6"/>
      <c r="B3" s="3186"/>
      <c r="C3" s="3186"/>
      <c r="D3" s="3113" t="s">
        <v>110</v>
      </c>
      <c r="E3" s="3113" t="s">
        <v>111</v>
      </c>
      <c r="F3" s="3113" t="s">
        <v>110</v>
      </c>
      <c r="G3" s="3113" t="s">
        <v>111</v>
      </c>
      <c r="H3" s="3113" t="s">
        <v>110</v>
      </c>
      <c r="I3" s="3113" t="s">
        <v>111</v>
      </c>
    </row>
    <row r="4" spans="1:9" ht="15">
      <c r="A4" s="3114" t="str">
        <f>项目基本情况!S2</f>
        <v>北京市房地产</v>
      </c>
      <c r="B4" s="3113">
        <f>项目基本情况!C17</f>
        <v>134.04</v>
      </c>
      <c r="C4" s="3113">
        <f>项目基本情况!C18</f>
        <v>0</v>
      </c>
      <c r="D4" s="3113" t="e">
        <f ca="1">结果表!D118</f>
        <v>#REF!</v>
      </c>
      <c r="E4" s="3113" t="e">
        <f ca="1">结果表!E118</f>
        <v>#REF!</v>
      </c>
      <c r="F4" s="3113" t="e">
        <f ca="1">结果表!F118</f>
        <v>#REF!</v>
      </c>
      <c r="G4" s="3113" t="e">
        <f ca="1">结果表!G118</f>
        <v>#REF!</v>
      </c>
      <c r="H4" s="3113">
        <f ca="1">结果表!H118</f>
        <v>233</v>
      </c>
      <c r="I4" s="3113">
        <f ca="1">结果表!I118</f>
        <v>17397</v>
      </c>
    </row>
    <row r="5" spans="1:9" ht="30" customHeight="1">
      <c r="A5" s="3186" t="s">
        <v>112</v>
      </c>
      <c r="B5" s="3186"/>
      <c r="C5" s="3186"/>
      <c r="D5" s="3186" t="e">
        <f ca="1">结果表!D119</f>
        <v>#REF!</v>
      </c>
      <c r="E5" s="3186"/>
      <c r="F5" s="3186" t="e">
        <f ca="1">结果表!F119</f>
        <v>#REF!</v>
      </c>
      <c r="G5" s="3186"/>
      <c r="H5" s="3186" t="str">
        <f ca="1">结果表!H119</f>
        <v>贰佰叁拾叁万元整</v>
      </c>
      <c r="I5" s="3186"/>
    </row>
    <row r="6" spans="1:9" ht="15.75">
      <c r="A6" s="3187" t="str">
        <f>结果表!A120</f>
        <v>估价师知悉的法定优先受偿款</v>
      </c>
      <c r="B6" s="3187"/>
      <c r="C6" s="3187"/>
      <c r="D6" s="3187">
        <f>结果表!D120</f>
        <v>0</v>
      </c>
      <c r="E6" s="3187"/>
      <c r="F6" s="3187"/>
      <c r="G6" s="3187"/>
      <c r="H6" s="3187"/>
      <c r="I6" s="3187"/>
    </row>
    <row r="7" spans="1:9" ht="15">
      <c r="A7" s="3186" t="s">
        <v>112</v>
      </c>
      <c r="B7" s="3186"/>
      <c r="C7" s="3186"/>
      <c r="D7" s="3188" t="str">
        <f>结果表!D121</f>
        <v>零元整</v>
      </c>
      <c r="E7" s="3189"/>
      <c r="F7" s="3189"/>
      <c r="G7" s="3189"/>
      <c r="H7" s="3189"/>
      <c r="I7" s="3190"/>
    </row>
    <row r="8" spans="1:9" ht="15.75">
      <c r="A8" s="3187" t="str">
        <f>结果表!A122</f>
        <v>房地产抵押价值</v>
      </c>
      <c r="B8" s="3187"/>
      <c r="C8" s="3187"/>
      <c r="D8" s="3187">
        <f ca="1">结果表!D122</f>
        <v>233</v>
      </c>
      <c r="E8" s="3187"/>
      <c r="F8" s="3187"/>
      <c r="G8" s="3187"/>
      <c r="H8" s="3187"/>
      <c r="I8" s="3187"/>
    </row>
    <row r="9" spans="1:9" ht="15">
      <c r="A9" s="3186" t="s">
        <v>112</v>
      </c>
      <c r="B9" s="3186"/>
      <c r="C9" s="3186"/>
      <c r="D9" s="3186" t="str">
        <f ca="1">结果表!D123</f>
        <v>贰佰叁拾叁万元整</v>
      </c>
      <c r="E9" s="3186"/>
      <c r="F9" s="3186"/>
      <c r="G9" s="3186"/>
      <c r="H9" s="3186"/>
      <c r="I9" s="3186"/>
    </row>
    <row r="10" spans="1:9" ht="15.75">
      <c r="A10" s="3187" t="str">
        <f>结果表!A124</f>
        <v/>
      </c>
      <c r="B10" s="3187"/>
      <c r="C10" s="3187"/>
      <c r="D10" s="3187" t="str">
        <f>结果表!D124</f>
        <v>——</v>
      </c>
      <c r="E10" s="3187"/>
      <c r="F10" s="3187"/>
      <c r="G10" s="3187"/>
      <c r="H10" s="3187"/>
      <c r="I10" s="3187"/>
    </row>
    <row r="11" spans="1:9" ht="15">
      <c r="A11" s="3186" t="s">
        <v>112</v>
      </c>
      <c r="B11" s="3186"/>
      <c r="C11" s="3186"/>
      <c r="D11" s="3186" t="e">
        <f>结果表!D125</f>
        <v>#VALUE!</v>
      </c>
      <c r="E11" s="3186"/>
      <c r="F11" s="3186"/>
      <c r="G11" s="3186"/>
      <c r="H11" s="3186"/>
      <c r="I11" s="3186"/>
    </row>
    <row r="12" spans="1:9" ht="15.75">
      <c r="A12" s="3187" t="str">
        <f>结果表!A126</f>
        <v/>
      </c>
      <c r="B12" s="3187"/>
      <c r="C12" s="3187"/>
      <c r="D12" s="3187" t="str">
        <f>结果表!D126</f>
        <v>——</v>
      </c>
      <c r="E12" s="3187"/>
      <c r="F12" s="3187"/>
      <c r="G12" s="3187"/>
      <c r="H12" s="3187"/>
      <c r="I12" s="3187"/>
    </row>
    <row r="13" spans="1:9" ht="15">
      <c r="A13" s="3191" t="s">
        <v>112</v>
      </c>
      <c r="B13" s="3191"/>
      <c r="C13" s="3191"/>
      <c r="D13" s="3191" t="e">
        <f>结果表!D127</f>
        <v>#VALUE!</v>
      </c>
      <c r="E13" s="3191"/>
      <c r="F13" s="3191"/>
      <c r="G13" s="3191"/>
      <c r="H13" s="3191"/>
      <c r="I13" s="3191"/>
    </row>
    <row r="14" spans="1:9">
      <c r="A14" s="3192" t="s">
        <v>113</v>
      </c>
      <c r="B14" s="3192"/>
      <c r="C14" s="3192"/>
      <c r="D14" s="3192"/>
      <c r="E14" s="3192"/>
      <c r="F14" s="3192"/>
      <c r="G14" s="3192"/>
      <c r="H14" s="3192"/>
      <c r="I14" s="3192"/>
    </row>
    <row r="16" spans="1:9" ht="18.75">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3" t="s">
        <v>114</v>
      </c>
      <c r="B1" s="3193"/>
      <c r="C1" s="3193"/>
      <c r="D1" s="3193"/>
    </row>
    <row r="2" spans="1:4" ht="18">
      <c r="A2" s="3194" t="s">
        <v>115</v>
      </c>
      <c r="B2" s="3194"/>
      <c r="C2" s="3194"/>
      <c r="D2" s="3194"/>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194" t="s">
        <v>121</v>
      </c>
      <c r="B6" s="3194"/>
      <c r="C6" s="3194"/>
      <c r="D6" s="3194"/>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195" t="s">
        <v>126</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8" t="s">
        <v>127</v>
      </c>
      <c r="B16" s="3198"/>
      <c r="C16" s="3198"/>
      <c r="D16" s="3198"/>
    </row>
    <row r="17" spans="1:4" ht="144" customHeight="1">
      <c r="A17" s="3198" t="s">
        <v>128</v>
      </c>
      <c r="B17" s="3198"/>
      <c r="C17" s="3198"/>
      <c r="D17" s="3198"/>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129</v>
      </c>
      <c r="B22" s="3201"/>
      <c r="C22" s="3201"/>
      <c r="D22" s="3201"/>
    </row>
    <row r="23" spans="1:4">
      <c r="A23" s="3110"/>
      <c r="B23" s="1507"/>
      <c r="C23" s="1507"/>
      <c r="D23" s="1507"/>
    </row>
    <row r="24" spans="1:4">
      <c r="A24" s="3110"/>
      <c r="B24" s="1507"/>
      <c r="C24" s="1507"/>
      <c r="D24" s="1507"/>
    </row>
    <row r="25" spans="1:4" ht="18.75">
      <c r="A25" s="3111" t="s">
        <v>130</v>
      </c>
    </row>
    <row r="26" spans="1:4" ht="18">
      <c r="A26" s="3112"/>
    </row>
    <row r="27" spans="1:4" ht="18.75">
      <c r="A27" s="3112" t="s">
        <v>131</v>
      </c>
    </row>
    <row r="30" spans="1:4" ht="18.75">
      <c r="D30" s="3111" t="s">
        <v>132</v>
      </c>
    </row>
    <row r="31" spans="1:4" ht="13.5" customHeight="1">
      <c r="C31" s="3199">
        <v>42551</v>
      </c>
      <c r="D31" s="31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204" t="s">
        <v>146</v>
      </c>
      <c r="B15" s="3209" t="s">
        <v>147</v>
      </c>
      <c r="C15" s="3203"/>
    </row>
    <row r="16" spans="1:7" ht="13.5">
      <c r="A16" s="3205"/>
      <c r="B16" s="3209" t="s">
        <v>148</v>
      </c>
      <c r="C16" s="3203"/>
    </row>
    <row r="17" spans="1:3" ht="13.5">
      <c r="A17" s="3205"/>
      <c r="B17" s="3208" t="s">
        <v>149</v>
      </c>
      <c r="C17" s="3092" t="s">
        <v>146</v>
      </c>
    </row>
    <row r="18" spans="1:3" ht="13.5">
      <c r="A18" s="3205"/>
      <c r="B18" s="3208"/>
      <c r="C18" s="3092" t="s">
        <v>150</v>
      </c>
    </row>
    <row r="19" spans="1:3" ht="13.5">
      <c r="A19" s="3205"/>
      <c r="B19" s="3208"/>
      <c r="C19" s="3092" t="s">
        <v>151</v>
      </c>
    </row>
    <row r="20" spans="1:3" ht="13.5">
      <c r="A20" s="3206"/>
      <c r="B20" s="3202" t="s">
        <v>152</v>
      </c>
      <c r="C20" s="3203"/>
    </row>
    <row r="21" spans="1:3" ht="13.5">
      <c r="A21" s="3093" t="s">
        <v>153</v>
      </c>
      <c r="B21" s="3094"/>
      <c r="C21" s="3095"/>
    </row>
    <row r="22" spans="1:3" ht="13.5">
      <c r="A22" s="3207" t="s">
        <v>154</v>
      </c>
      <c r="B22" s="3202" t="s">
        <v>155</v>
      </c>
      <c r="C22" s="3203"/>
    </row>
    <row r="23" spans="1:3" ht="13.5">
      <c r="A23" s="3207"/>
      <c r="B23" s="3202" t="s">
        <v>156</v>
      </c>
      <c r="C23" s="3203"/>
    </row>
    <row r="24" spans="1:3" ht="13.5">
      <c r="A24" s="3207"/>
      <c r="B24" s="3202" t="s">
        <v>157</v>
      </c>
      <c r="C24" s="3203"/>
    </row>
    <row r="25" spans="1:3" ht="13.5">
      <c r="A25" s="3207"/>
      <c r="B25" s="3208" t="s">
        <v>158</v>
      </c>
      <c r="C25" s="3092" t="s">
        <v>159</v>
      </c>
    </row>
    <row r="26" spans="1:3" ht="13.5">
      <c r="A26" s="3207"/>
      <c r="B26" s="3208"/>
      <c r="C26" s="3092" t="s">
        <v>160</v>
      </c>
    </row>
    <row r="27" spans="1:3" ht="13.5">
      <c r="A27" s="3207"/>
      <c r="B27" s="3208"/>
      <c r="C27" s="3092" t="s">
        <v>161</v>
      </c>
    </row>
    <row r="28" spans="1:3" ht="13.5">
      <c r="A28" s="3207"/>
      <c r="B28" s="3208"/>
      <c r="C28" s="3092" t="s">
        <v>162</v>
      </c>
    </row>
    <row r="29" spans="1:3" ht="13.5">
      <c r="A29" s="3207"/>
      <c r="B29" s="3208"/>
      <c r="C29" s="3092" t="s">
        <v>163</v>
      </c>
    </row>
    <row r="30" spans="1:3" ht="13.5">
      <c r="A30" s="3207"/>
      <c r="B30" s="3208"/>
      <c r="C30" s="3092" t="s">
        <v>164</v>
      </c>
    </row>
    <row r="31" spans="1:3" ht="13.5">
      <c r="A31" s="3207"/>
      <c r="B31" s="3208"/>
      <c r="C31" s="3092" t="s">
        <v>165</v>
      </c>
    </row>
    <row r="32" spans="1:3" ht="13.5">
      <c r="A32" s="3207"/>
      <c r="B32" s="3208"/>
      <c r="C32" s="3092" t="s">
        <v>166</v>
      </c>
    </row>
    <row r="33" spans="1:3" ht="13.5">
      <c r="A33" s="3207"/>
      <c r="B33" s="3208"/>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45978</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62"/>
      <c r="E18" s="3212" t="s">
        <v>199</v>
      </c>
      <c r="F18" s="3211"/>
      <c r="G18" s="3211"/>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2025-11-17T07:47:42Z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