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25-1-0760北京市朝阳区红军营东路17号院1幢等9幢楼\"/>
    </mc:Choice>
  </mc:AlternateContent>
  <bookViews>
    <workbookView xWindow="0" yWindow="0" windowWidth="23484" windowHeight="12996"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Sheet1"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Sheet4" sheetId="75" r:id="rId19"/>
    <sheet name="剩余法-待开发" sheetId="12" state="hidden" r:id="rId20"/>
    <sheet name="剩余法-现房" sheetId="43" state="hidden" r:id="rId21"/>
    <sheet name="比较法-住宅、综合" sheetId="39" state="hidden" r:id="rId22"/>
    <sheet name="比较法-工业" sheetId="40"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r:id="rId30"/>
    <sheet name="地价-分区" sheetId="70"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比较法-成本" sheetId="73" r:id="rId44"/>
    <sheet name="Sheet3" sheetId="74" r:id="rId45"/>
    <sheet name="存贷款利率" sheetId="65" r:id="rId46"/>
  </sheets>
  <externalReferences>
    <externalReference r:id="rId47"/>
    <externalReference r:id="rId48"/>
    <externalReference r:id="rId49"/>
  </externalReferences>
  <definedNames>
    <definedName name="_xlnm._FilterDatabase" localSheetId="43" hidden="1">'比较法-成本'!$A$1:$L$45</definedName>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43">'比较法-成本'!$A$1:$K$62,'比较法-成本'!$A$65:$N$122</definedName>
    <definedName name="_xlnm.Print_Area" localSheetId="22">'比较法-工业'!$A$1:$K$62,'比较法-工业'!$A$65:$N$122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3">'比较法-成本'!$B$115:$M$115</definedName>
    <definedName name="套工工程地质条件">'比较法-工业'!$B$115:$M$115</definedName>
    <definedName name="套工交易情况">'比较法-住宅、综合'!$A$74:$M$74</definedName>
    <definedName name="套工开发程度" localSheetId="43">'比较法-成本'!$B$113:$M$113</definedName>
    <definedName name="套工开发程度">'比较法-工业'!$B$113:$M$113</definedName>
    <definedName name="套工临街等级" localSheetId="43">'比较法-成本'!$B$98:$M$98</definedName>
    <definedName name="套工临街等级">'比较法-工业'!$B$98:$M$98</definedName>
    <definedName name="套工土地级别" localSheetId="43">'比较法-成本'!$B$100:$M$100</definedName>
    <definedName name="套工土地级别">'比较法-工业'!$B$100:$M$100</definedName>
    <definedName name="套工用途" localSheetId="43">'比较法-成本'!$B$71:$M$71</definedName>
    <definedName name="套工用途">'比较法-工业'!$B$71:$M$71</definedName>
    <definedName name="套工宗地形状" localSheetId="43">'比较法-成本'!$B$111:$M$111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5" i="75" l="1"/>
  <c r="C9" i="75" l="1"/>
  <c r="C4" i="75"/>
  <c r="D5" i="9" l="1"/>
  <c r="C18" i="11"/>
  <c r="C8" i="11"/>
  <c r="C13" i="11"/>
  <c r="B29" i="1" s="1"/>
  <c r="B28" i="1"/>
  <c r="D13" i="11"/>
  <c r="D8" i="11"/>
  <c r="E8" i="11"/>
  <c r="I9" i="73"/>
  <c r="G9" i="73"/>
  <c r="E9" i="73"/>
  <c r="I43" i="73"/>
  <c r="G43" i="73"/>
  <c r="E43" i="73"/>
  <c r="J6" i="74"/>
  <c r="J5" i="74"/>
  <c r="J4" i="74"/>
  <c r="J3" i="74"/>
  <c r="I36" i="73"/>
  <c r="G36" i="73"/>
  <c r="E36" i="73"/>
  <c r="I7" i="73"/>
  <c r="G7" i="73"/>
  <c r="E7" i="73"/>
  <c r="B121" i="73"/>
  <c r="B119" i="73"/>
  <c r="B117" i="73"/>
  <c r="D116" i="73"/>
  <c r="E116" i="73" s="1"/>
  <c r="F116" i="73" s="1"/>
  <c r="G116" i="73" s="1"/>
  <c r="H116" i="73" s="1"/>
  <c r="I116" i="73" s="1"/>
  <c r="J116" i="73" s="1"/>
  <c r="K116" i="73" s="1"/>
  <c r="L116" i="73" s="1"/>
  <c r="M116" i="73" s="1"/>
  <c r="F114" i="73"/>
  <c r="E114" i="73"/>
  <c r="D114" i="73"/>
  <c r="H112" i="73"/>
  <c r="I112" i="73" s="1"/>
  <c r="J112" i="73" s="1"/>
  <c r="K112" i="73" s="1"/>
  <c r="L112" i="73" s="1"/>
  <c r="M112" i="73" s="1"/>
  <c r="D112" i="73"/>
  <c r="E112" i="73" s="1"/>
  <c r="F112" i="73" s="1"/>
  <c r="G112" i="73" s="1"/>
  <c r="M108" i="73"/>
  <c r="L108" i="73"/>
  <c r="K108" i="73"/>
  <c r="J108" i="73"/>
  <c r="I108" i="73"/>
  <c r="H108" i="73"/>
  <c r="G108" i="73"/>
  <c r="F108" i="73"/>
  <c r="E108" i="73"/>
  <c r="D108" i="73"/>
  <c r="C108" i="73"/>
  <c r="B106" i="73"/>
  <c r="J35" i="73" s="1"/>
  <c r="B104" i="73"/>
  <c r="B102" i="73"/>
  <c r="L101" i="73"/>
  <c r="M101" i="73" s="1"/>
  <c r="H101" i="73"/>
  <c r="I101" i="73" s="1"/>
  <c r="J101" i="73" s="1"/>
  <c r="K101" i="73" s="1"/>
  <c r="D101" i="73"/>
  <c r="E101" i="73" s="1"/>
  <c r="F101" i="73" s="1"/>
  <c r="G101" i="73" s="1"/>
  <c r="F99" i="73"/>
  <c r="G99" i="73" s="1"/>
  <c r="H99" i="73" s="1"/>
  <c r="I99" i="73" s="1"/>
  <c r="J99" i="73" s="1"/>
  <c r="K99" i="73" s="1"/>
  <c r="L99" i="73" s="1"/>
  <c r="M99" i="73" s="1"/>
  <c r="E99" i="73"/>
  <c r="D99" i="73"/>
  <c r="H97" i="73"/>
  <c r="I97" i="73" s="1"/>
  <c r="J97" i="73" s="1"/>
  <c r="K97" i="73" s="1"/>
  <c r="L97" i="73" s="1"/>
  <c r="M97" i="73" s="1"/>
  <c r="D97" i="73"/>
  <c r="E97" i="73" s="1"/>
  <c r="F97" i="73" s="1"/>
  <c r="G97" i="73" s="1"/>
  <c r="B96" i="73"/>
  <c r="E95" i="73"/>
  <c r="F95" i="73" s="1"/>
  <c r="G95" i="73" s="1"/>
  <c r="D95" i="73"/>
  <c r="E93" i="73"/>
  <c r="F93" i="73" s="1"/>
  <c r="G93" i="73" s="1"/>
  <c r="D93" i="73"/>
  <c r="E91" i="73"/>
  <c r="F91" i="73" s="1"/>
  <c r="G91" i="73" s="1"/>
  <c r="D91" i="73"/>
  <c r="E89" i="73"/>
  <c r="F89" i="73" s="1"/>
  <c r="G89" i="73" s="1"/>
  <c r="D89" i="73"/>
  <c r="E87" i="73"/>
  <c r="F87" i="73" s="1"/>
  <c r="G87" i="73" s="1"/>
  <c r="D87" i="73"/>
  <c r="E85" i="73"/>
  <c r="F85" i="73" s="1"/>
  <c r="G85" i="73" s="1"/>
  <c r="D85" i="73"/>
  <c r="B82" i="73"/>
  <c r="B80" i="73"/>
  <c r="B78" i="73"/>
  <c r="F77" i="73"/>
  <c r="G77" i="73" s="1"/>
  <c r="H77" i="73" s="1"/>
  <c r="I77" i="73" s="1"/>
  <c r="J77" i="73" s="1"/>
  <c r="K77" i="73" s="1"/>
  <c r="L77" i="73" s="1"/>
  <c r="M77" i="73" s="1"/>
  <c r="E77" i="73"/>
  <c r="D77" i="73"/>
  <c r="M75" i="73"/>
  <c r="L75" i="73"/>
  <c r="K75" i="73"/>
  <c r="J75" i="73"/>
  <c r="I75" i="73"/>
  <c r="H75" i="73"/>
  <c r="G75" i="73"/>
  <c r="F75" i="73"/>
  <c r="E75" i="73"/>
  <c r="D75" i="73"/>
  <c r="C75" i="73"/>
  <c r="D67" i="73"/>
  <c r="E67" i="73" s="1"/>
  <c r="F67" i="73" s="1"/>
  <c r="G67" i="73" s="1"/>
  <c r="H67" i="73" s="1"/>
  <c r="I67" i="73" s="1"/>
  <c r="J67" i="73" s="1"/>
  <c r="K67" i="73" s="1"/>
  <c r="L67" i="73" s="1"/>
  <c r="M67" i="73" s="1"/>
  <c r="N67" i="73" s="1"/>
  <c r="O67" i="73" s="1"/>
  <c r="P67" i="73" s="1"/>
  <c r="Q67" i="73" s="1"/>
  <c r="R67" i="73" s="1"/>
  <c r="S67" i="73" s="1"/>
  <c r="T67" i="73" s="1"/>
  <c r="U67" i="73" s="1"/>
  <c r="V67" i="73" s="1"/>
  <c r="W67" i="73" s="1"/>
  <c r="X67" i="73" s="1"/>
  <c r="Y67" i="73" s="1"/>
  <c r="Z67" i="73" s="1"/>
  <c r="AA67" i="73" s="1"/>
  <c r="AB67" i="73" s="1"/>
  <c r="AC67" i="73" s="1"/>
  <c r="AD67" i="73" s="1"/>
  <c r="AE67" i="73" s="1"/>
  <c r="AF67" i="73" s="1"/>
  <c r="B67" i="73"/>
  <c r="E62" i="73"/>
  <c r="H61" i="73"/>
  <c r="I61" i="73" s="1"/>
  <c r="C61" i="73" s="1"/>
  <c r="E61" i="73"/>
  <c r="I60" i="73"/>
  <c r="C60" i="73" s="1"/>
  <c r="H60" i="73"/>
  <c r="E60" i="73"/>
  <c r="H59" i="73"/>
  <c r="I59" i="73" s="1"/>
  <c r="C59" i="73" s="1"/>
  <c r="E59" i="73"/>
  <c r="I58" i="73"/>
  <c r="H58" i="73"/>
  <c r="E58" i="73"/>
  <c r="C58" i="73"/>
  <c r="H57" i="73"/>
  <c r="I57" i="73" s="1"/>
  <c r="C57" i="73" s="1"/>
  <c r="E57" i="73"/>
  <c r="I56" i="73"/>
  <c r="C56" i="73" s="1"/>
  <c r="H56" i="73"/>
  <c r="I55" i="73"/>
  <c r="H55" i="73"/>
  <c r="C55" i="73"/>
  <c r="H54" i="73"/>
  <c r="I54" i="73" s="1"/>
  <c r="C54" i="73" s="1"/>
  <c r="E53" i="73"/>
  <c r="J52" i="73"/>
  <c r="I50" i="73"/>
  <c r="J50" i="73" s="1"/>
  <c r="G50" i="73"/>
  <c r="H50" i="73" s="1"/>
  <c r="E50" i="73"/>
  <c r="F50" i="73" s="1"/>
  <c r="P45" i="73"/>
  <c r="P44" i="73"/>
  <c r="K44" i="73"/>
  <c r="V43" i="73"/>
  <c r="T43" i="73"/>
  <c r="R43" i="73"/>
  <c r="P43" i="73"/>
  <c r="Z42" i="73"/>
  <c r="Q42" i="73"/>
  <c r="AC41" i="73"/>
  <c r="W41" i="73"/>
  <c r="Q41" i="73"/>
  <c r="Z41" i="73" s="1"/>
  <c r="J41" i="73"/>
  <c r="H41" i="73"/>
  <c r="AB41" i="73" s="1"/>
  <c r="F41" i="73"/>
  <c r="AA41" i="73" s="1"/>
  <c r="Q40" i="73"/>
  <c r="Z40" i="73" s="1"/>
  <c r="J40" i="73"/>
  <c r="AC40" i="73" s="1"/>
  <c r="H40" i="73"/>
  <c r="AB40" i="73" s="1"/>
  <c r="F40" i="73"/>
  <c r="AA40" i="73" s="1"/>
  <c r="AA39" i="73"/>
  <c r="Q39" i="73"/>
  <c r="Z39" i="73" s="1"/>
  <c r="J39" i="73"/>
  <c r="AC39" i="73" s="1"/>
  <c r="H39" i="73"/>
  <c r="AB39" i="73" s="1"/>
  <c r="F39" i="73"/>
  <c r="S39" i="73" s="1"/>
  <c r="Z38" i="73"/>
  <c r="Q38" i="73"/>
  <c r="AC37" i="73"/>
  <c r="Q37" i="73"/>
  <c r="Z37" i="73" s="1"/>
  <c r="J37" i="73"/>
  <c r="W37" i="73" s="1"/>
  <c r="H37" i="73"/>
  <c r="AB37" i="73" s="1"/>
  <c r="F37" i="73"/>
  <c r="AA37" i="73" s="1"/>
  <c r="Q36" i="73"/>
  <c r="Z36" i="73" s="1"/>
  <c r="H36" i="73"/>
  <c r="AB36" i="73" s="1"/>
  <c r="F36" i="73"/>
  <c r="AA36" i="73" s="1"/>
  <c r="C36" i="73"/>
  <c r="J36" i="73" s="1"/>
  <c r="AB35" i="73"/>
  <c r="AA35" i="73"/>
  <c r="Z35" i="73"/>
  <c r="S35" i="73"/>
  <c r="Q35" i="73"/>
  <c r="H35" i="73"/>
  <c r="U35" i="73" s="1"/>
  <c r="F35" i="73"/>
  <c r="AC34" i="73"/>
  <c r="Z34" i="73"/>
  <c r="Q34" i="73"/>
  <c r="J34" i="73"/>
  <c r="W34" i="73" s="1"/>
  <c r="H34" i="73"/>
  <c r="AB34" i="73" s="1"/>
  <c r="F34" i="73"/>
  <c r="AA34" i="73" s="1"/>
  <c r="AC33" i="73"/>
  <c r="W33" i="73"/>
  <c r="Q33" i="73"/>
  <c r="Z33" i="73" s="1"/>
  <c r="J33" i="73"/>
  <c r="H33" i="73"/>
  <c r="U33" i="73" s="1"/>
  <c r="F33" i="73"/>
  <c r="AA33" i="73" s="1"/>
  <c r="AA32" i="73"/>
  <c r="Q32" i="73"/>
  <c r="Z32" i="73" s="1"/>
  <c r="J32" i="73"/>
  <c r="W32" i="73" s="1"/>
  <c r="H32" i="73"/>
  <c r="U32" i="73" s="1"/>
  <c r="F32" i="73"/>
  <c r="S32" i="73" s="1"/>
  <c r="C32" i="73"/>
  <c r="Q30" i="73"/>
  <c r="Z30" i="73" s="1"/>
  <c r="J30" i="73"/>
  <c r="AC30" i="73" s="1"/>
  <c r="H30" i="73"/>
  <c r="U30" i="73" s="1"/>
  <c r="F30" i="73"/>
  <c r="S30" i="73" s="1"/>
  <c r="C30" i="73"/>
  <c r="AC29" i="73"/>
  <c r="Q29" i="73"/>
  <c r="Z29" i="73" s="1"/>
  <c r="J29" i="73"/>
  <c r="W29" i="73" s="1"/>
  <c r="H29" i="73"/>
  <c r="AB29" i="73" s="1"/>
  <c r="F29" i="73"/>
  <c r="S29" i="73" s="1"/>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AA19" i="73" s="1"/>
  <c r="C19" i="73"/>
  <c r="Q17" i="73"/>
  <c r="Z17" i="73" s="1"/>
  <c r="J17" i="73"/>
  <c r="AC17" i="73" s="1"/>
  <c r="H17" i="73"/>
  <c r="AB17" i="73" s="1"/>
  <c r="F17" i="73"/>
  <c r="AA17" i="73" s="1"/>
  <c r="C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AA10" i="73"/>
  <c r="S10" i="73"/>
  <c r="J10" i="73"/>
  <c r="W10" i="73" s="1"/>
  <c r="H10" i="73"/>
  <c r="U10" i="73" s="1"/>
  <c r="F10" i="73"/>
  <c r="C9" i="73"/>
  <c r="C64" i="73" s="1"/>
  <c r="U36" i="73" l="1"/>
  <c r="U29" i="73"/>
  <c r="S34" i="73"/>
  <c r="S13" i="73"/>
  <c r="W15" i="73"/>
  <c r="W30" i="73"/>
  <c r="J38" i="73"/>
  <c r="H38" i="73"/>
  <c r="G114" i="73"/>
  <c r="H114" i="73" s="1"/>
  <c r="I114" i="73" s="1"/>
  <c r="J114" i="73" s="1"/>
  <c r="K114" i="73" s="1"/>
  <c r="L114" i="73" s="1"/>
  <c r="M114" i="73" s="1"/>
  <c r="F38" i="73"/>
  <c r="AC10" i="73"/>
  <c r="S12" i="73"/>
  <c r="U13" i="73"/>
  <c r="W14" i="73"/>
  <c r="S16" i="73"/>
  <c r="S17" i="73"/>
  <c r="S19" i="73"/>
  <c r="S21" i="73"/>
  <c r="S23" i="73"/>
  <c r="S25" i="73"/>
  <c r="S27" i="73"/>
  <c r="AA30" i="73"/>
  <c r="AB32" i="73"/>
  <c r="AC36" i="73"/>
  <c r="W36" i="73"/>
  <c r="S36" i="73"/>
  <c r="U37" i="73"/>
  <c r="U40" i="73"/>
  <c r="W11" i="73"/>
  <c r="U14" i="73"/>
  <c r="S11" i="73"/>
  <c r="U12" i="73"/>
  <c r="W13" i="73"/>
  <c r="S15" i="73"/>
  <c r="U16" i="73"/>
  <c r="U17" i="73"/>
  <c r="U19" i="73"/>
  <c r="U21" i="73"/>
  <c r="U23" i="73"/>
  <c r="U25" i="73"/>
  <c r="U27" i="73"/>
  <c r="AA29" i="73"/>
  <c r="AB30" i="73"/>
  <c r="AC32" i="73"/>
  <c r="AB33" i="73"/>
  <c r="C66" i="73"/>
  <c r="D64" i="73"/>
  <c r="U11" i="73"/>
  <c r="W12" i="73"/>
  <c r="S14" i="73"/>
  <c r="U15" i="73"/>
  <c r="W16" i="73"/>
  <c r="W17" i="73"/>
  <c r="W19" i="73"/>
  <c r="W21" i="73"/>
  <c r="W23" i="73"/>
  <c r="W25" i="73"/>
  <c r="W27" i="73"/>
  <c r="AC35" i="73"/>
  <c r="W35" i="73"/>
  <c r="J42" i="73"/>
  <c r="H42" i="73"/>
  <c r="F42" i="73"/>
  <c r="S33" i="73"/>
  <c r="U34" i="73"/>
  <c r="U39" i="73"/>
  <c r="W40" i="73"/>
  <c r="S37" i="73"/>
  <c r="W39" i="73"/>
  <c r="S41" i="73"/>
  <c r="S40" i="73"/>
  <c r="U41" i="73"/>
  <c r="E67" i="40"/>
  <c r="F67" i="40" s="1"/>
  <c r="G67" i="40" s="1"/>
  <c r="H67" i="40" s="1"/>
  <c r="I67" i="40" s="1"/>
  <c r="J67" i="40" s="1"/>
  <c r="K67" i="40" s="1"/>
  <c r="L67" i="40" s="1"/>
  <c r="M67" i="40" s="1"/>
  <c r="N67" i="40" s="1"/>
  <c r="O67" i="40" s="1"/>
  <c r="P67" i="40" s="1"/>
  <c r="Q67" i="40" s="1"/>
  <c r="R67" i="40" s="1"/>
  <c r="S67" i="40" s="1"/>
  <c r="T67" i="40" s="1"/>
  <c r="U67" i="40" s="1"/>
  <c r="V67" i="40" s="1"/>
  <c r="W67" i="40" s="1"/>
  <c r="X67" i="40" s="1"/>
  <c r="Y67" i="40" s="1"/>
  <c r="Z67" i="40" s="1"/>
  <c r="AA67" i="40" s="1"/>
  <c r="AB67" i="40" s="1"/>
  <c r="AC67" i="40" s="1"/>
  <c r="AD67" i="40" s="1"/>
  <c r="AE67" i="40" s="1"/>
  <c r="AF67" i="40" s="1"/>
  <c r="D67" i="40"/>
  <c r="C36" i="40"/>
  <c r="Z66" i="40"/>
  <c r="AA66" i="40"/>
  <c r="AB66" i="40"/>
  <c r="AC66" i="40"/>
  <c r="AD66" i="40"/>
  <c r="AE66" i="40"/>
  <c r="AF66" i="40"/>
  <c r="Z64" i="40"/>
  <c r="AA64" i="40" s="1"/>
  <c r="AB64" i="40" s="1"/>
  <c r="AC64" i="40" s="1"/>
  <c r="AD64" i="40" s="1"/>
  <c r="AE64" i="40" s="1"/>
  <c r="AF64" i="40" s="1"/>
  <c r="O66" i="40"/>
  <c r="P66" i="40"/>
  <c r="Q66" i="40"/>
  <c r="R66" i="40"/>
  <c r="S66" i="40"/>
  <c r="T66" i="40"/>
  <c r="U66" i="40"/>
  <c r="V66" i="40"/>
  <c r="W66" i="40"/>
  <c r="X66" i="40"/>
  <c r="Y66" i="40"/>
  <c r="O64" i="40"/>
  <c r="P64" i="40" s="1"/>
  <c r="Q64" i="40" s="1"/>
  <c r="R64" i="40" s="1"/>
  <c r="S64" i="40" s="1"/>
  <c r="T64" i="40" s="1"/>
  <c r="U64" i="40" s="1"/>
  <c r="V64" i="40" s="1"/>
  <c r="W64" i="40" s="1"/>
  <c r="X64" i="40" s="1"/>
  <c r="Y64" i="40" s="1"/>
  <c r="AB38" i="73" l="1"/>
  <c r="U38" i="73"/>
  <c r="AC38" i="73"/>
  <c r="W38" i="73"/>
  <c r="AA42" i="73"/>
  <c r="S42" i="73"/>
  <c r="AA38" i="73"/>
  <c r="S38" i="73"/>
  <c r="E64" i="73"/>
  <c r="D66" i="73"/>
  <c r="AB42" i="73"/>
  <c r="U42" i="73"/>
  <c r="AC42" i="73"/>
  <c r="W42" i="73"/>
  <c r="E66" i="73" l="1"/>
  <c r="F64" i="73"/>
  <c r="F66" i="73" l="1"/>
  <c r="G64" i="73"/>
  <c r="G66" i="73" l="1"/>
  <c r="H64" i="73"/>
  <c r="I64" i="73" l="1"/>
  <c r="H66" i="73"/>
  <c r="I66" i="73" l="1"/>
  <c r="J64" i="73"/>
  <c r="J66" i="73" l="1"/>
  <c r="K64" i="73"/>
  <c r="K66" i="73" l="1"/>
  <c r="L64" i="73"/>
  <c r="M64" i="73" l="1"/>
  <c r="L66" i="73"/>
  <c r="M66" i="73" l="1"/>
  <c r="N64" i="73"/>
  <c r="N66" i="73" l="1"/>
  <c r="O64" i="73"/>
  <c r="O66" i="73" l="1"/>
  <c r="P64" i="73"/>
  <c r="Q64" i="73" l="1"/>
  <c r="P66" i="73"/>
  <c r="Q66" i="73" l="1"/>
  <c r="R64" i="73"/>
  <c r="R66" i="73" l="1"/>
  <c r="S64" i="73"/>
  <c r="S66" i="73" l="1"/>
  <c r="T64" i="73"/>
  <c r="U64" i="73" l="1"/>
  <c r="T66" i="73"/>
  <c r="U66" i="73" l="1"/>
  <c r="V64" i="73"/>
  <c r="V66" i="73" l="1"/>
  <c r="W64" i="73"/>
  <c r="W66" i="73" l="1"/>
  <c r="X64" i="73"/>
  <c r="Y64" i="73" l="1"/>
  <c r="X66" i="73"/>
  <c r="Y66" i="73" l="1"/>
  <c r="Z64" i="73"/>
  <c r="Z66" i="73" l="1"/>
  <c r="AA64" i="73"/>
  <c r="AA66" i="73" l="1"/>
  <c r="AB64" i="73"/>
  <c r="AC64" i="73" l="1"/>
  <c r="AB66" i="73"/>
  <c r="AC66" i="73" l="1"/>
  <c r="AD64" i="73"/>
  <c r="AD66" i="73" l="1"/>
  <c r="AE64" i="73"/>
  <c r="AE66" i="73" l="1"/>
  <c r="AF64" i="73"/>
  <c r="AF66" i="73" s="1"/>
  <c r="J9" i="73" l="1"/>
  <c r="H9" i="73"/>
  <c r="F9" i="73"/>
  <c r="S9" i="73" l="1"/>
  <c r="AA9" i="73"/>
  <c r="R44" i="73" s="1"/>
  <c r="AB9" i="73"/>
  <c r="T44" i="73" s="1"/>
  <c r="G44" i="73" s="1"/>
  <c r="U9" i="73"/>
  <c r="W9" i="73"/>
  <c r="AC9" i="73"/>
  <c r="V44" i="73" s="1"/>
  <c r="I44" i="73" s="1"/>
  <c r="G48" i="73" l="1"/>
  <c r="H48" i="73" s="1"/>
  <c r="G49" i="73"/>
  <c r="H49" i="73" s="1"/>
  <c r="I48" i="73"/>
  <c r="J48" i="73" s="1"/>
  <c r="R45" i="73"/>
  <c r="E44" i="73"/>
  <c r="I49" i="73" s="1"/>
  <c r="J49" i="73" s="1"/>
  <c r="E49" i="73" l="1"/>
  <c r="F49" i="73" s="1"/>
  <c r="E48" i="73"/>
  <c r="F48" i="73" s="1"/>
  <c r="C45" i="73"/>
  <c r="C44" i="73"/>
  <c r="B60" i="73" l="1"/>
  <c r="F60" i="73" s="1"/>
  <c r="B58" i="73"/>
  <c r="F58" i="73" s="1"/>
  <c r="B55" i="73"/>
  <c r="F55" i="73" s="1"/>
  <c r="B53" i="73"/>
  <c r="F53" i="73" s="1"/>
  <c r="B54" i="73"/>
  <c r="F54" i="73" s="1"/>
  <c r="B61" i="73"/>
  <c r="F61" i="73" s="1"/>
  <c r="B59" i="73"/>
  <c r="F59" i="73" s="1"/>
  <c r="B57" i="73"/>
  <c r="F57" i="73" s="1"/>
  <c r="F62" i="73"/>
  <c r="B2" i="73" s="1"/>
  <c r="B56" i="73"/>
  <c r="F56" i="73" s="1"/>
  <c r="B5" i="73" l="1"/>
  <c r="B4" i="73"/>
  <c r="B3" i="73"/>
  <c r="D33" i="46" l="1"/>
  <c r="F1" i="46" l="1"/>
  <c r="F19"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D19" i="4"/>
  <c r="F7" i="1" s="1"/>
  <c r="T34" i="70" l="1"/>
  <c r="T33" i="70"/>
  <c r="T35" i="70"/>
  <c r="U35" i="70"/>
  <c r="AI35" i="70" s="1"/>
  <c r="U33" i="70"/>
  <c r="AI33" i="70" s="1"/>
  <c r="U34" i="70"/>
  <c r="AI34" i="70" s="1"/>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4" i="70"/>
  <c r="AG34" i="70" s="1"/>
  <c r="S33" i="70"/>
  <c r="AG33"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H35" i="70" l="1"/>
  <c r="W35" i="70"/>
  <c r="AK35" i="70" s="1"/>
  <c r="W33" i="70"/>
  <c r="AK33" i="70" s="1"/>
  <c r="AH33" i="70"/>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4" i="63"/>
  <c r="B40" i="63"/>
  <c r="B30" i="63"/>
  <c r="B27" i="63"/>
  <c r="B25" i="63"/>
  <c r="A11" i="51"/>
  <c r="B10" i="63" s="1"/>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s="1"/>
  <c r="B85" i="59"/>
  <c r="F84" i="59"/>
  <c r="F83" i="59" s="1"/>
  <c r="B84" i="59"/>
  <c r="B83" i="59" s="1"/>
  <c r="D82" i="59"/>
  <c r="Q81" i="59"/>
  <c r="P81" i="59"/>
  <c r="O81" i="59"/>
  <c r="N81" i="59"/>
  <c r="F81" i="59"/>
  <c r="V81" i="59"/>
  <c r="E81" i="59"/>
  <c r="U81" i="59" s="1"/>
  <c r="C81" i="59"/>
  <c r="T81" i="59"/>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C73" i="59"/>
  <c r="T73" i="59"/>
  <c r="B73" i="59"/>
  <c r="S73" i="59" s="1"/>
  <c r="Q72" i="59"/>
  <c r="P72" i="59"/>
  <c r="O72" i="59"/>
  <c r="N72" i="59"/>
  <c r="F72" i="59"/>
  <c r="F71" i="59"/>
  <c r="B72" i="59"/>
  <c r="B71" i="59" s="1"/>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N36" i="59"/>
  <c r="Q35" i="59"/>
  <c r="AB35" i="59" s="1"/>
  <c r="P35" i="59"/>
  <c r="O35" i="59"/>
  <c r="N35" i="59"/>
  <c r="Q34" i="59"/>
  <c r="AB34" i="59" s="1"/>
  <c r="P34" i="59"/>
  <c r="O34" i="59"/>
  <c r="N34" i="59"/>
  <c r="X34" i="59" s="1"/>
  <c r="D34" i="59"/>
  <c r="Q33" i="59"/>
  <c r="P33" i="59"/>
  <c r="AA33" i="59" s="1"/>
  <c r="O33" i="59"/>
  <c r="Y33" i="59" s="1"/>
  <c r="Z33" i="59" s="1"/>
  <c r="N33" i="59"/>
  <c r="Q32" i="59"/>
  <c r="P32" i="59"/>
  <c r="AA32" i="59" s="1"/>
  <c r="O32" i="59"/>
  <c r="Y32" i="59" s="1"/>
  <c r="Z32" i="59" s="1"/>
  <c r="N32" i="59"/>
  <c r="Q31" i="59"/>
  <c r="P31" i="59"/>
  <c r="AA31" i="59" s="1"/>
  <c r="O31" i="59"/>
  <c r="Y31" i="59" s="1"/>
  <c r="Z31" i="59" s="1"/>
  <c r="N31" i="59"/>
  <c r="Q30" i="59"/>
  <c r="F31" i="59"/>
  <c r="F32" i="59" s="1"/>
  <c r="F33" i="59" s="1"/>
  <c r="V33" i="59" s="1"/>
  <c r="P30" i="59"/>
  <c r="AA27" i="59" s="1"/>
  <c r="O30" i="59"/>
  <c r="N30" i="59"/>
  <c r="D30" i="59"/>
  <c r="AB3" i="59"/>
  <c r="S69" i="59"/>
  <c r="AA40" i="59"/>
  <c r="F48" i="59"/>
  <c r="F49" i="59" s="1"/>
  <c r="V49" i="59" s="1"/>
  <c r="F64" i="59"/>
  <c r="F65" i="59" s="1"/>
  <c r="V65" i="59" s="1"/>
  <c r="D47" i="59"/>
  <c r="C52" i="59"/>
  <c r="C53" i="59" s="1"/>
  <c r="D51" i="59"/>
  <c r="C60" i="59"/>
  <c r="D60" i="59" s="1"/>
  <c r="D59" i="59"/>
  <c r="O69" i="59"/>
  <c r="D69" i="59"/>
  <c r="C68" i="59"/>
  <c r="D68" i="59" s="1"/>
  <c r="U69" i="59"/>
  <c r="C72" i="59"/>
  <c r="C71" i="59" s="1"/>
  <c r="D71" i="59" s="1"/>
  <c r="D73" i="59"/>
  <c r="C76" i="59"/>
  <c r="D76" i="59" s="1"/>
  <c r="C80" i="59"/>
  <c r="D80" i="59" s="1"/>
  <c r="E80" i="59"/>
  <c r="E79" i="59" s="1"/>
  <c r="D81" i="59"/>
  <c r="C84" i="59"/>
  <c r="D84" i="59" s="1"/>
  <c r="U16" i="4"/>
  <c r="S16" i="4"/>
  <c r="Q16" i="4"/>
  <c r="O16" i="4"/>
  <c r="M16" i="4"/>
  <c r="K16" i="4"/>
  <c r="D72" i="59"/>
  <c r="C67" i="59"/>
  <c r="O66" i="59" s="1"/>
  <c r="O68" i="59"/>
  <c r="C83" i="59"/>
  <c r="D83" i="59" s="1"/>
  <c r="C75" i="59"/>
  <c r="D75" i="59" s="1"/>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F21" i="2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31" i="39"/>
  <c r="B57" i="46"/>
  <c r="B77" i="46"/>
  <c r="E66" i="36"/>
  <c r="H18" i="35"/>
  <c r="J18" i="35"/>
  <c r="H21" i="37"/>
  <c r="J21" i="37"/>
  <c r="J21" i="34"/>
  <c r="H21" i="34"/>
  <c r="F21" i="33"/>
  <c r="H21" i="33"/>
  <c r="J21" i="33"/>
  <c r="H21" i="21"/>
  <c r="G83" i="21"/>
  <c r="J21" i="21"/>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A74" i="3" s="1"/>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A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L542" i="3" s="1"/>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A547" i="3" s="1"/>
  <c r="BD547" i="3"/>
  <c r="BE547" i="3"/>
  <c r="BF547" i="3"/>
  <c r="BG547" i="3"/>
  <c r="BH547" i="3"/>
  <c r="BI547" i="3"/>
  <c r="BJ547" i="3"/>
  <c r="BK547" i="3"/>
  <c r="BM547" i="3"/>
  <c r="BN547" i="3"/>
  <c r="BO547" i="3"/>
  <c r="BP547" i="3"/>
  <c r="BQ547" i="3"/>
  <c r="BR547" i="3"/>
  <c r="BS547" i="3"/>
  <c r="BT547" i="3"/>
  <c r="H548" i="3"/>
  <c r="AC548" i="3"/>
  <c r="G548" i="3" s="1"/>
  <c r="BB548" i="3"/>
  <c r="BC548" i="3"/>
  <c r="BA548" i="3" s="1"/>
  <c r="BD548" i="3"/>
  <c r="BE548" i="3"/>
  <c r="BF548" i="3"/>
  <c r="BG548" i="3"/>
  <c r="BH548" i="3"/>
  <c r="BI548" i="3"/>
  <c r="BJ548" i="3"/>
  <c r="BK548" i="3"/>
  <c r="BM548" i="3"/>
  <c r="BN548" i="3"/>
  <c r="BO548" i="3"/>
  <c r="BP548" i="3"/>
  <c r="BL548" i="3" s="1"/>
  <c r="BR548" i="3"/>
  <c r="BS548" i="3"/>
  <c r="BT548" i="3"/>
  <c r="H549" i="3"/>
  <c r="G549" i="3" s="1"/>
  <c r="AC549" i="3"/>
  <c r="BB549" i="3"/>
  <c r="BC549" i="3"/>
  <c r="BD549" i="3"/>
  <c r="BA549" i="3" s="1"/>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L551" i="3" s="1"/>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AC17" i="40" s="1"/>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s="1"/>
  <c r="Q23" i="37"/>
  <c r="Z23" i="37" s="1"/>
  <c r="Q19" i="37"/>
  <c r="Z19" i="37" s="1"/>
  <c r="Q17" i="37"/>
  <c r="Z17" i="37"/>
  <c r="Q15" i="37"/>
  <c r="Z15" i="37" s="1"/>
  <c r="Q14" i="37"/>
  <c r="Z14" i="37"/>
  <c r="Q13" i="37"/>
  <c r="Z13" i="37" s="1"/>
  <c r="Q12" i="37"/>
  <c r="Z12" i="37"/>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H23" i="36" s="1"/>
  <c r="AB23" i="36" s="1"/>
  <c r="D70" i="36"/>
  <c r="H22" i="36"/>
  <c r="AB22" i="36" s="1"/>
  <c r="D68" i="36"/>
  <c r="E68" i="36"/>
  <c r="D64" i="36"/>
  <c r="E64" i="36" s="1"/>
  <c r="F64" i="36" s="1"/>
  <c r="G64" i="36" s="1"/>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c r="H8" i="36"/>
  <c r="U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C63" i="21"/>
  <c r="H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c r="B130" i="21"/>
  <c r="B128" i="21"/>
  <c r="B126" i="21"/>
  <c r="B98" i="21"/>
  <c r="B96" i="21"/>
  <c r="B94" i="21"/>
  <c r="B92" i="21"/>
  <c r="B90" i="21"/>
  <c r="B74" i="21"/>
  <c r="B72" i="21"/>
  <c r="B70" i="21"/>
  <c r="J12" i="21" s="1"/>
  <c r="W12" i="21" s="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s="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c r="F43" i="21"/>
  <c r="S43" i="21" s="1"/>
  <c r="H38" i="21"/>
  <c r="AB38" i="21"/>
  <c r="H43" i="21"/>
  <c r="F32" i="21"/>
  <c r="F38" i="21"/>
  <c r="S38" i="21"/>
  <c r="F36" i="21"/>
  <c r="F39" i="21"/>
  <c r="AA39" i="21"/>
  <c r="J40" i="21"/>
  <c r="W40" i="21" s="1"/>
  <c r="H35" i="21"/>
  <c r="AB35" i="21" s="1"/>
  <c r="J8" i="21"/>
  <c r="AC8" i="21" s="1"/>
  <c r="H8" i="21"/>
  <c r="H10" i="21"/>
  <c r="U10" i="21" s="1"/>
  <c r="H39" i="21"/>
  <c r="AB39" i="21"/>
  <c r="J34" i="21"/>
  <c r="W34" i="21" s="1"/>
  <c r="H36" i="21"/>
  <c r="AB36" i="21" s="1"/>
  <c r="U36" i="21"/>
  <c r="F35" i="21"/>
  <c r="AA35" i="21" s="1"/>
  <c r="J33" i="21"/>
  <c r="W33" i="21"/>
  <c r="H33" i="21"/>
  <c r="U33" i="21" s="1"/>
  <c r="F33" i="21"/>
  <c r="AA33" i="21" s="1"/>
  <c r="J10" i="21"/>
  <c r="AC10" i="21"/>
  <c r="H26" i="21"/>
  <c r="F19" i="21"/>
  <c r="H19" i="21"/>
  <c r="AB19" i="21" s="1"/>
  <c r="J19" i="21"/>
  <c r="W19"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s="1"/>
  <c r="F16" i="36"/>
  <c r="AA16" i="36" s="1"/>
  <c r="U22" i="36"/>
  <c r="W23" i="36"/>
  <c r="W22" i="36"/>
  <c r="U26" i="36"/>
  <c r="J33" i="36"/>
  <c r="AC27" i="35"/>
  <c r="U31" i="35"/>
  <c r="W36" i="35"/>
  <c r="W24" i="35"/>
  <c r="S31" i="35"/>
  <c r="W31" i="35"/>
  <c r="F36" i="34"/>
  <c r="S36" i="34" s="1"/>
  <c r="W9" i="34"/>
  <c r="S34" i="34"/>
  <c r="H39" i="33"/>
  <c r="AB39" i="33" s="1"/>
  <c r="F26" i="33"/>
  <c r="AA26" i="33" s="1"/>
  <c r="U33" i="33"/>
  <c r="W38" i="33"/>
  <c r="S40" i="33"/>
  <c r="S33" i="33"/>
  <c r="W33" i="33"/>
  <c r="U38" i="33"/>
  <c r="H39" i="37"/>
  <c r="AB39" i="37"/>
  <c r="AB27" i="35"/>
  <c r="W10" i="40"/>
  <c r="U11" i="40"/>
  <c r="U36" i="40"/>
  <c r="S40" i="39"/>
  <c r="F11" i="21"/>
  <c r="S11" i="21"/>
  <c r="AC40" i="21"/>
  <c r="AA38" i="21"/>
  <c r="AC35" i="21"/>
  <c r="C29" i="39"/>
  <c r="U36" i="39"/>
  <c r="H32" i="33"/>
  <c r="AB32" i="33"/>
  <c r="H11" i="21"/>
  <c r="U11" i="21" s="1"/>
  <c r="J11" i="21"/>
  <c r="W11" i="21"/>
  <c r="F85" i="40"/>
  <c r="G85" i="40" s="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s="1"/>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F37" i="34"/>
  <c r="AA37" i="34"/>
  <c r="F33" i="34"/>
  <c r="S33" i="34" s="1"/>
  <c r="AA28" i="34"/>
  <c r="F19" i="34"/>
  <c r="AA19" i="34"/>
  <c r="J10" i="34"/>
  <c r="AC10" i="34" s="1"/>
  <c r="U9" i="34"/>
  <c r="J28" i="34"/>
  <c r="W28" i="34" s="1"/>
  <c r="S38" i="33"/>
  <c r="E113" i="33"/>
  <c r="F113" i="33" s="1"/>
  <c r="G113" i="33" s="1"/>
  <c r="H113" i="33" s="1"/>
  <c r="I113" i="33" s="1"/>
  <c r="J113" i="33" s="1"/>
  <c r="K113" i="33" s="1"/>
  <c r="L113" i="33" s="1"/>
  <c r="M113" i="33" s="1"/>
  <c r="F36" i="33"/>
  <c r="S36" i="33" s="1"/>
  <c r="F19" i="33"/>
  <c r="S19" i="33"/>
  <c r="J19" i="33"/>
  <c r="W19" i="33" s="1"/>
  <c r="S10" i="21"/>
  <c r="W40" i="33"/>
  <c r="F125" i="21"/>
  <c r="G125" i="21"/>
  <c r="AB30" i="36"/>
  <c r="AC34" i="36"/>
  <c r="S22" i="35"/>
  <c r="H29" i="35"/>
  <c r="U34" i="37"/>
  <c r="S34" i="37"/>
  <c r="AA34" i="37"/>
  <c r="AC43" i="34"/>
  <c r="AB42"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Q5" i="3" s="1"/>
  <c r="J14" i="21"/>
  <c r="F14" i="21"/>
  <c r="AA14" i="21"/>
  <c r="H14" i="21"/>
  <c r="U14" i="21"/>
  <c r="H28" i="21"/>
  <c r="U28" i="21" s="1"/>
  <c r="AB28" i="21"/>
  <c r="F28" i="21"/>
  <c r="J28" i="21"/>
  <c r="AC28" i="21" s="1"/>
  <c r="H30" i="21"/>
  <c r="U30" i="21" s="1"/>
  <c r="F30" i="21"/>
  <c r="S30" i="21" s="1"/>
  <c r="J30" i="21"/>
  <c r="W30" i="21" s="1"/>
  <c r="J44" i="21"/>
  <c r="AC44" i="21"/>
  <c r="H44" i="21"/>
  <c r="F44" i="21"/>
  <c r="AA44" i="21" s="1"/>
  <c r="H46" i="21"/>
  <c r="U46" i="21" s="1"/>
  <c r="AB46" i="21"/>
  <c r="J46" i="21"/>
  <c r="W46" i="21" s="1"/>
  <c r="F46" i="21"/>
  <c r="S46" i="21" s="1"/>
  <c r="AA46" i="21"/>
  <c r="H26" i="33"/>
  <c r="U26" i="33" s="1"/>
  <c r="H28" i="33"/>
  <c r="F28" i="33"/>
  <c r="AA28" i="33" s="1"/>
  <c r="J28" i="33"/>
  <c r="W28" i="33" s="1"/>
  <c r="F33" i="35"/>
  <c r="S33" i="35" s="1"/>
  <c r="J33" i="35"/>
  <c r="W33" i="35" s="1"/>
  <c r="F30" i="35"/>
  <c r="AA30" i="35" s="1"/>
  <c r="H10" i="36"/>
  <c r="AB10" i="36" s="1"/>
  <c r="F28" i="36"/>
  <c r="S28" i="36" s="1"/>
  <c r="F27" i="36"/>
  <c r="S27" i="36" s="1"/>
  <c r="H13" i="21"/>
  <c r="U13" i="21" s="1"/>
  <c r="J13" i="21"/>
  <c r="AC13" i="21" s="1"/>
  <c r="F13" i="21"/>
  <c r="AA13" i="21" s="1"/>
  <c r="F27" i="21"/>
  <c r="AA27" i="21" s="1"/>
  <c r="J29" i="21"/>
  <c r="AC29" i="21" s="1"/>
  <c r="H29" i="21"/>
  <c r="U29" i="21" s="1"/>
  <c r="F29" i="21"/>
  <c r="S29" i="21" s="1"/>
  <c r="J31" i="21"/>
  <c r="AC31" i="21" s="1"/>
  <c r="J45" i="21"/>
  <c r="W45" i="21" s="1"/>
  <c r="F45" i="21"/>
  <c r="H45" i="21"/>
  <c r="U45" i="21" s="1"/>
  <c r="F13" i="33"/>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F40" i="37"/>
  <c r="AA40" i="37" s="1"/>
  <c r="H14" i="33"/>
  <c r="U14" i="33"/>
  <c r="F14" i="33"/>
  <c r="AA14" i="33" s="1"/>
  <c r="J14" i="33"/>
  <c r="AC14" i="33"/>
  <c r="H30" i="33"/>
  <c r="AB30" i="33" s="1"/>
  <c r="F30" i="33"/>
  <c r="S30" i="33"/>
  <c r="J30" i="33"/>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H38" i="37"/>
  <c r="AB38" i="37" s="1"/>
  <c r="J38" i="37"/>
  <c r="AC38" i="37" s="1"/>
  <c r="F38" i="37"/>
  <c r="S38" i="37" s="1"/>
  <c r="F14" i="37"/>
  <c r="AA14" i="37" s="1"/>
  <c r="F27" i="37"/>
  <c r="AA27" i="37" s="1"/>
  <c r="J14" i="37"/>
  <c r="W14" i="37" s="1"/>
  <c r="J27" i="37"/>
  <c r="W27" i="37" s="1"/>
  <c r="U30" i="33"/>
  <c r="J36" i="37"/>
  <c r="AC36" i="37" s="1"/>
  <c r="G105" i="37"/>
  <c r="AB28" i="36"/>
  <c r="AC30" i="21"/>
  <c r="S28" i="21"/>
  <c r="AA28" i="21"/>
  <c r="AB14" i="21"/>
  <c r="W14" i="21"/>
  <c r="AC14" i="21"/>
  <c r="S46" i="33"/>
  <c r="U36" i="37"/>
  <c r="AC13" i="36"/>
  <c r="AB45" i="33"/>
  <c r="AC28" i="33"/>
  <c r="G529" i="3"/>
  <c r="G513" i="3"/>
  <c r="G508" i="3"/>
  <c r="G499" i="3"/>
  <c r="G493" i="3"/>
  <c r="G485" i="3"/>
  <c r="G17" i="3"/>
  <c r="G565" i="3"/>
  <c r="G561" i="3"/>
  <c r="G557" i="3"/>
  <c r="G545" i="3"/>
  <c r="G539" i="3"/>
  <c r="BL569" i="3"/>
  <c r="BL561" i="3"/>
  <c r="AZ561" i="3" s="1"/>
  <c r="BL557" i="3"/>
  <c r="BL553" i="3"/>
  <c r="BL511" i="3"/>
  <c r="BL501" i="3"/>
  <c r="BL491" i="3"/>
  <c r="BL483" i="3"/>
  <c r="G16" i="3"/>
  <c r="BL563" i="3"/>
  <c r="BL559" i="3"/>
  <c r="BL555" i="3"/>
  <c r="G518" i="3"/>
  <c r="G514" i="3"/>
  <c r="G510" i="3"/>
  <c r="BL503" i="3"/>
  <c r="BL495" i="3"/>
  <c r="BL485" i="3"/>
  <c r="G18" i="3"/>
  <c r="BA569" i="3"/>
  <c r="AZ569" i="3" s="1"/>
  <c r="BA565" i="3"/>
  <c r="BA561" i="3"/>
  <c r="BA559" i="3"/>
  <c r="AZ559" i="3" s="1"/>
  <c r="BA557" i="3"/>
  <c r="AZ557" i="3" s="1"/>
  <c r="BA555" i="3"/>
  <c r="BA543" i="3"/>
  <c r="BA509" i="3"/>
  <c r="BA505" i="3"/>
  <c r="BA501" i="3"/>
  <c r="BA493" i="3"/>
  <c r="AZ493" i="3"/>
  <c r="BA487" i="3"/>
  <c r="BA566" i="3"/>
  <c r="BA562" i="3"/>
  <c r="BA560" i="3"/>
  <c r="BA558" i="3"/>
  <c r="BA556" i="3"/>
  <c r="BA554" i="3"/>
  <c r="BA524" i="3"/>
  <c r="BA508" i="3"/>
  <c r="BA502" i="3"/>
  <c r="BA498" i="3"/>
  <c r="BA492" i="3"/>
  <c r="BA488" i="3"/>
  <c r="BA484" i="3"/>
  <c r="G566" i="3"/>
  <c r="G562" i="3"/>
  <c r="G560" i="3"/>
  <c r="G558" i="3"/>
  <c r="G556" i="3"/>
  <c r="G554" i="3"/>
  <c r="G546" i="3"/>
  <c r="BA542" i="3"/>
  <c r="AC542" i="3"/>
  <c r="BQ542" i="3"/>
  <c r="BQ568" i="3"/>
  <c r="BQ566" i="3"/>
  <c r="BQ564" i="3"/>
  <c r="BL564" i="3" s="1"/>
  <c r="BQ562" i="3"/>
  <c r="BL562" i="3" s="1"/>
  <c r="BQ560" i="3"/>
  <c r="BL560" i="3"/>
  <c r="BQ558" i="3"/>
  <c r="BL558" i="3"/>
  <c r="BQ556" i="3"/>
  <c r="BL556" i="3"/>
  <c r="BQ554" i="3"/>
  <c r="BQ552" i="3"/>
  <c r="BL552" i="3" s="1"/>
  <c r="BQ550" i="3"/>
  <c r="BQ548" i="3"/>
  <c r="BQ546" i="3"/>
  <c r="BQ544" i="3"/>
  <c r="G538" i="3"/>
  <c r="G530" i="3"/>
  <c r="G526" i="3"/>
  <c r="BQ540" i="3"/>
  <c r="BL540" i="3"/>
  <c r="BQ538" i="3"/>
  <c r="BQ536" i="3"/>
  <c r="BQ534" i="3"/>
  <c r="BL534" i="3" s="1"/>
  <c r="BQ532" i="3"/>
  <c r="BQ530" i="3"/>
  <c r="BQ528" i="3"/>
  <c r="BQ526" i="3"/>
  <c r="BL526" i="3" s="1"/>
  <c r="BQ524" i="3"/>
  <c r="BQ522" i="3"/>
  <c r="BQ520" i="3"/>
  <c r="BL520" i="3"/>
  <c r="BQ518" i="3"/>
  <c r="BQ516" i="3"/>
  <c r="BQ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F10" i="35"/>
  <c r="AA10" i="35" s="1"/>
  <c r="F24" i="35"/>
  <c r="AA24" i="35"/>
  <c r="H24" i="35"/>
  <c r="AB24" i="35" s="1"/>
  <c r="H23" i="37"/>
  <c r="U23" i="37" s="1"/>
  <c r="AB23" i="37"/>
  <c r="J32" i="37"/>
  <c r="AC32" i="37" s="1"/>
  <c r="F36" i="37"/>
  <c r="S36" i="37" s="1"/>
  <c r="F37" i="37"/>
  <c r="AA37" i="37"/>
  <c r="F123" i="33"/>
  <c r="G123" i="33"/>
  <c r="H123" i="33" s="1"/>
  <c r="I123" i="33" s="1"/>
  <c r="J123" i="33" s="1"/>
  <c r="K123" i="33" s="1"/>
  <c r="L123" i="33" s="1"/>
  <c r="M123" i="33" s="1"/>
  <c r="H42" i="33"/>
  <c r="U42" i="33"/>
  <c r="J43" i="33"/>
  <c r="AC43" i="33" s="1"/>
  <c r="G79" i="37"/>
  <c r="J23" i="37"/>
  <c r="W23" i="37" s="1"/>
  <c r="F17" i="37"/>
  <c r="AA17" i="37" s="1"/>
  <c r="AB43" i="33"/>
  <c r="D3" i="21"/>
  <c r="AC12" i="35"/>
  <c r="W23" i="35"/>
  <c r="U39" i="37"/>
  <c r="AC36" i="34"/>
  <c r="AB8" i="34"/>
  <c r="AC37" i="33"/>
  <c r="AC45" i="33"/>
  <c r="U19" i="21"/>
  <c r="AC33" i="21"/>
  <c r="S39" i="33"/>
  <c r="F43" i="33"/>
  <c r="AA43" i="33" s="1"/>
  <c r="AA23" i="37"/>
  <c r="G107" i="37"/>
  <c r="H107" i="37" s="1"/>
  <c r="I107" i="37" s="1"/>
  <c r="J107" i="37" s="1"/>
  <c r="K107" i="37" s="1"/>
  <c r="L107" i="37" s="1"/>
  <c r="M107" i="37" s="1"/>
  <c r="F37" i="21"/>
  <c r="S37" i="21"/>
  <c r="J37" i="21"/>
  <c r="W37" i="21" s="1"/>
  <c r="H19" i="34"/>
  <c r="AB19" i="34"/>
  <c r="J10" i="37"/>
  <c r="AC10" i="37" s="1"/>
  <c r="F36" i="35"/>
  <c r="S36" i="35"/>
  <c r="J9" i="37"/>
  <c r="W9" i="37" s="1"/>
  <c r="H9" i="37"/>
  <c r="U9" i="37" s="1"/>
  <c r="F9" i="37"/>
  <c r="S9" i="37" s="1"/>
  <c r="F11" i="37"/>
  <c r="S11" i="37"/>
  <c r="J12" i="37"/>
  <c r="AC12" i="37" s="1"/>
  <c r="H12" i="37"/>
  <c r="U12" i="37" s="1"/>
  <c r="AB12" i="37"/>
  <c r="F12" i="37"/>
  <c r="AA12" i="37" s="1"/>
  <c r="H15" i="37"/>
  <c r="U15" i="37"/>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AZ143" i="3" s="1"/>
  <c r="G144" i="3"/>
  <c r="BA146" i="3"/>
  <c r="AZ146" i="3" s="1"/>
  <c r="BL147" i="3"/>
  <c r="AZ147" i="3" s="1"/>
  <c r="G148" i="3"/>
  <c r="BA150" i="3"/>
  <c r="BL151" i="3"/>
  <c r="AZ151" i="3" s="1"/>
  <c r="BA153" i="3"/>
  <c r="BL154" i="3"/>
  <c r="G155" i="3"/>
  <c r="BA157" i="3"/>
  <c r="BL158" i="3"/>
  <c r="G159" i="3"/>
  <c r="BA161" i="3"/>
  <c r="BL162" i="3"/>
  <c r="G163" i="3"/>
  <c r="BA165" i="3"/>
  <c r="BL166" i="3"/>
  <c r="G167" i="3"/>
  <c r="BA169" i="3"/>
  <c r="AZ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AZ127"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AZ170" i="3"/>
  <c r="G523" i="3"/>
  <c r="BL297" i="3"/>
  <c r="G298" i="3"/>
  <c r="BA300" i="3"/>
  <c r="BL301" i="3"/>
  <c r="G302" i="3"/>
  <c r="BA304" i="3"/>
  <c r="BL305" i="3"/>
  <c r="AZ305" i="3" s="1"/>
  <c r="G306" i="3"/>
  <c r="BA308" i="3"/>
  <c r="BL309" i="3"/>
  <c r="G310" i="3"/>
  <c r="BA310" i="3"/>
  <c r="BL311" i="3"/>
  <c r="AZ311" i="3" s="1"/>
  <c r="G312" i="3"/>
  <c r="BA312" i="3"/>
  <c r="AZ312" i="3" s="1"/>
  <c r="BL313" i="3"/>
  <c r="G314" i="3"/>
  <c r="BA314" i="3"/>
  <c r="BL315" i="3"/>
  <c r="AZ315" i="3" s="1"/>
  <c r="G316" i="3"/>
  <c r="BA316" i="3"/>
  <c r="BL317" i="3"/>
  <c r="G318" i="3"/>
  <c r="BA320" i="3"/>
  <c r="BL321" i="3"/>
  <c r="G322" i="3"/>
  <c r="BA324" i="3"/>
  <c r="AZ324" i="3" s="1"/>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AZ353" i="3" s="1"/>
  <c r="G354" i="3"/>
  <c r="BA356" i="3"/>
  <c r="AZ356" i="3" s="1"/>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AZ383" i="3" s="1"/>
  <c r="G384" i="3"/>
  <c r="AZ361" i="3"/>
  <c r="F37" i="46"/>
  <c r="AB16" i="35"/>
  <c r="AB15" i="37"/>
  <c r="AA43" i="21"/>
  <c r="AA13" i="40"/>
  <c r="F77" i="40"/>
  <c r="G77" i="40" s="1"/>
  <c r="H77" i="40"/>
  <c r="I77" i="40" s="1"/>
  <c r="J77" i="40" s="1"/>
  <c r="K77" i="40" s="1"/>
  <c r="L77" i="40" s="1"/>
  <c r="M77" i="40" s="1"/>
  <c r="R16" i="4"/>
  <c r="D3" i="35"/>
  <c r="G4" i="4"/>
  <c r="S37" i="34"/>
  <c r="J16" i="35"/>
  <c r="W16" i="35" s="1"/>
  <c r="U42" i="21"/>
  <c r="AC26" i="36"/>
  <c r="W25" i="35"/>
  <c r="AZ354" i="3"/>
  <c r="H13" i="39"/>
  <c r="AB13" i="39" s="1"/>
  <c r="F13" i="39"/>
  <c r="J13" i="39"/>
  <c r="AC13" i="39" s="1"/>
  <c r="AA36" i="35"/>
  <c r="H11" i="37"/>
  <c r="AB11" i="37"/>
  <c r="AA30" i="33"/>
  <c r="S42" i="33"/>
  <c r="U32" i="33"/>
  <c r="AB17" i="37"/>
  <c r="AA45" i="33"/>
  <c r="AC14" i="37"/>
  <c r="AB35" i="35"/>
  <c r="S25" i="35"/>
  <c r="AC29" i="37"/>
  <c r="W32" i="36"/>
  <c r="AC32" i="36"/>
  <c r="U28" i="33"/>
  <c r="AB28" i="33"/>
  <c r="J33" i="34"/>
  <c r="AC33" i="34" s="1"/>
  <c r="J40" i="34"/>
  <c r="W40" i="34"/>
  <c r="F16" i="35"/>
  <c r="AA16" i="35" s="1"/>
  <c r="S24" i="36"/>
  <c r="W42" i="33"/>
  <c r="J35" i="34"/>
  <c r="W35" i="34" s="1"/>
  <c r="S30" i="36"/>
  <c r="H16" i="36"/>
  <c r="AB16" i="36" s="1"/>
  <c r="H35" i="37"/>
  <c r="AB35" i="37" s="1"/>
  <c r="S26" i="21"/>
  <c r="AB12" i="21"/>
  <c r="H32" i="21"/>
  <c r="U32" i="21" s="1"/>
  <c r="AB26" i="21"/>
  <c r="U26" i="21"/>
  <c r="U39" i="21"/>
  <c r="J32" i="21"/>
  <c r="AC32" i="21" s="1"/>
  <c r="F17" i="21"/>
  <c r="S17" i="21" s="1"/>
  <c r="H17" i="21"/>
  <c r="AB17" i="21" s="1"/>
  <c r="J17" i="21"/>
  <c r="AC17" i="21" s="1"/>
  <c r="H37" i="21"/>
  <c r="U37" i="21"/>
  <c r="F40" i="21"/>
  <c r="S40" i="21" s="1"/>
  <c r="H40" i="21"/>
  <c r="AB40" i="21" s="1"/>
  <c r="E119" i="21"/>
  <c r="F119" i="21" s="1"/>
  <c r="G119" i="21" s="1"/>
  <c r="H119" i="21" s="1"/>
  <c r="I119" i="21" s="1"/>
  <c r="J119" i="21" s="1"/>
  <c r="K119" i="21" s="1"/>
  <c r="L119" i="21" s="1"/>
  <c r="M119" i="21" s="1"/>
  <c r="AC8" i="33"/>
  <c r="F10" i="33"/>
  <c r="AA10" i="33" s="1"/>
  <c r="F11" i="33"/>
  <c r="S11" i="33" s="1"/>
  <c r="J15" i="33"/>
  <c r="W15" i="33" s="1"/>
  <c r="H19" i="33"/>
  <c r="AB19" i="33" s="1"/>
  <c r="F32" i="33"/>
  <c r="AA32" i="33"/>
  <c r="J32" i="33"/>
  <c r="AC32" i="33" s="1"/>
  <c r="F35" i="33"/>
  <c r="AA35" i="33" s="1"/>
  <c r="AB39" i="34"/>
  <c r="F11" i="34"/>
  <c r="S11" i="34"/>
  <c r="E80" i="34"/>
  <c r="F80" i="34" s="1"/>
  <c r="H17" i="34"/>
  <c r="AB17" i="34" s="1"/>
  <c r="AB28" i="35"/>
  <c r="U28" i="35"/>
  <c r="J13" i="33"/>
  <c r="W13" i="33" s="1"/>
  <c r="H13" i="33"/>
  <c r="U13" i="33"/>
  <c r="J12" i="34"/>
  <c r="AC12" i="34" s="1"/>
  <c r="J14" i="34"/>
  <c r="W14" i="34" s="1"/>
  <c r="F14" i="34"/>
  <c r="S14" i="34" s="1"/>
  <c r="H14" i="34"/>
  <c r="AB14" i="34"/>
  <c r="J30" i="34"/>
  <c r="H32" i="34"/>
  <c r="AB32" i="34"/>
  <c r="F32" i="34"/>
  <c r="AA32" i="34" s="1"/>
  <c r="J32" i="34"/>
  <c r="W32" i="34" s="1"/>
  <c r="F96" i="37"/>
  <c r="H32" i="37"/>
  <c r="AB32" i="37"/>
  <c r="F19" i="39"/>
  <c r="S19" i="39" s="1"/>
  <c r="H19" i="39"/>
  <c r="J19" i="39"/>
  <c r="W19" i="39" s="1"/>
  <c r="F43" i="39"/>
  <c r="H43" i="39"/>
  <c r="U43" i="39"/>
  <c r="J43" i="39"/>
  <c r="F99" i="37"/>
  <c r="AC27" i="37"/>
  <c r="U25" i="35"/>
  <c r="S45" i="34"/>
  <c r="U31" i="34"/>
  <c r="AC45" i="21"/>
  <c r="S28" i="33"/>
  <c r="S14" i="21"/>
  <c r="AA44" i="34"/>
  <c r="AC19" i="33"/>
  <c r="U43" i="34"/>
  <c r="AB43" i="34"/>
  <c r="AC34" i="37"/>
  <c r="AA32" i="21"/>
  <c r="S32" i="21"/>
  <c r="U38" i="21"/>
  <c r="AB34" i="21"/>
  <c r="BA571" i="3"/>
  <c r="F42" i="21"/>
  <c r="AA42" i="21" s="1"/>
  <c r="AB40" i="33"/>
  <c r="U40" i="33"/>
  <c r="AA35" i="34"/>
  <c r="S35" i="34"/>
  <c r="E90" i="34"/>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s="1"/>
  <c r="F29" i="35"/>
  <c r="S29" i="35" s="1"/>
  <c r="W30" i="36"/>
  <c r="AC30" i="36"/>
  <c r="F37" i="39"/>
  <c r="S37" i="39" s="1"/>
  <c r="H37" i="39"/>
  <c r="J37" i="39"/>
  <c r="W37" i="39" s="1"/>
  <c r="BL568" i="3"/>
  <c r="BA568" i="3"/>
  <c r="AZ568" i="3" s="1"/>
  <c r="BL567" i="3"/>
  <c r="BA567" i="3"/>
  <c r="BL566" i="3"/>
  <c r="AZ566" i="3" s="1"/>
  <c r="BL565" i="3"/>
  <c r="BA564" i="3"/>
  <c r="AZ564" i="3" s="1"/>
  <c r="BA563" i="3"/>
  <c r="BL554" i="3"/>
  <c r="BA553" i="3"/>
  <c r="AZ553" i="3" s="1"/>
  <c r="BA552" i="3"/>
  <c r="AZ552" i="3" s="1"/>
  <c r="BA539" i="3"/>
  <c r="BA534" i="3"/>
  <c r="BL531" i="3"/>
  <c r="BL530" i="3"/>
  <c r="BL529" i="3"/>
  <c r="BL528" i="3"/>
  <c r="BA525" i="3"/>
  <c r="BA523" i="3"/>
  <c r="BA522" i="3"/>
  <c r="BA519" i="3"/>
  <c r="BL518" i="3"/>
  <c r="BL517" i="3"/>
  <c r="BA515" i="3"/>
  <c r="BL513" i="3"/>
  <c r="BL512" i="3"/>
  <c r="BA511" i="3"/>
  <c r="AZ511" i="3" s="1"/>
  <c r="BA510" i="3"/>
  <c r="AZ510" i="3" s="1"/>
  <c r="BL509" i="3"/>
  <c r="BL507" i="3"/>
  <c r="BA507" i="3"/>
  <c r="AZ507" i="3"/>
  <c r="BL506" i="3"/>
  <c r="BA506" i="3"/>
  <c r="BL505" i="3"/>
  <c r="AZ505" i="3" s="1"/>
  <c r="BL504" i="3"/>
  <c r="AZ504" i="3" s="1"/>
  <c r="BA504" i="3"/>
  <c r="BA503" i="3"/>
  <c r="AZ503" i="3" s="1"/>
  <c r="BA500" i="3"/>
  <c r="AZ500" i="3" s="1"/>
  <c r="BL499" i="3"/>
  <c r="BA499" i="3"/>
  <c r="BL498" i="3"/>
  <c r="AZ498" i="3" s="1"/>
  <c r="BL497" i="3"/>
  <c r="AZ497" i="3" s="1"/>
  <c r="BA497" i="3"/>
  <c r="BL496" i="3"/>
  <c r="BA496" i="3"/>
  <c r="BA495" i="3"/>
  <c r="AZ495" i="3" s="1"/>
  <c r="BL494" i="3"/>
  <c r="BA494" i="3"/>
  <c r="AZ494" i="3" s="1"/>
  <c r="G494" i="3"/>
  <c r="BA491" i="3"/>
  <c r="AZ491" i="3" s="1"/>
  <c r="BL490" i="3"/>
  <c r="AZ490" i="3" s="1"/>
  <c r="BA490" i="3"/>
  <c r="BL489" i="3"/>
  <c r="BA489" i="3"/>
  <c r="AZ489" i="3" s="1"/>
  <c r="BL487" i="3"/>
  <c r="AZ487" i="3" s="1"/>
  <c r="BL486" i="3"/>
  <c r="AZ486" i="3" s="1"/>
  <c r="BA486" i="3"/>
  <c r="BA485" i="3"/>
  <c r="AZ485" i="3" s="1"/>
  <c r="BA483" i="3"/>
  <c r="AZ483" i="3" s="1"/>
  <c r="BA482" i="3"/>
  <c r="AZ482" i="3" s="1"/>
  <c r="BJ5" i="3"/>
  <c r="BA481"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C12" i="21"/>
  <c r="AB33" i="21"/>
  <c r="AB10" i="21"/>
  <c r="U8" i="21"/>
  <c r="AB8" i="21"/>
  <c r="AC36" i="21"/>
  <c r="AB8" i="33"/>
  <c r="U8" i="33"/>
  <c r="H34" i="33"/>
  <c r="U34" i="33" s="1"/>
  <c r="F34" i="33"/>
  <c r="E121" i="33"/>
  <c r="F41" i="33"/>
  <c r="S41" i="33" s="1"/>
  <c r="AC34" i="34"/>
  <c r="W34" i="34"/>
  <c r="AA39" i="34"/>
  <c r="S39" i="34"/>
  <c r="S43" i="34"/>
  <c r="E78" i="34"/>
  <c r="F15" i="34"/>
  <c r="AC28" i="35"/>
  <c r="W28" i="35"/>
  <c r="J20" i="35"/>
  <c r="AC20" i="35" s="1"/>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H16" i="39"/>
  <c r="U16" i="39" s="1"/>
  <c r="J16" i="39"/>
  <c r="AC16" i="39" s="1"/>
  <c r="F23" i="39"/>
  <c r="AA23" i="39" s="1"/>
  <c r="E96" i="39"/>
  <c r="F96" i="39" s="1"/>
  <c r="G96" i="39" s="1"/>
  <c r="F27" i="39"/>
  <c r="AA27" i="39" s="1"/>
  <c r="H27" i="39"/>
  <c r="J27" i="39"/>
  <c r="AC27" i="39" s="1"/>
  <c r="F15" i="40"/>
  <c r="AA15" i="40" s="1"/>
  <c r="J15" i="40"/>
  <c r="H15" i="40"/>
  <c r="AB15" i="40" s="1"/>
  <c r="E91" i="40"/>
  <c r="F91" i="40" s="1"/>
  <c r="G91" i="40" s="1"/>
  <c r="H23" i="40"/>
  <c r="U23" i="40" s="1"/>
  <c r="H41" i="40"/>
  <c r="U41" i="40" s="1"/>
  <c r="AB41" i="40"/>
  <c r="F41" i="40"/>
  <c r="AA41" i="40" s="1"/>
  <c r="J41" i="40"/>
  <c r="AC41" i="40" s="1"/>
  <c r="H36" i="33"/>
  <c r="AB36" i="33" s="1"/>
  <c r="H37" i="34"/>
  <c r="U37" i="34" s="1"/>
  <c r="F15" i="39"/>
  <c r="AA15" i="39" s="1"/>
  <c r="H15" i="39"/>
  <c r="U15" i="39" s="1"/>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2" i="40"/>
  <c r="H40" i="40"/>
  <c r="U40" i="40" s="1"/>
  <c r="H34" i="40"/>
  <c r="U34" i="40"/>
  <c r="B41" i="1"/>
  <c r="M20" i="44" s="1"/>
  <c r="J42" i="40"/>
  <c r="AC42" i="40" s="1"/>
  <c r="J40" i="40"/>
  <c r="W40" i="40" s="1"/>
  <c r="AC40" i="40"/>
  <c r="J34" i="40"/>
  <c r="AC34" i="40" s="1"/>
  <c r="H14" i="40"/>
  <c r="F32" i="40"/>
  <c r="AA32" i="40"/>
  <c r="F61" i="46"/>
  <c r="H61" i="46" s="1"/>
  <c r="AZ244" i="3"/>
  <c r="AZ276" i="3"/>
  <c r="F72" i="46"/>
  <c r="H74" i="46" s="1"/>
  <c r="J13" i="40"/>
  <c r="W13" i="40" s="1"/>
  <c r="S47" i="39"/>
  <c r="AB25" i="39"/>
  <c r="AB37" i="34"/>
  <c r="W41" i="40"/>
  <c r="J23" i="40"/>
  <c r="F23" i="40"/>
  <c r="S23" i="40" s="1"/>
  <c r="W27" i="39"/>
  <c r="S23" i="39"/>
  <c r="AB23" i="35"/>
  <c r="H20" i="35"/>
  <c r="U20" i="35" s="1"/>
  <c r="F20" i="35"/>
  <c r="S20" i="35" s="1"/>
  <c r="H15" i="34"/>
  <c r="AB15" i="34"/>
  <c r="F78" i="34"/>
  <c r="G78" i="34" s="1"/>
  <c r="J15" i="34"/>
  <c r="AC15" i="34" s="1"/>
  <c r="H41" i="33"/>
  <c r="U41" i="33" s="1"/>
  <c r="F121" i="33"/>
  <c r="G121" i="33" s="1"/>
  <c r="H121" i="33" s="1"/>
  <c r="I121" i="33" s="1"/>
  <c r="J121" i="33" s="1"/>
  <c r="K121" i="33" s="1"/>
  <c r="L121" i="33" s="1"/>
  <c r="M121" i="33" s="1"/>
  <c r="F30" i="40"/>
  <c r="AA30" i="40" s="1"/>
  <c r="AB38" i="34"/>
  <c r="U39" i="39"/>
  <c r="J29" i="39"/>
  <c r="AC29" i="39" s="1"/>
  <c r="AB21" i="39"/>
  <c r="U21" i="39"/>
  <c r="AB17" i="39"/>
  <c r="AB33" i="36"/>
  <c r="AA14" i="35"/>
  <c r="S14" i="35"/>
  <c r="G99" i="37"/>
  <c r="H99" i="37" s="1"/>
  <c r="I99" i="37" s="1"/>
  <c r="J99" i="37" s="1"/>
  <c r="K99" i="37" s="1"/>
  <c r="L99" i="37" s="1"/>
  <c r="M99" i="37" s="1"/>
  <c r="F33" i="37"/>
  <c r="AB19" i="39"/>
  <c r="U19" i="39"/>
  <c r="AA14" i="34"/>
  <c r="W12" i="34"/>
  <c r="AC13" i="33"/>
  <c r="U17" i="34"/>
  <c r="AA11" i="34"/>
  <c r="W32" i="33"/>
  <c r="H15" i="33"/>
  <c r="U15" i="33" s="1"/>
  <c r="AA11" i="33"/>
  <c r="AA40" i="21"/>
  <c r="U17" i="21"/>
  <c r="S13" i="39"/>
  <c r="AA13" i="39"/>
  <c r="AB34" i="40"/>
  <c r="W32" i="40"/>
  <c r="H25" i="40"/>
  <c r="AB25" i="40" s="1"/>
  <c r="F93" i="40"/>
  <c r="G93" i="40" s="1"/>
  <c r="U47" i="39"/>
  <c r="W15" i="39"/>
  <c r="J37" i="34"/>
  <c r="AC37" i="34" s="1"/>
  <c r="J36" i="33"/>
  <c r="W36" i="33" s="1"/>
  <c r="H23" i="39"/>
  <c r="AB23" i="39" s="1"/>
  <c r="J23" i="39"/>
  <c r="AC23" i="39" s="1"/>
  <c r="S15" i="34"/>
  <c r="AA15" i="34"/>
  <c r="AA41" i="33"/>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32" i="34"/>
  <c r="U14"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F25" i="40"/>
  <c r="AA25" i="40" s="1"/>
  <c r="J11" i="33"/>
  <c r="W11" i="33" s="1"/>
  <c r="H33" i="37"/>
  <c r="AB33" i="37" s="1"/>
  <c r="W15" i="34"/>
  <c r="B11" i="1"/>
  <c r="E11" i="1" s="1"/>
  <c r="K11" i="1"/>
  <c r="M11" i="1" s="1"/>
  <c r="B9" i="1"/>
  <c r="E9" i="1" s="1"/>
  <c r="K9" i="1"/>
  <c r="M9" i="1" s="1"/>
  <c r="B7" i="1"/>
  <c r="E7" i="1" s="1"/>
  <c r="K7" i="1"/>
  <c r="M7" i="1" s="1"/>
  <c r="AC25" i="36"/>
  <c r="S23" i="36"/>
  <c r="S8" i="36"/>
  <c r="AA28" i="36"/>
  <c r="U25" i="36"/>
  <c r="H20" i="36"/>
  <c r="U20" i="36" s="1"/>
  <c r="F68" i="36"/>
  <c r="G68" i="36" s="1"/>
  <c r="J20" i="36"/>
  <c r="AC20" i="36" s="1"/>
  <c r="F20" i="36"/>
  <c r="S20" i="36" s="1"/>
  <c r="F62" i="36"/>
  <c r="G62" i="36" s="1"/>
  <c r="J14" i="36"/>
  <c r="H14" i="36"/>
  <c r="AB14" i="36" s="1"/>
  <c r="F14" i="36"/>
  <c r="AA14" i="36" s="1"/>
  <c r="U27" i="36"/>
  <c r="U32" i="36"/>
  <c r="AB12" i="36"/>
  <c r="U9" i="36"/>
  <c r="S33" i="36"/>
  <c r="AA27" i="36"/>
  <c r="S16" i="36"/>
  <c r="S29" i="36"/>
  <c r="AC33" i="35"/>
  <c r="AA13" i="35"/>
  <c r="S8" i="35"/>
  <c r="U33" i="35"/>
  <c r="W20" i="35"/>
  <c r="S23" i="35"/>
  <c r="S16" i="35"/>
  <c r="AB14" i="35"/>
  <c r="U9" i="35"/>
  <c r="W13" i="35"/>
  <c r="AC18" i="35"/>
  <c r="W18" i="35"/>
  <c r="U18" i="35"/>
  <c r="AB18" i="35"/>
  <c r="S30" i="35"/>
  <c r="AA35" i="35"/>
  <c r="AB30" i="35"/>
  <c r="S27" i="35"/>
  <c r="S28" i="35"/>
  <c r="J26" i="35"/>
  <c r="F26" i="35"/>
  <c r="AA26" i="35" s="1"/>
  <c r="H26" i="35"/>
  <c r="AB26" i="35" s="1"/>
  <c r="AB9" i="37"/>
  <c r="W12" i="37"/>
  <c r="AA9" i="37"/>
  <c r="S17" i="37"/>
  <c r="AB37" i="37"/>
  <c r="AA31" i="37"/>
  <c r="S33" i="37"/>
  <c r="AA33" i="37"/>
  <c r="U32" i="37"/>
  <c r="AA32" i="37"/>
  <c r="J33" i="37"/>
  <c r="W33" i="37" s="1"/>
  <c r="S29" i="37"/>
  <c r="J19" i="37"/>
  <c r="AC19" i="37" s="1"/>
  <c r="G75" i="37"/>
  <c r="F19" i="37"/>
  <c r="AA19" i="37" s="1"/>
  <c r="H19" i="37"/>
  <c r="J17" i="37"/>
  <c r="W17" i="37" s="1"/>
  <c r="S15" i="37"/>
  <c r="AC21" i="37"/>
  <c r="W21" i="37"/>
  <c r="AC11" i="37"/>
  <c r="AC9" i="37"/>
  <c r="W32" i="37"/>
  <c r="U35" i="37"/>
  <c r="U8" i="37"/>
  <c r="AB21" i="37"/>
  <c r="U21" i="37"/>
  <c r="S37" i="37"/>
  <c r="S40" i="37"/>
  <c r="AA11" i="37"/>
  <c r="AC45" i="34"/>
  <c r="AA40" i="34"/>
  <c r="W33" i="34"/>
  <c r="S32" i="34"/>
  <c r="AB33" i="34"/>
  <c r="AC35" i="34"/>
  <c r="AC32" i="34"/>
  <c r="AA33" i="34"/>
  <c r="U44" i="34"/>
  <c r="U34" i="34"/>
  <c r="U28" i="34"/>
  <c r="J25" i="34"/>
  <c r="H25" i="34"/>
  <c r="U25" i="34" s="1"/>
  <c r="F25" i="34"/>
  <c r="S25" i="34" s="1"/>
  <c r="J23" i="34"/>
  <c r="F86" i="34"/>
  <c r="G86" i="34" s="1"/>
  <c r="F23" i="34"/>
  <c r="AA23" i="34" s="1"/>
  <c r="H23" i="34"/>
  <c r="AB23" i="34" s="1"/>
  <c r="W17" i="34"/>
  <c r="U11" i="34"/>
  <c r="W37" i="34"/>
  <c r="AC40" i="34"/>
  <c r="W19" i="34"/>
  <c r="W29" i="34"/>
  <c r="AC21" i="34"/>
  <c r="W21" i="34"/>
  <c r="U15" i="34"/>
  <c r="AB21" i="34"/>
  <c r="U21" i="34"/>
  <c r="U19" i="34"/>
  <c r="AB41" i="34"/>
  <c r="S13" i="34"/>
  <c r="AA41" i="34"/>
  <c r="S9" i="34"/>
  <c r="U39" i="33"/>
  <c r="U37" i="33"/>
  <c r="S35" i="33"/>
  <c r="W34" i="33"/>
  <c r="AB41" i="33"/>
  <c r="U36" i="33"/>
  <c r="AC35" i="33"/>
  <c r="W31" i="33"/>
  <c r="W43" i="33"/>
  <c r="U46" i="33"/>
  <c r="W39" i="33"/>
  <c r="U35" i="33"/>
  <c r="W26" i="33"/>
  <c r="AB26" i="33"/>
  <c r="H25" i="33"/>
  <c r="AB25" i="33" s="1"/>
  <c r="J25" i="33"/>
  <c r="W25" i="33" s="1"/>
  <c r="F87" i="33"/>
  <c r="G87" i="33"/>
  <c r="H87" i="33" s="1"/>
  <c r="I87" i="33" s="1"/>
  <c r="J87" i="33" s="1"/>
  <c r="K87" i="33" s="1"/>
  <c r="L87" i="33" s="1"/>
  <c r="M87" i="33" s="1"/>
  <c r="F25" i="33"/>
  <c r="J23" i="33"/>
  <c r="W23" i="33" s="1"/>
  <c r="F23" i="33"/>
  <c r="S23" i="33" s="1"/>
  <c r="H23" i="33"/>
  <c r="AB23" i="33" s="1"/>
  <c r="U19" i="33"/>
  <c r="F79" i="33"/>
  <c r="G79" i="33" s="1"/>
  <c r="F17" i="33"/>
  <c r="S17" i="33" s="1"/>
  <c r="H17" i="33"/>
  <c r="J17" i="33"/>
  <c r="AB15" i="33"/>
  <c r="AC11" i="33"/>
  <c r="S14" i="33"/>
  <c r="AC21" i="33"/>
  <c r="W21" i="33"/>
  <c r="W14" i="33"/>
  <c r="AB21" i="33"/>
  <c r="U21" i="33"/>
  <c r="AA21" i="33"/>
  <c r="S21" i="33"/>
  <c r="AA36" i="33"/>
  <c r="S44" i="21"/>
  <c r="W39" i="21"/>
  <c r="AC34" i="21"/>
  <c r="W32" i="21"/>
  <c r="U35" i="21"/>
  <c r="W43" i="21"/>
  <c r="AA37" i="21"/>
  <c r="S42" i="21"/>
  <c r="AB37" i="21"/>
  <c r="W28" i="21"/>
  <c r="AC46" i="21"/>
  <c r="AC26" i="21"/>
  <c r="F85" i="21"/>
  <c r="G85" i="21" s="1"/>
  <c r="J23" i="21"/>
  <c r="AC23" i="21" s="1"/>
  <c r="W23" i="21"/>
  <c r="F23" i="21"/>
  <c r="S23" i="21" s="1"/>
  <c r="H23" i="21"/>
  <c r="AA17" i="21"/>
  <c r="W17" i="21"/>
  <c r="F15" i="21"/>
  <c r="S15" i="21" s="1"/>
  <c r="F77" i="21"/>
  <c r="G77" i="21"/>
  <c r="J15" i="21"/>
  <c r="AC15" i="21" s="1"/>
  <c r="H15" i="21"/>
  <c r="AB15" i="21" s="1"/>
  <c r="AC11" i="21"/>
  <c r="AB11" i="21"/>
  <c r="W13" i="21"/>
  <c r="AA11" i="21"/>
  <c r="AC21" i="21"/>
  <c r="W21" i="21"/>
  <c r="W44" i="21"/>
  <c r="AC19" i="21"/>
  <c r="W10" i="21"/>
  <c r="AC38" i="21"/>
  <c r="AB21" i="21"/>
  <c r="U21" i="21"/>
  <c r="AB29" i="21"/>
  <c r="AA30" i="21"/>
  <c r="W33" i="40"/>
  <c r="U33" i="40"/>
  <c r="S35" i="40"/>
  <c r="U15" i="40"/>
  <c r="S14" i="40"/>
  <c r="AB13" i="40"/>
  <c r="W11" i="40"/>
  <c r="W42" i="40"/>
  <c r="U35" i="40"/>
  <c r="F37" i="40"/>
  <c r="AA37" i="40" s="1"/>
  <c r="J37" i="40"/>
  <c r="AC37" i="40" s="1"/>
  <c r="H37" i="40"/>
  <c r="G112" i="40"/>
  <c r="H112" i="40" s="1"/>
  <c r="I112" i="40" s="1"/>
  <c r="J112" i="40" s="1"/>
  <c r="K112" i="40" s="1"/>
  <c r="L112" i="40" s="1"/>
  <c r="M112" i="40" s="1"/>
  <c r="F39" i="40"/>
  <c r="AA39" i="40" s="1"/>
  <c r="H39" i="40"/>
  <c r="U39" i="40" s="1"/>
  <c r="J39" i="40"/>
  <c r="AC39" i="40" s="1"/>
  <c r="F29" i="40"/>
  <c r="H29" i="40"/>
  <c r="U29" i="40" s="1"/>
  <c r="J29" i="40"/>
  <c r="W29" i="40" s="1"/>
  <c r="F97" i="40"/>
  <c r="G97" i="40" s="1"/>
  <c r="H97" i="40" s="1"/>
  <c r="I97" i="40" s="1"/>
  <c r="J97" i="40" s="1"/>
  <c r="K97" i="40" s="1"/>
  <c r="L97" i="40" s="1"/>
  <c r="M97" i="40" s="1"/>
  <c r="S30" i="40"/>
  <c r="F87" i="40"/>
  <c r="G87" i="40" s="1"/>
  <c r="F19" i="40"/>
  <c r="AA19" i="40" s="1"/>
  <c r="H19" i="40"/>
  <c r="U19" i="40" s="1"/>
  <c r="J19" i="40"/>
  <c r="AC19" i="40" s="1"/>
  <c r="F17" i="40"/>
  <c r="AA17" i="40" s="1"/>
  <c r="H17" i="40"/>
  <c r="U17" i="40" s="1"/>
  <c r="AB40" i="40"/>
  <c r="U27" i="40"/>
  <c r="AB27" i="40"/>
  <c r="AC44" i="39"/>
  <c r="W13" i="39"/>
  <c r="S11" i="39"/>
  <c r="AB45" i="39"/>
  <c r="S27" i="39"/>
  <c r="AA21" i="39"/>
  <c r="AC19" i="39"/>
  <c r="AC38" i="39"/>
  <c r="S29" i="39"/>
  <c r="AC21" i="39"/>
  <c r="AC17" i="39"/>
  <c r="AB15" i="39"/>
  <c r="U11" i="39"/>
  <c r="U41" i="39"/>
  <c r="AB38" i="39"/>
  <c r="U31" i="39"/>
  <c r="AB31" i="39"/>
  <c r="S25" i="39"/>
  <c r="S38" i="39"/>
  <c r="S22" i="31"/>
  <c r="R22" i="31" s="1"/>
  <c r="B21" i="31" s="1"/>
  <c r="D96" i="9"/>
  <c r="A18" i="64"/>
  <c r="B74" i="63" s="1"/>
  <c r="C53" i="10"/>
  <c r="A25" i="64" s="1"/>
  <c r="A18" i="51"/>
  <c r="B14" i="63" s="1"/>
  <c r="BA16" i="3"/>
  <c r="BA17" i="3"/>
  <c r="AZ17" i="3" s="1"/>
  <c r="F3" i="35"/>
  <c r="K1" i="43"/>
  <c r="K1" i="12"/>
  <c r="G1" i="44"/>
  <c r="I4" i="6"/>
  <c r="G3" i="46" s="1"/>
  <c r="Z7" i="46" s="1"/>
  <c r="AZ15" i="3"/>
  <c r="BO5" i="3"/>
  <c r="BP5" i="3"/>
  <c r="BN5" i="3"/>
  <c r="G29" i="6" s="1"/>
  <c r="BL18" i="3"/>
  <c r="BC5" i="3"/>
  <c r="BD5" i="3"/>
  <c r="BR5" i="3"/>
  <c r="BL16" i="3"/>
  <c r="AZ16" i="3" s="1"/>
  <c r="BM5" i="3"/>
  <c r="F29" i="6" s="1"/>
  <c r="G28" i="12"/>
  <c r="D24" i="44"/>
  <c r="D26" i="44"/>
  <c r="F50" i="46"/>
  <c r="H52" i="46" s="1"/>
  <c r="C6" i="46"/>
  <c r="I5" i="48"/>
  <c r="K21" i="46"/>
  <c r="F42" i="46"/>
  <c r="D74" i="46"/>
  <c r="D87" i="46"/>
  <c r="D72" i="46"/>
  <c r="H83" i="46"/>
  <c r="H87" i="46"/>
  <c r="AA12" i="36"/>
  <c r="U12" i="35"/>
  <c r="AB12"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AA34" i="36"/>
  <c r="U23" i="36"/>
  <c r="AC27" i="36"/>
  <c r="W28" i="36"/>
  <c r="AA32" i="36"/>
  <c r="U13" i="36"/>
  <c r="AA22" i="36"/>
  <c r="AA13" i="36"/>
  <c r="W29" i="36"/>
  <c r="W9" i="36"/>
  <c r="W8" i="36"/>
  <c r="AC30" i="35"/>
  <c r="W32" i="35"/>
  <c r="S24" i="35"/>
  <c r="AA33" i="35"/>
  <c r="U32" i="35"/>
  <c r="W22" i="35"/>
  <c r="S32" i="35"/>
  <c r="W35" i="37"/>
  <c r="U33" i="37"/>
  <c r="AC15" i="37"/>
  <c r="AA13" i="37"/>
  <c r="S12" i="37"/>
  <c r="W38" i="37"/>
  <c r="W36"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W31" i="21"/>
  <c r="S27" i="21"/>
  <c r="W29" i="21"/>
  <c r="G95" i="40"/>
  <c r="J27" i="40"/>
  <c r="W27" i="40" s="1"/>
  <c r="W37" i="40"/>
  <c r="W30" i="40"/>
  <c r="S34" i="40"/>
  <c r="S40" i="40"/>
  <c r="S42" i="40"/>
  <c r="G104" i="39"/>
  <c r="J31" i="39"/>
  <c r="W31" i="39" s="1"/>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4" i="46"/>
  <c r="B58" i="46"/>
  <c r="B62" i="46"/>
  <c r="B65" i="46"/>
  <c r="B69" i="46"/>
  <c r="B56" i="46"/>
  <c r="B67" i="46"/>
  <c r="D24" i="15"/>
  <c r="S14" i="36"/>
  <c r="AB20" i="36"/>
  <c r="AC14" i="36"/>
  <c r="W14" i="36"/>
  <c r="U14" i="36"/>
  <c r="S26" i="35"/>
  <c r="U26" i="35"/>
  <c r="W26" i="35"/>
  <c r="AC26" i="35"/>
  <c r="S19" i="37"/>
  <c r="AB19" i="37"/>
  <c r="U19" i="37"/>
  <c r="AC17" i="37"/>
  <c r="AB25" i="34"/>
  <c r="AA25" i="34"/>
  <c r="W25" i="34"/>
  <c r="AC25" i="34"/>
  <c r="U23" i="34"/>
  <c r="S23" i="34"/>
  <c r="AC23" i="34"/>
  <c r="W23" i="34"/>
  <c r="AA25" i="33"/>
  <c r="S25" i="33"/>
  <c r="U23" i="33"/>
  <c r="AA23" i="33"/>
  <c r="W17" i="33"/>
  <c r="AC17" i="33"/>
  <c r="U17" i="33"/>
  <c r="AB17" i="33"/>
  <c r="U23" i="21"/>
  <c r="AB23" i="21"/>
  <c r="AA23" i="21"/>
  <c r="W15" i="21"/>
  <c r="U37" i="40"/>
  <c r="AB37" i="40"/>
  <c r="AB29" i="40"/>
  <c r="AC29" i="40"/>
  <c r="AA29" i="40"/>
  <c r="S29" i="40"/>
  <c r="W19" i="40"/>
  <c r="B20" i="31"/>
  <c r="A17" i="51"/>
  <c r="B13" i="63" s="1"/>
  <c r="AT6" i="3"/>
  <c r="E4" i="4"/>
  <c r="B21" i="55" s="1"/>
  <c r="B72" i="63" s="1"/>
  <c r="C4" i="4"/>
  <c r="J18" i="36"/>
  <c r="W18" i="36" s="1"/>
  <c r="L20" i="6"/>
  <c r="B20" i="55"/>
  <c r="B70" i="63" s="1"/>
  <c r="C45" i="9"/>
  <c r="B7" i="66" s="1"/>
  <c r="C44" i="9"/>
  <c r="B6" i="66" s="1"/>
  <c r="K29" i="9"/>
  <c r="K30" i="9" s="1"/>
  <c r="N76" i="9"/>
  <c r="C46" i="9"/>
  <c r="K33" i="9"/>
  <c r="O41" i="9"/>
  <c r="R8" i="54" s="1"/>
  <c r="B54" i="63" s="1"/>
  <c r="B8" i="66"/>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I6" i="65"/>
  <c r="M24" i="44"/>
  <c r="E13" i="67"/>
  <c r="N3" i="65"/>
  <c r="F18" i="44"/>
  <c r="J36" i="15"/>
  <c r="F13" i="15"/>
  <c r="E9" i="67"/>
  <c r="F45" i="44"/>
  <c r="B8" i="67"/>
  <c r="F9" i="44"/>
  <c r="N7" i="65"/>
  <c r="I3" i="65"/>
  <c r="M25" i="44"/>
  <c r="N5" i="65"/>
  <c r="E8" i="67"/>
  <c r="M9" i="15"/>
  <c r="F13" i="67"/>
  <c r="F14" i="67"/>
  <c r="F40" i="15"/>
  <c r="F38" i="44"/>
  <c r="M26" i="44"/>
  <c r="B12" i="67"/>
  <c r="E10" i="67"/>
  <c r="F12" i="67"/>
  <c r="B11" i="67"/>
  <c r="F16" i="15"/>
  <c r="B13" i="67"/>
  <c r="L47" i="15"/>
  <c r="F43" i="15"/>
  <c r="F38" i="15"/>
  <c r="M22" i="15"/>
  <c r="F9" i="67"/>
  <c r="M31" i="44"/>
  <c r="L48" i="15"/>
  <c r="F36" i="15"/>
  <c r="B9" i="67"/>
  <c r="M29" i="15"/>
  <c r="M10" i="44"/>
  <c r="F43" i="44"/>
  <c r="F6" i="15"/>
  <c r="M28" i="15"/>
  <c r="M24" i="15"/>
  <c r="F40" i="44"/>
  <c r="N4" i="65"/>
  <c r="M30" i="44"/>
  <c r="M6" i="15"/>
  <c r="F11" i="67"/>
  <c r="F8" i="15"/>
  <c r="B10" i="67"/>
  <c r="F10" i="67"/>
  <c r="N6" i="65"/>
  <c r="J3" i="65"/>
  <c r="F8" i="67"/>
  <c r="M23" i="15"/>
  <c r="E12" i="67"/>
  <c r="M28" i="44"/>
  <c r="F37" i="15"/>
  <c r="F7" i="15"/>
  <c r="J6" i="65"/>
  <c r="J4" i="65"/>
  <c r="M8" i="44"/>
  <c r="M8" i="15"/>
  <c r="F11" i="44"/>
  <c r="F15" i="44"/>
  <c r="J7" i="65"/>
  <c r="I4" i="65"/>
  <c r="I5" i="65"/>
  <c r="M26" i="15"/>
  <c r="C19" i="9"/>
  <c r="E14" i="67"/>
  <c r="F8" i="44"/>
  <c r="C21" i="9"/>
  <c r="L48" i="44"/>
  <c r="F9" i="15"/>
  <c r="F28" i="44"/>
  <c r="E11" i="67"/>
  <c r="C20" i="9"/>
  <c r="F42" i="15"/>
  <c r="F39" i="44"/>
  <c r="J15" i="15"/>
  <c r="M11" i="44"/>
  <c r="F26" i="15"/>
  <c r="I7" i="65"/>
  <c r="B14" i="67"/>
  <c r="F10" i="44"/>
  <c r="L49" i="44"/>
  <c r="J5" i="65"/>
  <c r="J17" i="44"/>
  <c r="D18" i="9" l="1"/>
  <c r="M44" i="9" s="1"/>
  <c r="M43" i="9"/>
  <c r="W39" i="40"/>
  <c r="AB39" i="40"/>
  <c r="U38" i="40"/>
  <c r="S38" i="40"/>
  <c r="W38" i="40"/>
  <c r="U21" i="40"/>
  <c r="S19" i="40"/>
  <c r="W25" i="40"/>
  <c r="S25" i="40"/>
  <c r="AA23" i="40"/>
  <c r="AB23" i="40"/>
  <c r="W21" i="40"/>
  <c r="AB19" i="40"/>
  <c r="W17" i="40"/>
  <c r="U10" i="40"/>
  <c r="F12" i="1"/>
  <c r="AP12" i="1" s="1"/>
  <c r="F6" i="1"/>
  <c r="AP6" i="1" s="1"/>
  <c r="BK5" i="3"/>
  <c r="BS5" i="3"/>
  <c r="F28" i="6" s="1"/>
  <c r="F30" i="6" s="1"/>
  <c r="C51" i="10"/>
  <c r="A9" i="64" s="1"/>
  <c r="A4" i="51"/>
  <c r="B6" i="63" s="1"/>
  <c r="A26" i="51"/>
  <c r="B19" i="63" s="1"/>
  <c r="AB9" i="21"/>
  <c r="U9" i="21"/>
  <c r="S37" i="40"/>
  <c r="S39" i="40"/>
  <c r="U15" i="21"/>
  <c r="AC23" i="33"/>
  <c r="AC46" i="39"/>
  <c r="AC33" i="37"/>
  <c r="U24" i="35"/>
  <c r="U23" i="39"/>
  <c r="S14" i="39"/>
  <c r="W29" i="39"/>
  <c r="AA21" i="40"/>
  <c r="S15" i="40"/>
  <c r="W44" i="34"/>
  <c r="AC11" i="34"/>
  <c r="AA20" i="35"/>
  <c r="U22" i="35"/>
  <c r="AB20" i="35"/>
  <c r="AC13" i="40"/>
  <c r="S41" i="40"/>
  <c r="AA29" i="35"/>
  <c r="AC14" i="40"/>
  <c r="S34" i="21"/>
  <c r="S35" i="21"/>
  <c r="AZ512" i="3"/>
  <c r="S26" i="36"/>
  <c r="AA26" i="36"/>
  <c r="S8" i="33"/>
  <c r="S33" i="21"/>
  <c r="AC11" i="36"/>
  <c r="AZ520" i="3"/>
  <c r="BL544" i="3"/>
  <c r="AZ562" i="3"/>
  <c r="AZ508" i="3"/>
  <c r="AC30" i="33"/>
  <c r="W30" i="33"/>
  <c r="S13" i="33"/>
  <c r="AA13" i="33"/>
  <c r="U44" i="21"/>
  <c r="AB44" i="21"/>
  <c r="C23" i="39"/>
  <c r="H25" i="37"/>
  <c r="J25" i="37"/>
  <c r="F25" i="37"/>
  <c r="BL527" i="3"/>
  <c r="BA527" i="3"/>
  <c r="AZ527" i="3" s="1"/>
  <c r="BA526" i="3"/>
  <c r="BL525" i="3"/>
  <c r="BL523" i="3"/>
  <c r="AZ523" i="3" s="1"/>
  <c r="BL522" i="3"/>
  <c r="AZ522" i="3" s="1"/>
  <c r="BL521" i="3"/>
  <c r="AZ521" i="3" s="1"/>
  <c r="BA521" i="3"/>
  <c r="BA520" i="3"/>
  <c r="BL519" i="3"/>
  <c r="BA518" i="3"/>
  <c r="BA517" i="3"/>
  <c r="AZ517" i="3" s="1"/>
  <c r="BA516" i="3"/>
  <c r="BL515" i="3"/>
  <c r="BA514" i="3"/>
  <c r="BA513" i="3"/>
  <c r="BA512" i="3"/>
  <c r="AA17" i="33"/>
  <c r="AA16" i="39"/>
  <c r="S16" i="39"/>
  <c r="AZ363" i="3"/>
  <c r="W41" i="34"/>
  <c r="AC41" i="34"/>
  <c r="AZ540" i="3"/>
  <c r="U13" i="35"/>
  <c r="AB13" i="35"/>
  <c r="U45" i="34"/>
  <c r="AB45" i="34"/>
  <c r="W33" i="36"/>
  <c r="AC33" i="36"/>
  <c r="K34" i="9"/>
  <c r="AC18" i="36"/>
  <c r="W19" i="37"/>
  <c r="AA20" i="36"/>
  <c r="B51" i="46"/>
  <c r="AA15" i="21"/>
  <c r="S25" i="36"/>
  <c r="AZ18" i="3"/>
  <c r="M18" i="15"/>
  <c r="U25" i="40"/>
  <c r="AB32" i="21"/>
  <c r="U25" i="33"/>
  <c r="AB34" i="33"/>
  <c r="AA27" i="34"/>
  <c r="AC14" i="34"/>
  <c r="W34" i="40"/>
  <c r="AB16" i="39"/>
  <c r="F72" i="9"/>
  <c r="U14" i="40"/>
  <c r="AB14" i="40"/>
  <c r="AB27" i="39"/>
  <c r="U27" i="39"/>
  <c r="BB5" i="3"/>
  <c r="AZ525" i="3"/>
  <c r="AZ554" i="3"/>
  <c r="AC5" i="3"/>
  <c r="U36" i="34"/>
  <c r="AB36" i="34"/>
  <c r="S35" i="37"/>
  <c r="AA35" i="37"/>
  <c r="S36" i="21"/>
  <c r="AA36" i="21"/>
  <c r="AB43" i="21"/>
  <c r="U43" i="21"/>
  <c r="BL572" i="3"/>
  <c r="BL571" i="3"/>
  <c r="AZ571" i="3" s="1"/>
  <c r="BL570" i="3"/>
  <c r="BH5" i="3"/>
  <c r="AA12" i="21"/>
  <c r="S12" i="21"/>
  <c r="H27" i="21"/>
  <c r="J27" i="21"/>
  <c r="H31" i="21"/>
  <c r="F31" i="21"/>
  <c r="H27" i="33"/>
  <c r="J27" i="33"/>
  <c r="F27" i="33"/>
  <c r="S27" i="33" s="1"/>
  <c r="AC39" i="34"/>
  <c r="W39" i="34"/>
  <c r="AB8" i="35"/>
  <c r="U8" i="35"/>
  <c r="J29" i="33"/>
  <c r="H29" i="33"/>
  <c r="F29" i="33"/>
  <c r="H44" i="33"/>
  <c r="J44" i="33"/>
  <c r="F44" i="33"/>
  <c r="H12" i="34"/>
  <c r="F12" i="34"/>
  <c r="H30" i="34"/>
  <c r="F30" i="34"/>
  <c r="J46" i="34"/>
  <c r="H46" i="34"/>
  <c r="F46" i="34"/>
  <c r="F11" i="35"/>
  <c r="H11" i="35"/>
  <c r="J11" i="35"/>
  <c r="F28" i="37"/>
  <c r="J28" i="37"/>
  <c r="H28" i="37"/>
  <c r="H40" i="37"/>
  <c r="U40" i="37" s="1"/>
  <c r="J40" i="37"/>
  <c r="F16" i="40"/>
  <c r="J16" i="40"/>
  <c r="W16" i="40" s="1"/>
  <c r="H16" i="40"/>
  <c r="AB16" i="40" s="1"/>
  <c r="BA530" i="3"/>
  <c r="AZ530" i="3" s="1"/>
  <c r="BA529" i="3"/>
  <c r="AZ529" i="3" s="1"/>
  <c r="BA528" i="3"/>
  <c r="BL481" i="3"/>
  <c r="BA20" i="3"/>
  <c r="BL19" i="3"/>
  <c r="BA19" i="3"/>
  <c r="AC23" i="40"/>
  <c r="W23" i="40"/>
  <c r="AB42" i="40"/>
  <c r="U42" i="40"/>
  <c r="W15" i="40"/>
  <c r="AC15" i="40"/>
  <c r="S34" i="33"/>
  <c r="AA34" i="33"/>
  <c r="AZ481" i="3"/>
  <c r="AZ515" i="3"/>
  <c r="AZ519" i="3"/>
  <c r="H27" i="34"/>
  <c r="AA45" i="21"/>
  <c r="S45" i="21"/>
  <c r="AB29" i="35"/>
  <c r="U29" i="35"/>
  <c r="AC8" i="34"/>
  <c r="W8" i="34"/>
  <c r="W31" i="36"/>
  <c r="AC31" i="36"/>
  <c r="W8" i="37"/>
  <c r="AC8" i="37"/>
  <c r="BL533" i="3"/>
  <c r="BA533" i="3"/>
  <c r="BA532" i="3"/>
  <c r="BA531" i="3"/>
  <c r="AZ531" i="3" s="1"/>
  <c r="AZ528" i="3"/>
  <c r="AB37" i="39"/>
  <c r="U37" i="39"/>
  <c r="W30" i="34"/>
  <c r="AC30" i="34"/>
  <c r="AC37" i="37"/>
  <c r="W37" i="37"/>
  <c r="AA19" i="21"/>
  <c r="S19" i="21"/>
  <c r="F9" i="21"/>
  <c r="J9" i="21"/>
  <c r="AC27" i="34"/>
  <c r="W27" i="34"/>
  <c r="U40" i="34"/>
  <c r="AB40" i="34"/>
  <c r="BA551" i="3"/>
  <c r="AZ551" i="3" s="1"/>
  <c r="BA550" i="3"/>
  <c r="BL549" i="3"/>
  <c r="AZ549" i="3" s="1"/>
  <c r="AZ548" i="3"/>
  <c r="BL547" i="3"/>
  <c r="AZ547" i="3" s="1"/>
  <c r="BA546" i="3"/>
  <c r="BL545" i="3"/>
  <c r="BA545" i="3"/>
  <c r="AZ545" i="3" s="1"/>
  <c r="BA544" i="3"/>
  <c r="BL543" i="3"/>
  <c r="BL541" i="3"/>
  <c r="BA541" i="3"/>
  <c r="AZ541" i="3" s="1"/>
  <c r="BL539" i="3"/>
  <c r="BL538" i="3"/>
  <c r="BA538" i="3"/>
  <c r="BL537" i="3"/>
  <c r="BL536" i="3"/>
  <c r="BA536" i="3"/>
  <c r="AZ536" i="3" s="1"/>
  <c r="BA535" i="3"/>
  <c r="AZ535" i="3" s="1"/>
  <c r="AZ496" i="3"/>
  <c r="AZ565" i="3"/>
  <c r="AZ374" i="3"/>
  <c r="AZ381" i="3"/>
  <c r="AZ331" i="3"/>
  <c r="AZ130" i="3"/>
  <c r="AZ322" i="3"/>
  <c r="BL514" i="3"/>
  <c r="BL546" i="3"/>
  <c r="G552" i="3"/>
  <c r="G551" i="3"/>
  <c r="G536" i="3"/>
  <c r="G512" i="3"/>
  <c r="G486" i="3"/>
  <c r="G15" i="3"/>
  <c r="AZ316" i="3"/>
  <c r="AZ380" i="3"/>
  <c r="AZ330" i="3"/>
  <c r="AZ123" i="3"/>
  <c r="AZ377" i="3"/>
  <c r="AZ303" i="3"/>
  <c r="BL20" i="3"/>
  <c r="AZ488" i="3"/>
  <c r="BL516" i="3"/>
  <c r="AZ558" i="3"/>
  <c r="AZ501" i="3"/>
  <c r="G564" i="3"/>
  <c r="G516" i="3"/>
  <c r="G505" i="3"/>
  <c r="G489" i="3"/>
  <c r="AA11" i="36"/>
  <c r="AZ509" i="3"/>
  <c r="AZ563" i="3"/>
  <c r="AA36" i="37"/>
  <c r="AZ352" i="3"/>
  <c r="AZ341" i="3"/>
  <c r="AZ336" i="3"/>
  <c r="AZ325" i="3"/>
  <c r="AZ320" i="3"/>
  <c r="AZ339" i="3"/>
  <c r="BL524" i="3"/>
  <c r="BL532" i="3"/>
  <c r="BL550" i="3"/>
  <c r="W42" i="21"/>
  <c r="G572" i="3"/>
  <c r="G532" i="3"/>
  <c r="G527" i="3"/>
  <c r="BA396" i="3"/>
  <c r="BA402" i="3"/>
  <c r="BL404" i="3"/>
  <c r="G411" i="3"/>
  <c r="BA415" i="3"/>
  <c r="BL423" i="3"/>
  <c r="BL425" i="3"/>
  <c r="G568" i="3"/>
  <c r="G559" i="3"/>
  <c r="G547" i="3"/>
  <c r="G541" i="3"/>
  <c r="G524" i="3"/>
  <c r="G511" i="3"/>
  <c r="G500" i="3"/>
  <c r="G481" i="3"/>
  <c r="G14" i="3"/>
  <c r="G389" i="3"/>
  <c r="G395" i="3"/>
  <c r="BA395" i="3"/>
  <c r="BA397" i="3"/>
  <c r="BL397" i="3"/>
  <c r="BA400" i="3"/>
  <c r="G404" i="3"/>
  <c r="G407" i="3"/>
  <c r="BL407" i="3"/>
  <c r="BL412" i="3"/>
  <c r="G413" i="3"/>
  <c r="BA414" i="3"/>
  <c r="BL416" i="3"/>
  <c r="G417" i="3"/>
  <c r="G419" i="3"/>
  <c r="BL419" i="3"/>
  <c r="BA452" i="3"/>
  <c r="BA297" i="3"/>
  <c r="AZ297" i="3" s="1"/>
  <c r="BL391" i="3"/>
  <c r="BL396" i="3"/>
  <c r="G397" i="3"/>
  <c r="BA399" i="3"/>
  <c r="BL401" i="3"/>
  <c r="BA404" i="3"/>
  <c r="BL409" i="3"/>
  <c r="G412" i="3"/>
  <c r="BA418" i="3"/>
  <c r="BL430" i="3"/>
  <c r="BL429" i="3"/>
  <c r="G432" i="3"/>
  <c r="G433" i="3"/>
  <c r="BL435" i="3"/>
  <c r="BA437" i="3"/>
  <c r="BL437" i="3"/>
  <c r="BA440" i="3"/>
  <c r="BL445" i="3"/>
  <c r="BA451" i="3"/>
  <c r="BL456" i="3"/>
  <c r="BA459" i="3"/>
  <c r="BL461" i="3"/>
  <c r="BA464" i="3"/>
  <c r="BA470" i="3"/>
  <c r="BL472" i="3"/>
  <c r="BA475" i="3"/>
  <c r="BL477" i="3"/>
  <c r="BA480" i="3"/>
  <c r="G315" i="3"/>
  <c r="BA341" i="3"/>
  <c r="G349" i="3"/>
  <c r="BA350" i="3"/>
  <c r="G367" i="3"/>
  <c r="G383" i="3"/>
  <c r="BA385" i="3"/>
  <c r="BL386" i="3"/>
  <c r="BL207" i="3"/>
  <c r="G208" i="3"/>
  <c r="G209" i="3"/>
  <c r="BA211" i="3"/>
  <c r="BL215" i="3"/>
  <c r="G216" i="3"/>
  <c r="G217" i="3"/>
  <c r="BL218" i="3"/>
  <c r="G228" i="3"/>
  <c r="G229" i="3"/>
  <c r="BA231" i="3"/>
  <c r="AZ231" i="3" s="1"/>
  <c r="G235" i="3"/>
  <c r="G236" i="3"/>
  <c r="G238" i="3"/>
  <c r="BL238" i="3"/>
  <c r="BA240" i="3"/>
  <c r="BL240" i="3"/>
  <c r="BA245" i="3"/>
  <c r="BL247" i="3"/>
  <c r="AZ247" i="3" s="1"/>
  <c r="G248" i="3"/>
  <c r="G250" i="3"/>
  <c r="BL250" i="3"/>
  <c r="G255" i="3"/>
  <c r="BA257" i="3"/>
  <c r="BA260" i="3"/>
  <c r="AZ260" i="3" s="1"/>
  <c r="BL260" i="3"/>
  <c r="BA263" i="3"/>
  <c r="AZ263" i="3" s="1"/>
  <c r="G267" i="3"/>
  <c r="G268" i="3"/>
  <c r="G274" i="3"/>
  <c r="BL274" i="3"/>
  <c r="BL280" i="3"/>
  <c r="G283" i="3"/>
  <c r="G284" i="3"/>
  <c r="BL121" i="3"/>
  <c r="G125" i="3"/>
  <c r="BL128" i="3"/>
  <c r="BL130" i="3"/>
  <c r="BA131" i="3"/>
  <c r="AZ131" i="3" s="1"/>
  <c r="BA434" i="3"/>
  <c r="BL436" i="3"/>
  <c r="G437"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G331" i="3"/>
  <c r="G336" i="3"/>
  <c r="BL346" i="3"/>
  <c r="AZ346" i="3" s="1"/>
  <c r="G347" i="3"/>
  <c r="BA368" i="3"/>
  <c r="BL380" i="3"/>
  <c r="G207" i="3"/>
  <c r="BA209" i="3"/>
  <c r="BL210" i="3"/>
  <c r="G215" i="3"/>
  <c r="BA217" i="3"/>
  <c r="G220" i="3"/>
  <c r="G221" i="3"/>
  <c r="BL222" i="3"/>
  <c r="G227" i="3"/>
  <c r="BL230" i="3"/>
  <c r="BA232" i="3"/>
  <c r="AZ232" i="3" s="1"/>
  <c r="BL232" i="3"/>
  <c r="BA237" i="3"/>
  <c r="BL239" i="3"/>
  <c r="G240" i="3"/>
  <c r="BL242" i="3"/>
  <c r="G247" i="3"/>
  <c r="BA249" i="3"/>
  <c r="BA252" i="3"/>
  <c r="AZ252" i="3" s="1"/>
  <c r="BL252" i="3"/>
  <c r="BA255" i="3"/>
  <c r="AZ255" i="3" s="1"/>
  <c r="G259" i="3"/>
  <c r="BA261" i="3"/>
  <c r="BL263" i="3"/>
  <c r="G266" i="3"/>
  <c r="BL266" i="3"/>
  <c r="BL272" i="3"/>
  <c r="G282" i="3"/>
  <c r="BL282" i="3"/>
  <c r="G290" i="3"/>
  <c r="BA292" i="3"/>
  <c r="AZ292" i="3" s="1"/>
  <c r="BA411" i="3"/>
  <c r="BA413" i="3"/>
  <c r="BL413" i="3"/>
  <c r="BA416" i="3"/>
  <c r="G420" i="3"/>
  <c r="G421" i="3"/>
  <c r="G427" i="3"/>
  <c r="BA427" i="3"/>
  <c r="BA433" i="3"/>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G317" i="3"/>
  <c r="BA319" i="3"/>
  <c r="BA325" i="3"/>
  <c r="G329" i="3"/>
  <c r="BL332" i="3"/>
  <c r="AZ332" i="3" s="1"/>
  <c r="G333" i="3"/>
  <c r="BA335" i="3"/>
  <c r="G345" i="3"/>
  <c r="G352" i="3"/>
  <c r="BL368" i="3"/>
  <c r="G370" i="3"/>
  <c r="BA371" i="3"/>
  <c r="BA205" i="3"/>
  <c r="BL206" i="3"/>
  <c r="G211" i="3"/>
  <c r="BA213" i="3"/>
  <c r="BL214" i="3"/>
  <c r="BA219" i="3"/>
  <c r="G223" i="3"/>
  <c r="BA225" i="3"/>
  <c r="BA233" i="3"/>
  <c r="BA236" i="3"/>
  <c r="BL236" i="3"/>
  <c r="BA239" i="3"/>
  <c r="AZ239" i="3" s="1"/>
  <c r="G246" i="3"/>
  <c r="BL246" i="3"/>
  <c r="BA248" i="3"/>
  <c r="AZ248" i="3" s="1"/>
  <c r="BL248" i="3"/>
  <c r="BA253" i="3"/>
  <c r="BL255" i="3"/>
  <c r="G256" i="3"/>
  <c r="G258" i="3"/>
  <c r="BL258" i="3"/>
  <c r="G263" i="3"/>
  <c r="BA265" i="3"/>
  <c r="BA268" i="3"/>
  <c r="BL268" i="3"/>
  <c r="G278" i="3"/>
  <c r="BL278" i="3"/>
  <c r="BA284" i="3"/>
  <c r="BL284" i="3"/>
  <c r="BL296" i="3"/>
  <c r="BL114" i="3"/>
  <c r="AZ114" i="3" s="1"/>
  <c r="BA115" i="3"/>
  <c r="AZ115" i="3" s="1"/>
  <c r="BL117" i="3"/>
  <c r="G286" i="3"/>
  <c r="BL286" i="3"/>
  <c r="BL292" i="3"/>
  <c r="G114" i="3"/>
  <c r="BL120" i="3"/>
  <c r="BA124" i="3"/>
  <c r="BA129" i="3"/>
  <c r="BA133" i="3"/>
  <c r="BA135" i="3"/>
  <c r="AZ135" i="3" s="1"/>
  <c r="G139" i="3"/>
  <c r="BA139" i="3"/>
  <c r="AZ139" i="3" s="1"/>
  <c r="BL141" i="3"/>
  <c r="BA145" i="3"/>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G21" i="3"/>
  <c r="BA22" i="3"/>
  <c r="G29" i="3"/>
  <c r="G33" i="3"/>
  <c r="G37" i="3"/>
  <c r="BA38" i="3"/>
  <c r="BL62" i="3"/>
  <c r="BL64" i="3"/>
  <c r="G74" i="3"/>
  <c r="G85" i="3"/>
  <c r="BA91" i="3"/>
  <c r="AA21" i="21"/>
  <c r="S21" i="21"/>
  <c r="G291" i="3"/>
  <c r="G292" i="3"/>
  <c r="BA113" i="3"/>
  <c r="BA117" i="3"/>
  <c r="BA119" i="3"/>
  <c r="AZ119" i="3" s="1"/>
  <c r="G123" i="3"/>
  <c r="BA123" i="3"/>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AZ203" i="3" s="1"/>
  <c r="BA204" i="3"/>
  <c r="G26" i="3"/>
  <c r="G27" i="3"/>
  <c r="BA29" i="3"/>
  <c r="BL30" i="3"/>
  <c r="BL31" i="3"/>
  <c r="AZ31" i="3" s="1"/>
  <c r="BA33" i="3"/>
  <c r="BL34" i="3"/>
  <c r="BL35" i="3"/>
  <c r="AZ35" i="3" s="1"/>
  <c r="BA36" i="3"/>
  <c r="G42" i="3"/>
  <c r="BA43" i="3"/>
  <c r="G46" i="3"/>
  <c r="BA47" i="3"/>
  <c r="AZ47" i="3" s="1"/>
  <c r="G50" i="3"/>
  <c r="BA51" i="3"/>
  <c r="G56" i="3"/>
  <c r="BA58" i="3"/>
  <c r="G64" i="3"/>
  <c r="G66" i="3"/>
  <c r="G67" i="3"/>
  <c r="BA69" i="3"/>
  <c r="G89" i="3"/>
  <c r="BA90" i="3"/>
  <c r="BL92" i="3"/>
  <c r="BL95" i="3"/>
  <c r="BL98" i="3"/>
  <c r="BA103" i="3"/>
  <c r="BL105" i="3"/>
  <c r="BA108" i="3"/>
  <c r="K13" i="1"/>
  <c r="M13" i="1" s="1"/>
  <c r="O13" i="1" s="1"/>
  <c r="P13" i="1" s="1"/>
  <c r="D63" i="59"/>
  <c r="C64" i="59"/>
  <c r="AZ64" i="3"/>
  <c r="BA80" i="3"/>
  <c r="BL81" i="3"/>
  <c r="BL82" i="3"/>
  <c r="AZ82" i="3" s="1"/>
  <c r="BA83" i="3"/>
  <c r="BL86" i="3"/>
  <c r="BA95" i="3"/>
  <c r="G98" i="3"/>
  <c r="BL104" i="3"/>
  <c r="G105" i="3"/>
  <c r="BA107" i="3"/>
  <c r="BL109" i="3"/>
  <c r="BL111" i="3"/>
  <c r="BA112" i="3"/>
  <c r="D55" i="59"/>
  <c r="C56" i="59"/>
  <c r="BL136" i="3"/>
  <c r="BA140" i="3"/>
  <c r="BL149" i="3"/>
  <c r="BA159" i="3"/>
  <c r="AZ159" i="3" s="1"/>
  <c r="BA164" i="3"/>
  <c r="AZ164" i="3" s="1"/>
  <c r="BA166" i="3"/>
  <c r="AZ166" i="3" s="1"/>
  <c r="G169" i="3"/>
  <c r="BL175" i="3"/>
  <c r="BA186" i="3"/>
  <c r="BA194" i="3"/>
  <c r="G23" i="3"/>
  <c r="BA24" i="3"/>
  <c r="BL28" i="3"/>
  <c r="BL32" i="3"/>
  <c r="G39" i="3"/>
  <c r="BA40" i="3"/>
  <c r="G45" i="3"/>
  <c r="G49" i="3"/>
  <c r="G53" i="3"/>
  <c r="BA54" i="3"/>
  <c r="BL57" i="3"/>
  <c r="BA59" i="3"/>
  <c r="C44" i="59"/>
  <c r="C45" i="59" s="1"/>
  <c r="D43" i="59"/>
  <c r="P27" i="6"/>
  <c r="D67" i="59"/>
  <c r="C61" i="59"/>
  <c r="C79" i="59"/>
  <c r="D79" i="59" s="1"/>
  <c r="Q68" i="59"/>
  <c r="E31" i="59"/>
  <c r="E32" i="59" s="1"/>
  <c r="E33" i="59" s="1"/>
  <c r="U33" i="59" s="1"/>
  <c r="X32" i="59"/>
  <c r="X33" i="59"/>
  <c r="Y34" i="59"/>
  <c r="Z34" i="59" s="1"/>
  <c r="Y35" i="59"/>
  <c r="Z35" i="59" s="1"/>
  <c r="Y36" i="59"/>
  <c r="Z36" i="59" s="1"/>
  <c r="Y37" i="59"/>
  <c r="Z37" i="59" s="1"/>
  <c r="B60" i="59"/>
  <c r="B61" i="59" s="1"/>
  <c r="S61" i="59" s="1"/>
  <c r="U73" i="59"/>
  <c r="D25" i="59"/>
  <c r="D52" i="59"/>
  <c r="C88" i="59"/>
  <c r="Q69" i="59"/>
  <c r="AB27" i="59"/>
  <c r="AA3" i="59"/>
  <c r="AA30" i="59"/>
  <c r="B35" i="59"/>
  <c r="B36" i="59" s="1"/>
  <c r="B37" i="59" s="1"/>
  <c r="S37" i="59" s="1"/>
  <c r="F39" i="59"/>
  <c r="F40" i="59" s="1"/>
  <c r="F41" i="59" s="1"/>
  <c r="V41" i="59" s="1"/>
  <c r="G43" i="3"/>
  <c r="BA45" i="3"/>
  <c r="BL46" i="3"/>
  <c r="BL47" i="3"/>
  <c r="BA49" i="3"/>
  <c r="BL50" i="3"/>
  <c r="BL51" i="3"/>
  <c r="BA52" i="3"/>
  <c r="G58" i="3"/>
  <c r="BL60" i="3"/>
  <c r="G62" i="3"/>
  <c r="G63" i="3"/>
  <c r="BA63" i="3"/>
  <c r="AZ63" i="3" s="1"/>
  <c r="BL68" i="3"/>
  <c r="G70" i="3"/>
  <c r="G71" i="3"/>
  <c r="BA73" i="3"/>
  <c r="BA76" i="3"/>
  <c r="BL77" i="3"/>
  <c r="BL78" i="3"/>
  <c r="AZ78" i="3" s="1"/>
  <c r="G83" i="3"/>
  <c r="BA84" i="3"/>
  <c r="BL88" i="3"/>
  <c r="BL89" i="3"/>
  <c r="BA96" i="3"/>
  <c r="BL96" i="3"/>
  <c r="BL97" i="3"/>
  <c r="G100" i="3"/>
  <c r="G101" i="3"/>
  <c r="BA104" i="3"/>
  <c r="BA110" i="3"/>
  <c r="BL112" i="3"/>
  <c r="C31" i="39"/>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G6" i="1"/>
  <c r="A25" i="51"/>
  <c r="B18" i="63" s="1"/>
  <c r="G13" i="1"/>
  <c r="C95" i="9"/>
  <c r="C92" i="9" s="1"/>
  <c r="C25" i="12"/>
  <c r="C15" i="43"/>
  <c r="C28" i="15"/>
  <c r="D23" i="15"/>
  <c r="L52" i="37"/>
  <c r="M52" i="37" s="1"/>
  <c r="N52" i="37" s="1"/>
  <c r="O52" i="37" s="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L43" i="9"/>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C16" i="15"/>
  <c r="C18" i="44"/>
  <c r="D21" i="12" l="1"/>
  <c r="C21" i="12" s="1"/>
  <c r="H16" i="1"/>
  <c r="G10" i="1"/>
  <c r="AP10" i="1"/>
  <c r="AP16" i="1" s="1"/>
  <c r="F22" i="11" s="1"/>
  <c r="C34" i="44"/>
  <c r="T61" i="59"/>
  <c r="D61" i="59"/>
  <c r="AZ51" i="3"/>
  <c r="AC11" i="35"/>
  <c r="W11" i="35"/>
  <c r="AB46" i="34"/>
  <c r="U46" i="34"/>
  <c r="S12" i="34"/>
  <c r="AA12" i="34"/>
  <c r="U44" i="33"/>
  <c r="AB44" i="33"/>
  <c r="U31" i="21"/>
  <c r="AB31" i="21"/>
  <c r="W25" i="37"/>
  <c r="AC25" i="37"/>
  <c r="E15" i="6"/>
  <c r="AZ112" i="3"/>
  <c r="AZ236" i="3"/>
  <c r="AZ240" i="3"/>
  <c r="AB27" i="34"/>
  <c r="U27" i="34"/>
  <c r="AZ19" i="3"/>
  <c r="U28" i="37"/>
  <c r="AB28" i="37"/>
  <c r="U11" i="35"/>
  <c r="AB11" i="35"/>
  <c r="AC46" i="34"/>
  <c r="W46" i="34"/>
  <c r="AB12" i="34"/>
  <c r="U12" i="34"/>
  <c r="AA29" i="33"/>
  <c r="S29" i="33"/>
  <c r="AC27" i="33"/>
  <c r="W27" i="33"/>
  <c r="W27" i="21"/>
  <c r="AC27" i="21"/>
  <c r="U25" i="37"/>
  <c r="AB25" i="37"/>
  <c r="D88" i="59"/>
  <c r="C87" i="59"/>
  <c r="D87" i="59" s="1"/>
  <c r="AC9" i="21"/>
  <c r="W9" i="21"/>
  <c r="AA16" i="40"/>
  <c r="S16" i="40"/>
  <c r="AC28" i="37"/>
  <c r="W28" i="37"/>
  <c r="S11" i="35"/>
  <c r="AA11" i="35"/>
  <c r="S30" i="34"/>
  <c r="AA30" i="34"/>
  <c r="S44" i="33"/>
  <c r="AA44" i="33"/>
  <c r="AB29" i="33"/>
  <c r="U29" i="33"/>
  <c r="U27" i="33"/>
  <c r="AB27" i="33"/>
  <c r="AB27" i="21"/>
  <c r="U27" i="21"/>
  <c r="C36" i="59"/>
  <c r="D35" i="59"/>
  <c r="C57" i="59"/>
  <c r="D56" i="59"/>
  <c r="C65" i="59"/>
  <c r="D64" i="59"/>
  <c r="AZ284" i="3"/>
  <c r="AZ268" i="3"/>
  <c r="AZ538" i="3"/>
  <c r="S9" i="21"/>
  <c r="AA9" i="21"/>
  <c r="AZ533" i="3"/>
  <c r="AC40" i="37"/>
  <c r="W40" i="37"/>
  <c r="AA28" i="37"/>
  <c r="S28" i="37"/>
  <c r="AA46" i="34"/>
  <c r="S46" i="34"/>
  <c r="AB30" i="34"/>
  <c r="U30" i="34"/>
  <c r="AC44" i="33"/>
  <c r="W44" i="33"/>
  <c r="W29" i="33"/>
  <c r="AC29" i="33"/>
  <c r="S31" i="21"/>
  <c r="AA31" i="21"/>
  <c r="AA25" i="37"/>
  <c r="S25" i="37"/>
  <c r="AZ544" i="3"/>
  <c r="C66" i="40"/>
  <c r="A1" i="70"/>
  <c r="P28" i="46"/>
  <c r="B67" i="40" s="1"/>
  <c r="P25" i="46"/>
  <c r="P26" i="46"/>
  <c r="C71" i="39"/>
  <c r="O23" i="46"/>
  <c r="P29" i="46"/>
  <c r="B72" i="39" s="1"/>
  <c r="P27" i="46"/>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J7" i="37"/>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E3" i="65"/>
  <c r="F41" i="15"/>
  <c r="F17" i="11" l="1"/>
  <c r="D57" i="59"/>
  <c r="T57" i="59"/>
  <c r="T65" i="59"/>
  <c r="D65" i="59"/>
  <c r="C37" i="59"/>
  <c r="D36" i="59"/>
  <c r="W7" i="21"/>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M27" i="15"/>
  <c r="M29" i="44"/>
  <c r="C17" i="11" l="1"/>
  <c r="C19" i="11" s="1"/>
  <c r="C20" i="11" s="1"/>
  <c r="C21" i="11" s="1"/>
  <c r="D22" i="12"/>
  <c r="C22" i="12" s="1"/>
  <c r="C20" i="12" s="1"/>
  <c r="D37" i="59"/>
  <c r="T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C22" i="11" l="1"/>
  <c r="C23" i="11" s="1"/>
  <c r="B2" i="11" s="1"/>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B5" i="66"/>
  <c r="E14" i="66"/>
  <c r="B7" i="67"/>
  <c r="D19" i="9"/>
  <c r="C19" i="44"/>
  <c r="E7" i="67"/>
  <c r="L44" i="9" l="1"/>
  <c r="G19" i="9"/>
  <c r="D22" i="9"/>
  <c r="B3" i="11"/>
  <c r="B5" i="11"/>
  <c r="B4" i="11"/>
  <c r="H25" i="6"/>
  <c r="M27" i="6"/>
  <c r="S16" i="1"/>
  <c r="T11" i="1" s="1"/>
  <c r="D16" i="59"/>
  <c r="C15" i="59"/>
  <c r="C31" i="46"/>
  <c r="C30" i="46"/>
  <c r="B2" i="46" s="1"/>
  <c r="D4" i="46" s="1"/>
  <c r="F14" i="66"/>
  <c r="T10" i="1"/>
  <c r="T13" i="1"/>
  <c r="T12" i="1"/>
  <c r="T7"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D5" i="66"/>
  <c r="C5" i="66"/>
  <c r="M21" i="15"/>
  <c r="C16" i="44"/>
  <c r="D21" i="9"/>
  <c r="C14" i="15"/>
  <c r="D20" i="9"/>
  <c r="F35" i="15"/>
  <c r="M23" i="44"/>
  <c r="F37" i="44"/>
  <c r="G20" i="9" l="1"/>
  <c r="G21" i="9"/>
  <c r="N43" i="9"/>
  <c r="C32" i="9"/>
  <c r="G22" i="9"/>
  <c r="T8" i="1"/>
  <c r="T9" i="1"/>
  <c r="T6" i="1"/>
  <c r="T16" i="1" s="1"/>
  <c r="D15" i="59"/>
  <c r="C14" i="59"/>
  <c r="B3" i="46"/>
  <c r="B4" i="46"/>
  <c r="C36" i="44"/>
  <c r="J20" i="15"/>
  <c r="C34" i="15"/>
  <c r="R27" i="6"/>
  <c r="H27" i="6"/>
  <c r="C15" i="15"/>
  <c r="C18" i="15"/>
  <c r="C17" i="44"/>
  <c r="C20" i="44"/>
  <c r="E7" i="59"/>
  <c r="B7" i="59"/>
  <c r="F6" i="59"/>
  <c r="I6" i="6"/>
  <c r="I5" i="6"/>
  <c r="J22" i="44"/>
  <c r="F62" i="15"/>
  <c r="C61" i="15" s="1"/>
  <c r="R16" i="1"/>
  <c r="C18" i="43"/>
  <c r="C18" i="12"/>
  <c r="C23" i="12" s="1"/>
  <c r="C35" i="12" s="1"/>
  <c r="C33" i="12" s="1"/>
  <c r="O46" i="36"/>
  <c r="J7" i="36" s="1"/>
  <c r="F7" i="36"/>
  <c r="H7" i="36"/>
  <c r="J64" i="40"/>
  <c r="I66" i="40"/>
  <c r="J69" i="39"/>
  <c r="I71" i="39"/>
  <c r="B3" i="67"/>
  <c r="B4" i="67"/>
  <c r="C3" i="75" l="1"/>
  <c r="C10" i="75" s="1"/>
  <c r="O38" i="9"/>
  <c r="C33" i="9"/>
  <c r="O43" i="9"/>
  <c r="C42" i="9"/>
  <c r="C35" i="9"/>
  <c r="F42" i="9" s="1"/>
  <c r="C34" i="9"/>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1" i="75" l="1"/>
  <c r="C12" i="75" s="1"/>
  <c r="R5" i="54"/>
  <c r="B48" i="63" s="1"/>
  <c r="D63" i="9"/>
  <c r="N68" i="9"/>
  <c r="E42" i="9"/>
  <c r="P5" i="54" s="1"/>
  <c r="B46" i="63" s="1"/>
  <c r="M38" i="9"/>
  <c r="K27" i="9" s="1"/>
  <c r="N38" i="9"/>
  <c r="K28" i="9" s="1"/>
  <c r="D42" i="9"/>
  <c r="Q5" i="54" s="1"/>
  <c r="B47" i="63" s="1"/>
  <c r="K25" i="9"/>
  <c r="K26" i="9"/>
  <c r="C12" i="59"/>
  <c r="T13" i="59"/>
  <c r="D13" i="59"/>
  <c r="E5" i="59"/>
  <c r="U5" i="59" s="1"/>
  <c r="B5" i="59"/>
  <c r="C21" i="43"/>
  <c r="R37" i="36"/>
  <c r="E36" i="36"/>
  <c r="I41" i="36" s="1"/>
  <c r="J41" i="36" s="1"/>
  <c r="K66" i="40"/>
  <c r="L64" i="40"/>
  <c r="G41" i="36"/>
  <c r="H41" i="36" s="1"/>
  <c r="G40" i="36"/>
  <c r="H40" i="36" s="1"/>
  <c r="I40" i="36"/>
  <c r="J40" i="36" s="1"/>
  <c r="L69" i="39"/>
  <c r="K71" i="39"/>
  <c r="D73" i="9" l="1"/>
  <c r="N73" i="9" s="1"/>
  <c r="C103" i="9"/>
  <c r="D70" i="9"/>
  <c r="C96" i="9"/>
  <c r="C91" i="9" s="1"/>
  <c r="C90" i="9"/>
  <c r="C82" i="9"/>
  <c r="C81" i="9" s="1"/>
  <c r="C85" i="9" s="1"/>
  <c r="C86" i="9" s="1"/>
  <c r="D72" i="9" s="1"/>
  <c r="C111" i="9"/>
  <c r="C104" i="9" s="1"/>
  <c r="D71" i="9"/>
  <c r="D66" i="9" s="1"/>
  <c r="N72" i="9" s="1"/>
  <c r="C11" i="59"/>
  <c r="D12" i="59"/>
  <c r="S5" i="59"/>
  <c r="L71" i="39"/>
  <c r="M69" i="39"/>
  <c r="M64" i="40"/>
  <c r="L66" i="40"/>
  <c r="E40" i="36"/>
  <c r="F40" i="36" s="1"/>
  <c r="E41" i="36"/>
  <c r="F41" i="36" s="1"/>
  <c r="C37" i="36"/>
  <c r="B3" i="36" s="1"/>
  <c r="B2" i="36" s="1"/>
  <c r="C36" i="36"/>
  <c r="C113" i="9" l="1"/>
  <c r="C97" i="9"/>
  <c r="C10" i="59"/>
  <c r="D11" i="59"/>
  <c r="N64" i="40"/>
  <c r="N66" i="40" s="1"/>
  <c r="M66" i="40"/>
  <c r="N69" i="39"/>
  <c r="N71" i="39" s="1"/>
  <c r="M71" i="39"/>
  <c r="C98" i="9" l="1"/>
  <c r="E98" i="9" s="1"/>
  <c r="E99" i="9" s="1"/>
  <c r="C99" i="9"/>
  <c r="C114" i="9"/>
  <c r="E114" i="9" s="1"/>
  <c r="E115" i="9" s="1"/>
  <c r="C9" i="59"/>
  <c r="D10" i="59"/>
  <c r="J9" i="40"/>
  <c r="H9" i="40"/>
  <c r="F9" i="40"/>
  <c r="J9" i="39"/>
  <c r="H9" i="39"/>
  <c r="F9" i="39"/>
  <c r="C115" i="9" l="1"/>
  <c r="D76" i="9" s="1"/>
  <c r="D74" i="9" s="1"/>
  <c r="N74" i="9" s="1"/>
  <c r="O77" i="9" s="1"/>
  <c r="O78" i="9"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O79" i="9" l="1"/>
  <c r="O81" i="9" s="1"/>
  <c r="Q77" i="9"/>
  <c r="C7" i="59"/>
  <c r="D8" i="59"/>
  <c r="R45" i="40"/>
  <c r="E44" i="40"/>
  <c r="G53" i="39"/>
  <c r="H53" i="39" s="1"/>
  <c r="G54" i="39"/>
  <c r="H54" i="39" s="1"/>
  <c r="G48" i="40"/>
  <c r="H48" i="40" s="1"/>
  <c r="G49" i="40"/>
  <c r="H49" i="40" s="1"/>
  <c r="I53" i="39"/>
  <c r="J53" i="39" s="1"/>
  <c r="R50" i="39"/>
  <c r="E49" i="39"/>
  <c r="I54" i="39" s="1"/>
  <c r="J54" i="39" s="1"/>
  <c r="O80" i="9" l="1"/>
  <c r="C6" i="59"/>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<sst xmlns="http://schemas.openxmlformats.org/spreadsheetml/2006/main" count="7782" uniqueCount="3385">
  <si>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</si>
  <si>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</si>
  <si>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</si>
  <si>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</si>
  <si>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</si>
  <si>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</si>
  <si>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</si>
  <si>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</si>
  <si>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</si>
  <si>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</si>
  <si>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</si>
  <si>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</si>
  <si>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</si>
  <si>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</si>
  <si>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</si>
  <si>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</si>
  <si>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</si>
  <si>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</si>
  <si>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</si>
  <si>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</si>
  <si>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</si>
  <si>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</si>
  <si>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</si>
  <si>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</si>
  <si>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</si>
  <si>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</si>
  <si>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</si>
  <si>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</si>
  <si>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</si>
  <si>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</si>
  <si>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</si>
  <si>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</si>
  <si>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</si>
  <si>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</si>
  <si>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</si>
  <si>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</si>
  <si>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</si>
  <si>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</si>
  <si>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</si>
  <si>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</si>
  <si>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</si>
  <si>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</si>
  <si>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</si>
  <si>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</si>
  <si>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</si>
  <si>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</si>
  <si>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</si>
  <si>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</si>
  <si>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</si>
  <si>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</si>
  <si>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</si>
  <si>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</si>
  <si>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</si>
  <si>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</si>
  <si>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</si>
  <si>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</si>
  <si>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</si>
  <si>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</si>
  <si>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</si>
  <si>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</si>
  <si>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</si>
  <si>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</si>
  <si>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</si>
  <si>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</si>
  <si>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</si>
  <si>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</si>
  <si>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</si>
  <si>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</si>
  <si>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</si>
  <si>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</si>
  <si>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</si>
  <si>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</si>
  <si>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</si>
  <si>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</si>
  <si>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</si>
  <si>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</si>
  <si>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</si>
  <si>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</si>
  <si>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</si>
  <si>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</si>
  <si>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</si>
  <si>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</si>
  <si>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</si>
  <si>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</si>
  <si>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</si>
  <si>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</si>
  <si>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</si>
  <si>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</si>
  <si>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</si>
  <si>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</si>
  <si>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</si>
  <si>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</si>
  <si>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</si>
  <si>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</si>
  <si>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</si>
  <si>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</si>
  <si>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</si>
  <si>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</si>
  <si>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</si>
  <si>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</si>
  <si>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</si>
  <si>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</si>
  <si>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</si>
  <si>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</si>
  <si>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</si>
  <si>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</si>
  <si>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</si>
  <si>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</si>
  <si>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</si>
  <si>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</si>
  <si>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</si>
  <si>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</si>
  <si>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</si>
  <si>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</si>
  <si>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</si>
  <si>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</si>
  <si>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</si>
  <si>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</si>
  <si>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</si>
  <si>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</si>
  <si>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</si>
  <si>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</si>
  <si>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</si>
  <si>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</si>
  <si>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</si>
  <si>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</si>
  <si>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</si>
  <si>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</si>
  <si>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</si>
  <si>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</si>
  <si>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</si>
  <si>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</si>
  <si>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</si>
  <si>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</si>
  <si>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</si>
  <si>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</si>
  <si>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</si>
  <si>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</si>
  <si>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</si>
  <si>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</si>
  <si>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</si>
  <si>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</si>
  <si>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</si>
  <si>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</si>
  <si>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</si>
  <si>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</si>
  <si>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</si>
  <si>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</si>
  <si>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</si>
  <si>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</si>
  <si>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</si>
  <si>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</si>
  <si>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</si>
  <si>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</si>
  <si>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</si>
  <si>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</si>
  <si>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</si>
  <si>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</si>
  <si>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</si>
  <si>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</si>
  <si>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</si>
  <si>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</si>
  <si>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</si>
  <si>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</si>
  <si>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</si>
  <si>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</si>
  <si>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</si>
  <si>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</si>
  <si>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</si>
  <si>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</si>
  <si>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</si>
  <si>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</si>
  <si>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</si>
  <si>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</si>
  <si>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</si>
  <si>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</si>
  <si>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</si>
  <si>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</si>
  <si>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</si>
  <si>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</si>
  <si>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</si>
  <si>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</si>
  <si>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</si>
  <si>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</si>
  <si>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</si>
  <si>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</si>
  <si>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</si>
  <si>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</si>
  <si>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</si>
  <si>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</si>
  <si>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</si>
  <si>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</si>
  <si>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</si>
  <si>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</si>
  <si>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</si>
  <si>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</si>
  <si>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</si>
  <si>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</si>
  <si>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</si>
  <si>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</si>
  <si>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</si>
  <si>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</si>
  <si>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</si>
  <si>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</si>
  <si>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</si>
  <si>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</si>
  <si>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</si>
  <si>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</si>
  <si>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</si>
  <si>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</si>
  <si>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</si>
  <si>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</si>
  <si>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</si>
  <si>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</si>
  <si>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</si>
  <si>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</si>
  <si>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</si>
  <si>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</si>
  <si>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</si>
  <si>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</si>
  <si>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</si>
  <si>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</si>
  <si>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</si>
  <si>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</si>
  <si>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</si>
  <si>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</si>
  <si>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</si>
  <si>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</si>
  <si>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</si>
  <si>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</si>
  <si>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</si>
  <si>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</si>
  <si>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</si>
  <si>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</si>
  <si>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</si>
  <si>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</si>
  <si>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</si>
  <si>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</si>
  <si>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</si>
  <si>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</si>
  <si>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</si>
  <si>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</si>
  <si>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</si>
  <si>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</si>
  <si>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</si>
  <si>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</si>
  <si>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</si>
  <si>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</si>
  <si>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</si>
  <si>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</si>
  <si>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</si>
  <si>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</si>
  <si>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</si>
  <si>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</si>
  <si>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</si>
  <si>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</si>
  <si>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</si>
  <si>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</si>
  <si>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</si>
  <si>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</si>
  <si>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</si>
  <si>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</si>
  <si>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</si>
  <si>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</si>
  <si>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</si>
  <si>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</si>
  <si>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</si>
  <si>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</si>
  <si>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</si>
  <si>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</si>
  <si>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</si>
  <si>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</si>
  <si>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</si>
  <si>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</si>
  <si>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</si>
  <si>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</si>
  <si>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</si>
  <si>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</si>
  <si>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</si>
  <si>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</si>
  <si>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</si>
  <si>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</si>
  <si>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</si>
  <si>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</si>
  <si>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</si>
  <si>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</si>
  <si>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</si>
  <si>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</si>
  <si>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</si>
  <si>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</si>
  <si>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</si>
  <si>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</si>
  <si>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</si>
  <si>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</si>
  <si>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</si>
  <si>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</si>
  <si>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</si>
  <si>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</si>
  <si>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</si>
  <si>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</si>
  <si>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</si>
  <si>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</si>
  <si>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</si>
  <si>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</si>
  <si>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</si>
  <si>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</si>
  <si>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</si>
  <si>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</si>
  <si>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</si>
  <si>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</si>
  <si>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</si>
  <si>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</si>
  <si>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</si>
  <si>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</si>
  <si>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</si>
  <si>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</si>
  <si>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</si>
  <si>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</si>
  <si>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</si>
  <si>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</si>
  <si>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</si>
  <si>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</si>
  <si>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</si>
  <si>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</si>
  <si>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</si>
  <si>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</si>
  <si>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</si>
  <si>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</si>
  <si>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</si>
  <si>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</si>
  <si>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</si>
  <si>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</si>
  <si>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</si>
  <si>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</si>
  <si>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</si>
  <si>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</si>
  <si>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</si>
  <si>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</si>
  <si>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</si>
  <si>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</si>
  <si>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</si>
  <si>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</si>
  <si>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</si>
  <si>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</si>
  <si>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</si>
  <si>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</si>
  <si>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</si>
  <si>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</si>
  <si>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</si>
  <si>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</si>
  <si>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</si>
  <si>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</si>
  <si>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</si>
  <si>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</si>
  <si>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</si>
  <si>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</si>
  <si>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</si>
  <si>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</si>
  <si>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</si>
  <si>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</si>
  <si>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</si>
  <si>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</si>
  <si>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</si>
  <si>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</si>
  <si>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</si>
  <si>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</si>
  <si>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</si>
  <si>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</si>
  <si>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</si>
  <si>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</si>
  <si>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</si>
  <si>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</si>
  <si>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</si>
  <si>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</si>
  <si>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</si>
  <si>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</si>
  <si>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</si>
  <si>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</si>
  <si>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</si>
  <si>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</si>
  <si>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</si>
  <si>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</si>
  <si>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</si>
  <si>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</si>
  <si>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</si>
  <si>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</si>
  <si>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</si>
  <si>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</si>
  <si>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</si>
  <si>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</si>
  <si>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</si>
  <si>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</si>
  <si>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</si>
  <si>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</si>
  <si>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</si>
  <si>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</si>
  <si>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</si>
  <si>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</si>
  <si>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</si>
  <si>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</si>
  <si>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</si>
  <si>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</si>
  <si>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</si>
  <si>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</si>
  <si>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</si>
  <si>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</si>
  <si>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</si>
  <si>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</si>
  <si>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</si>
  <si>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</si>
  <si>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</si>
  <si>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</si>
  <si>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</si>
  <si>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</si>
  <si>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</si>
  <si>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</si>
  <si>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</si>
  <si>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</si>
  <si>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</si>
  <si>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</si>
  <si>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</si>
  <si>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</si>
  <si>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</si>
  <si>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</si>
  <si>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</si>
  <si>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</si>
  <si>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</si>
  <si>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</si>
  <si>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</si>
  <si>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</si>
  <si>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</si>
  <si>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</si>
  <si>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</si>
  <si>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</si>
  <si>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</si>
  <si>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</si>
  <si>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</si>
  <si>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</si>
  <si>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</si>
  <si>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</si>
  <si>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</si>
  <si>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</si>
  <si>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</si>
  <si>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</si>
  <si>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</si>
  <si>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</si>
  <si>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</si>
  <si>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</si>
  <si>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</si>
  <si>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</si>
  <si>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</si>
  <si>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</si>
  <si>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</si>
  <si>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</si>
  <si>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</si>
  <si>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</si>
  <si>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</si>
  <si>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</si>
  <si>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</si>
  <si>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</si>
  <si>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</si>
  <si>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</si>
  <si>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</si>
  <si>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</si>
  <si>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</si>
  <si>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</si>
  <si>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</si>
  <si>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</si>
  <si>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</si>
  <si>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</si>
  <si>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</si>
  <si>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</si>
  <si>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</si>
  <si>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</si>
  <si>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</si>
  <si>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</si>
  <si>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</si>
  <si>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</si>
  <si>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</si>
  <si>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</si>
  <si>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</si>
  <si>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</si>
  <si>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</si>
  <si>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</si>
  <si>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</si>
  <si>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</si>
  <si>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</si>
  <si>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</si>
  <si>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</si>
  <si>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</si>
  <si>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</si>
  <si>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</si>
  <si>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</si>
  <si>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</si>
  <si>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</si>
  <si>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</si>
  <si>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</si>
  <si>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</si>
  <si>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</si>
  <si>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</si>
  <si>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</si>
  <si>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</si>
  <si>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</si>
  <si>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</si>
  <si>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</si>
  <si>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</si>
  <si>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</si>
  <si>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</si>
  <si>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</si>
  <si>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</si>
  <si>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</si>
  <si>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</si>
  <si>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</si>
  <si>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</si>
  <si>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</si>
  <si>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</si>
  <si>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</si>
  <si>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</si>
  <si>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</si>
  <si>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</si>
  <si>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</si>
  <si>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</si>
  <si>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</si>
  <si>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</si>
  <si>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</si>
  <si>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</si>
  <si>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</si>
  <si>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</si>
  <si>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</si>
  <si>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</si>
  <si>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</si>
  <si>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</si>
  <si>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</si>
  <si>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</si>
  <si>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</si>
  <si>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</si>
  <si>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</si>
  <si>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</si>
  <si>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</si>
  <si>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</si>
  <si>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</si>
  <si>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</si>
  <si>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</si>
  <si>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</si>
  <si>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</si>
  <si>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</si>
  <si>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</si>
  <si>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</si>
  <si>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</si>
  <si>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</si>
  <si>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</si>
  <si>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</si>
  <si>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</si>
  <si>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</si>
  <si>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</si>
  <si>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</si>
  <si>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</si>
  <si>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</si>
  <si>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</si>
  <si>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</si>
  <si>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</si>
  <si>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</si>
  <si>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</si>
  <si>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</si>
  <si>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</si>
  <si>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</si>
  <si>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</si>
  <si>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</si>
  <si>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</si>
  <si>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</si>
  <si>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</si>
  <si>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</si>
  <si>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</si>
  <si>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</si>
  <si>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</si>
  <si>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</si>
  <si>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</si>
  <si>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</si>
  <si>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</si>
  <si>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</si>
  <si>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</si>
  <si>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</si>
  <si>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</si>
  <si>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</si>
  <si>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</si>
  <si>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</si>
  <si>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</si>
  <si>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</si>
  <si>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</si>
  <si>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</si>
  <si>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</si>
  <si>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</si>
  <si>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</si>
  <si>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</si>
  <si>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</si>
  <si>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</si>
  <si>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</si>
  <si>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</si>
  <si>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</si>
  <si>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</si>
  <si>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</si>
  <si>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</si>
  <si>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</si>
  <si>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</si>
  <si>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</si>
  <si>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</si>
  <si>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</si>
  <si>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</si>
  <si>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</si>
  <si>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</si>
  <si>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</si>
  <si>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</si>
  <si>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</si>
  <si>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</si>
  <si>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</si>
  <si>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</si>
  <si>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</si>
  <si>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</si>
  <si>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</si>
  <si>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</si>
  <si>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</si>
  <si>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</si>
  <si>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</si>
  <si>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</si>
  <si>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</si>
  <si>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</si>
  <si>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</si>
  <si>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</si>
  <si>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</si>
  <si>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</si>
  <si>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</si>
  <si>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</si>
  <si>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</si>
  <si>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</si>
  <si>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</si>
  <si>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</si>
  <si>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</si>
  <si>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</si>
  <si>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</si>
  <si>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</si>
  <si>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</si>
  <si>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</si>
  <si>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</si>
  <si>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</si>
  <si>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</si>
  <si>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</si>
  <si>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</si>
  <si>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</si>
  <si>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</si>
  <si>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</si>
  <si>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</si>
  <si>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</si>
  <si>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</si>
  <si>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</si>
  <si>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</si>
  <si>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</si>
  <si>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</si>
  <si>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</si>
  <si>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</si>
  <si>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</si>
  <si>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</si>
  <si>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</si>
  <si>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</si>
  <si>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</si>
  <si>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</si>
  <si>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</si>
  <si>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</si>
  <si>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</si>
  <si>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</si>
  <si>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</si>
  <si>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</si>
  <si>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</si>
  <si>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</si>
  <si>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</si>
  <si>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</si>
  <si>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</si>
  <si>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</si>
  <si>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</si>
  <si>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</si>
  <si>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</si>
  <si>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</si>
  <si>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</si>
  <si>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</si>
  <si>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</si>
  <si>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</si>
  <si>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</si>
  <si>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</si>
  <si>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</si>
  <si>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</si>
  <si>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</si>
  <si>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</si>
  <si>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</si>
  <si>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</si>
  <si>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</si>
  <si>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</si>
  <si>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</si>
  <si>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</si>
  <si>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</si>
  <si>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</si>
  <si>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</si>
  <si>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</si>
  <si>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</si>
  <si>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</si>
  <si>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</si>
  <si>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</si>
  <si>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</si>
  <si>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</si>
  <si>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</si>
  <si>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</si>
  <si>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</si>
  <si>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</si>
  <si>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</si>
  <si>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</si>
  <si>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</si>
  <si>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</si>
  <si>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</si>
  <si>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</si>
  <si>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</si>
  <si>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</si>
  <si>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</si>
  <si>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</si>
  <si>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</si>
  <si>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</si>
  <si>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</si>
  <si>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</si>
  <si>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</si>
  <si>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</si>
  <si>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</si>
  <si>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</si>
  <si>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</si>
  <si>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</si>
  <si>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</si>
  <si>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</si>
  <si>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</si>
  <si>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</si>
  <si>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</si>
  <si>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</si>
  <si>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</si>
  <si>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</si>
  <si>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</si>
  <si>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</si>
  <si>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</si>
  <si>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</si>
  <si>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</si>
  <si>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</si>
  <si>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</si>
  <si>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</si>
  <si>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</si>
  <si>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</si>
  <si>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</si>
  <si>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</si>
  <si>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</si>
  <si>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</si>
  <si>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</si>
  <si>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</si>
  <si>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</si>
  <si>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</si>
  <si>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</si>
  <si>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</si>
  <si>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</si>
  <si>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</si>
  <si>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</si>
  <si>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</si>
  <si>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</si>
  <si>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</si>
  <si>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</si>
  <si>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</si>
  <si>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</si>
  <si>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</si>
  <si>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</si>
  <si>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</si>
  <si>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</si>
  <si>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</si>
  <si>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</si>
  <si>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</si>
  <si>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</si>
  <si>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</si>
  <si>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</si>
  <si>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</si>
  <si>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</si>
  <si>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</si>
  <si>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</si>
  <si>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</si>
  <si>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</si>
  <si>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</si>
  <si>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</si>
  <si>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</si>
  <si>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</si>
  <si>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</si>
  <si>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</si>
  <si>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</si>
  <si>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</si>
  <si>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</si>
  <si>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</si>
  <si>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</si>
  <si>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</si>
  <si>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</si>
  <si>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</si>
  <si>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</si>
  <si>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</si>
  <si>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</si>
  <si>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</si>
  <si>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</si>
  <si>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</si>
  <si>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</si>
  <si>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</si>
  <si>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</si>
  <si>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</si>
  <si>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</si>
  <si>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</si>
  <si>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</si>
  <si>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</si>
  <si>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</si>
  <si>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</si>
  <si>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</si>
  <si>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</si>
  <si>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</si>
  <si>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</si>
  <si>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</si>
  <si>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</si>
  <si>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</si>
  <si>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</si>
  <si>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</si>
  <si>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</si>
  <si>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</si>
  <si>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</si>
  <si>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</si>
  <si>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</si>
  <si>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</si>
  <si>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</si>
  <si>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</si>
  <si>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</si>
  <si>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</si>
  <si>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</si>
  <si>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</si>
  <si>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</si>
  <si>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</si>
  <si>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</si>
  <si>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</si>
  <si>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</si>
  <si>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</si>
  <si>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</si>
  <si>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</si>
  <si>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</si>
  <si>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</si>
  <si>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</si>
  <si>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</si>
  <si>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</si>
  <si>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</si>
  <si>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</si>
  <si>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</si>
  <si>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</si>
  <si>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</si>
  <si>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</si>
  <si>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</si>
  <si>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</si>
  <si>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</si>
  <si>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</si>
  <si>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</si>
  <si>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</si>
  <si>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</si>
  <si>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</si>
  <si>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</si>
  <si>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</si>
  <si>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</si>
  <si>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</si>
  <si>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</si>
  <si>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</si>
  <si>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</si>
  <si>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</si>
  <si>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</si>
  <si>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</si>
  <si>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</si>
  <si>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</si>
  <si>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</si>
  <si>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</si>
  <si>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</si>
  <si>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</si>
  <si>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</si>
  <si>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</si>
  <si>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</si>
  <si>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</si>
  <si>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</si>
  <si>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</si>
  <si>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</si>
  <si>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</si>
  <si>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</si>
  <si>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</si>
  <si>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</si>
  <si>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</si>
  <si>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</si>
  <si>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</si>
  <si>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</si>
  <si>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</si>
  <si>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</si>
  <si>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</si>
  <si>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</si>
  <si>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</si>
  <si>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</si>
  <si>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</si>
  <si>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</si>
  <si>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</si>
  <si>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</si>
  <si>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</si>
  <si>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</si>
  <si>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</si>
  <si>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</si>
  <si>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</si>
  <si>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</si>
  <si>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</si>
  <si>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</si>
  <si>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</si>
  <si>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</si>
  <si>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</si>
  <si>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</si>
  <si>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</si>
  <si>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</si>
  <si>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</si>
  <si>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</si>
  <si>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</si>
  <si>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</si>
  <si>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</si>
  <si>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</si>
  <si>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</si>
  <si>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</si>
  <si>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</si>
  <si>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</si>
  <si>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</si>
  <si>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</si>
  <si>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</si>
  <si>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</si>
  <si>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</si>
  <si>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</si>
  <si>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</si>
  <si>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</si>
  <si>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</si>
  <si>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</si>
  <si>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</si>
  <si>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</si>
  <si>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</si>
  <si>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</si>
  <si>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</si>
  <si>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</si>
  <si>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</si>
  <si>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</si>
  <si>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</si>
  <si>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</si>
  <si>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</si>
  <si>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</si>
  <si>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</si>
  <si>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</si>
  <si>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</si>
  <si>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</si>
  <si>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</si>
  <si>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</si>
  <si>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</si>
  <si>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</si>
  <si>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</si>
  <si>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</si>
  <si>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</si>
  <si>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</si>
  <si>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</si>
  <si>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</si>
  <si>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</si>
  <si>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</si>
  <si>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</si>
  <si>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</si>
  <si>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</si>
  <si>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</si>
  <si>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</si>
  <si>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</si>
  <si>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</si>
  <si>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</si>
  <si>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</si>
  <si>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</si>
  <si>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</si>
  <si>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</si>
  <si>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</si>
  <si>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</si>
  <si>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</si>
  <si>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</si>
  <si>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</si>
  <si>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</si>
  <si>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</si>
  <si>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</si>
  <si>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</si>
  <si>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</si>
  <si>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</si>
  <si>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</si>
  <si>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</si>
  <si>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</si>
  <si>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</si>
  <si>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</si>
  <si>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</si>
  <si>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</si>
  <si>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</si>
  <si>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</si>
  <si>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</si>
  <si>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</si>
  <si>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</si>
  <si>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</si>
  <si>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</si>
  <si>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</si>
  <si>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</si>
  <si>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</si>
  <si>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</si>
  <si>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</si>
  <si>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</si>
  <si>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</si>
  <si>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</si>
  <si>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</si>
  <si>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</si>
  <si>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</si>
  <si>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</si>
  <si>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</si>
  <si>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</si>
  <si>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</si>
  <si>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</si>
  <si>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</si>
  <si>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</si>
  <si>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</si>
  <si>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</si>
  <si>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</si>
  <si>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</si>
  <si>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</si>
  <si>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</si>
  <si>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</si>
  <si>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</si>
  <si>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</si>
  <si>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</si>
  <si>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</si>
  <si>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</si>
  <si>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</si>
  <si>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</si>
  <si>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</si>
  <si>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</si>
  <si>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</si>
  <si>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</si>
  <si>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</si>
  <si>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</si>
  <si>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</si>
  <si>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</si>
  <si>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</si>
  <si>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</si>
  <si>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</si>
  <si>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</si>
  <si>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</si>
  <si>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</si>
  <si>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</si>
  <si>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</si>
  <si>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</si>
  <si>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</si>
  <si>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</si>
  <si>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</si>
  <si>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</si>
  <si>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</si>
  <si>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</si>
  <si>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</si>
  <si>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</si>
  <si>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</si>
  <si>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</si>
  <si>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</si>
  <si>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</si>
  <si>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</si>
  <si>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</si>
  <si>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</si>
  <si>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</si>
  <si>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</si>
  <si>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</si>
  <si>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</si>
  <si>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</si>
  <si>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</si>
  <si>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</si>
  <si>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</si>
  <si>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</si>
  <si>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</si>
  <si>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</si>
  <si>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</si>
  <si>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</si>
  <si>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</si>
  <si>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</si>
  <si>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</si>
  <si>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</si>
  <si>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</si>
  <si>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</si>
  <si>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</si>
  <si>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</si>
  <si>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</si>
  <si>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</si>
  <si>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</si>
  <si>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</si>
  <si>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</si>
  <si>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</si>
  <si>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</si>
  <si>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</si>
  <si>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</si>
  <si>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</si>
  <si>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</si>
  <si>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</si>
  <si>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</si>
  <si>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</si>
  <si>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</si>
  <si>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</si>
  <si>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</si>
  <si>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</si>
  <si>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</si>
  <si>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</si>
  <si>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</si>
  <si>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</si>
  <si>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</si>
  <si>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</si>
  <si>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</si>
  <si>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</si>
  <si>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</si>
  <si>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</si>
  <si>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</si>
  <si>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</si>
  <si>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</si>
  <si>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</si>
  <si>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</si>
  <si>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</si>
  <si>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</si>
  <si>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</si>
  <si>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</si>
  <si>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</si>
  <si>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</si>
  <si>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</si>
  <si>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</si>
  <si>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</si>
  <si>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</si>
  <si>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</si>
  <si>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</si>
  <si>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</si>
  <si>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</si>
  <si>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</si>
  <si>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</si>
  <si>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</si>
  <si>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</si>
  <si>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</si>
  <si>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</si>
  <si>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</si>
  <si>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</si>
  <si>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</si>
  <si>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</si>
  <si>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</si>
  <si>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</si>
  <si>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</si>
  <si>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</si>
  <si>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</si>
  <si>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</si>
  <si>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</si>
  <si>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</si>
  <si>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</si>
  <si>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</si>
  <si>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</si>
  <si>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</si>
  <si>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</si>
  <si>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</si>
  <si>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</si>
  <si>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</si>
  <si>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</si>
  <si>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</si>
  <si>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</si>
  <si>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</si>
  <si>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</si>
  <si>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</si>
  <si>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</si>
  <si>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</si>
  <si>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</si>
  <si>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</si>
  <si>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</si>
  <si>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</si>
  <si>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</si>
  <si>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</si>
  <si>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</si>
  <si>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</si>
  <si>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</si>
  <si>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</si>
  <si>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</si>
  <si>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</si>
  <si>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</si>
  <si>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</si>
  <si>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</si>
  <si>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</si>
  <si>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</si>
  <si>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</si>
  <si>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</si>
  <si>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</si>
  <si>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</si>
  <si>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</si>
  <si>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</si>
  <si>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</si>
  <si>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</si>
  <si>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</si>
  <si>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</si>
  <si>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</si>
  <si>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</si>
  <si>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</si>
  <si>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</si>
  <si>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</si>
  <si>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</si>
  <si>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</si>
  <si>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</si>
  <si>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</si>
  <si>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</si>
  <si>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</si>
  <si>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</si>
  <si>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</si>
  <si>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</si>
  <si>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</si>
  <si>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</si>
  <si>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</si>
  <si>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</si>
  <si>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</si>
  <si>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</si>
  <si>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</si>
  <si>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</si>
  <si>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</si>
  <si>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</si>
  <si>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</si>
  <si>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</si>
  <si>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</si>
  <si>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</si>
  <si>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</si>
  <si>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</si>
  <si>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</si>
  <si>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</si>
  <si>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</si>
  <si>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</si>
  <si>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</si>
  <si>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</si>
  <si>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</si>
  <si>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</si>
  <si>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</si>
  <si>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</si>
  <si>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</si>
  <si>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</si>
  <si>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</si>
  <si>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</si>
  <si>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</si>
  <si>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</si>
  <si>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</si>
  <si>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</si>
  <si>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</si>
  <si>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</si>
  <si>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</si>
  <si>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</si>
  <si>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</si>
  <si>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</si>
  <si>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</si>
  <si>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</si>
  <si>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</si>
  <si>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</si>
  <si>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</si>
  <si>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</si>
  <si>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</si>
  <si>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</si>
  <si>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</si>
  <si>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</si>
  <si>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</si>
  <si>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</si>
  <si>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</si>
  <si>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</si>
  <si>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</si>
  <si>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</si>
  <si>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</si>
  <si>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</si>
  <si>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</si>
  <si>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</si>
  <si>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</si>
  <si>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</si>
  <si>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</si>
  <si>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</si>
  <si>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</si>
  <si>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</si>
  <si>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</si>
  <si>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</si>
  <si>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</si>
  <si>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</si>
  <si>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</si>
  <si>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</si>
  <si>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</si>
  <si>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</si>
  <si>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</si>
  <si>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</si>
  <si>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</si>
  <si>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</si>
  <si>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</si>
  <si>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</si>
  <si>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</si>
  <si>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</si>
  <si>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</si>
  <si>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</si>
  <si>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</si>
  <si>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</si>
  <si>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</si>
  <si>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</si>
  <si>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</si>
  <si>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</si>
  <si>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</si>
  <si>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</si>
  <si>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</si>
  <si>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</si>
  <si>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</si>
  <si>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</si>
  <si>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</si>
  <si>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</si>
  <si>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</si>
  <si>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</si>
  <si>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</si>
  <si>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</si>
  <si>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</si>
  <si>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</si>
  <si>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</si>
  <si>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</si>
  <si>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</si>
  <si>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</si>
  <si>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</si>
  <si>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</si>
  <si>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</si>
  <si>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</si>
  <si>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</si>
  <si>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</si>
  <si>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</si>
  <si>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</si>
  <si>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</si>
  <si>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</si>
  <si>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</si>
  <si>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</si>
  <si>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</si>
  <si>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</si>
  <si>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</si>
  <si>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</si>
  <si>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</si>
  <si>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</si>
  <si>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</si>
  <si>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</si>
  <si>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</si>
  <si>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</si>
  <si>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</si>
  <si>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</si>
  <si>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</si>
  <si>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</si>
  <si>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</si>
  <si>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</si>
  <si>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</si>
  <si>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</si>
  <si>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</si>
  <si>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</si>
  <si>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</si>
  <si>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</si>
  <si>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</si>
  <si>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</si>
  <si>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</si>
  <si>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</si>
  <si>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</si>
  <si>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</si>
  <si>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</si>
  <si>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</si>
  <si>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</si>
  <si>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</si>
  <si>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</si>
  <si>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</si>
  <si>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</si>
  <si>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</si>
  <si>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</si>
  <si>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</si>
  <si>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</si>
  <si>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</si>
  <si>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</si>
  <si>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</si>
  <si>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</si>
  <si>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</si>
  <si>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</si>
  <si>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</si>
  <si>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</si>
  <si>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</si>
  <si>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</si>
  <si>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</si>
  <si>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</si>
  <si>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</si>
  <si>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</si>
  <si>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</si>
  <si>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</si>
  <si>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</si>
  <si>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</si>
  <si>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</si>
  <si>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</si>
  <si>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</si>
  <si>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</si>
  <si>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</si>
  <si>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</si>
  <si>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</si>
  <si>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</si>
  <si>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</si>
  <si>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</si>
  <si>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</si>
  <si>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</si>
  <si>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</si>
  <si>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</si>
  <si>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</si>
  <si>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</si>
  <si>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</si>
  <si>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</si>
  <si>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</si>
  <si>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</si>
  <si>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</si>
  <si>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</si>
  <si>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</si>
  <si>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</si>
  <si>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</si>
  <si>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</si>
  <si>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</si>
  <si>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</si>
  <si>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</si>
  <si>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</si>
  <si>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</si>
  <si>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</si>
  <si>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</si>
  <si>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</si>
  <si>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</si>
  <si>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</si>
  <si>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</si>
  <si>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</si>
  <si>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</si>
  <si>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</si>
  <si>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</si>
  <si>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</si>
  <si>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</si>
  <si>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</si>
  <si>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</si>
  <si>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</si>
  <si>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</si>
  <si>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</si>
  <si>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</si>
  <si>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</si>
  <si>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</si>
  <si>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</si>
  <si>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</si>
  <si>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</si>
  <si>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</si>
  <si>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</si>
  <si>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</si>
  <si>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</si>
  <si>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</si>
  <si>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</si>
  <si>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</si>
  <si>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</si>
  <si>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</si>
  <si>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</si>
  <si>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</si>
  <si>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</si>
  <si>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</si>
  <si>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</si>
  <si>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</si>
  <si>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</si>
  <si>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</si>
  <si>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</si>
  <si>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</si>
  <si>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</si>
  <si>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</si>
  <si>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</si>
  <si>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</si>
  <si>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</si>
  <si>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</si>
  <si>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</si>
  <si>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</si>
  <si>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</si>
  <si>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</si>
  <si>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</si>
  <si>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</si>
  <si>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</si>
  <si>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</si>
  <si>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</si>
  <si>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</si>
  <si>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</si>
  <si>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</si>
  <si>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</si>
  <si>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</si>
  <si>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</si>
  <si>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</si>
  <si>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</si>
  <si>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</si>
  <si>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</si>
  <si>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</si>
  <si>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</si>
  <si>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</si>
  <si>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</si>
  <si>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</si>
  <si>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</si>
  <si>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</si>
  <si>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</si>
  <si>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</si>
  <si>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</si>
  <si>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</si>
  <si>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</si>
  <si>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</si>
  <si>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</si>
  <si>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</si>
  <si>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</si>
  <si>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</si>
  <si>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</si>
  <si>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</si>
  <si>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</si>
  <si>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</si>
  <si>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</si>
  <si>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</si>
  <si>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</si>
  <si>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</si>
  <si>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</si>
  <si>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</si>
  <si>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</si>
  <si>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</si>
  <si>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</si>
  <si>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</si>
  <si>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</si>
  <si>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</si>
  <si>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</si>
  <si>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</si>
  <si>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</si>
  <si>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</si>
  <si>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</si>
  <si>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</si>
  <si>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</si>
  <si>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</si>
  <si>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</si>
  <si>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</si>
  <si>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</si>
  <si>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</si>
  <si>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</si>
  <si>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</si>
  <si>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</si>
  <si>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</si>
  <si>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</si>
  <si>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</si>
  <si>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</si>
  <si>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</si>
  <si>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</si>
  <si>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</si>
  <si>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</si>
  <si>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</si>
  <si>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</si>
  <si>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</si>
  <si>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</si>
  <si>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</si>
  <si>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</si>
  <si>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</si>
  <si>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</si>
  <si>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</si>
  <si>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</si>
  <si>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</si>
  <si>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</si>
  <si>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</si>
  <si>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</si>
  <si>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</si>
  <si>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</si>
  <si>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</si>
  <si>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</si>
  <si>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</si>
  <si>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</si>
  <si>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</si>
  <si>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</si>
  <si>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</si>
  <si>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</si>
  <si>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</si>
  <si>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</si>
  <si>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</si>
  <si>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</si>
  <si>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</si>
  <si>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</si>
  <si>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</si>
  <si>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</si>
  <si>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</si>
  <si>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</si>
  <si>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</si>
  <si>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</si>
  <si>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</si>
  <si>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</si>
  <si>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</si>
  <si>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</si>
  <si>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</si>
  <si>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</si>
  <si>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</si>
  <si>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</si>
  <si>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</si>
  <si>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</si>
  <si>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</si>
  <si>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</si>
  <si>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</si>
  <si>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</si>
  <si>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</si>
  <si>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</si>
  <si>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</si>
  <si>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</si>
  <si>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</si>
  <si>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</si>
  <si>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</si>
  <si>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</si>
  <si>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</si>
  <si>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</si>
  <si>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</si>
  <si>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</si>
  <si>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</si>
  <si>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</si>
  <si>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</si>
  <si>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</si>
  <si>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</si>
  <si>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</si>
  <si>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</si>
  <si>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</si>
  <si>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</si>
  <si>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</si>
  <si>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</si>
  <si>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</si>
  <si>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</si>
  <si>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</si>
  <si>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</si>
  <si>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</si>
  <si>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</si>
  <si>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</si>
  <si>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</si>
  <si>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</si>
  <si>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</si>
  <si>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</si>
  <si>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</si>
  <si>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</si>
  <si>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</si>
  <si>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</si>
  <si>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</si>
  <si>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</si>
  <si>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</si>
  <si>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</si>
  <si>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</si>
  <si>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</si>
  <si>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</si>
  <si>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</si>
  <si>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</si>
  <si>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</si>
  <si>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</si>
  <si>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</si>
  <si>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</si>
  <si>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</si>
  <si>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</si>
  <si>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</si>
  <si>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</si>
  <si>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</si>
  <si>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</si>
  <si>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</si>
  <si>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</si>
  <si>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</si>
  <si>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</si>
  <si>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</si>
  <si>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</si>
  <si>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</si>
  <si>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</si>
  <si>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</si>
  <si>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</si>
  <si>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</si>
  <si>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</si>
  <si>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</si>
  <si>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</si>
  <si>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</si>
  <si>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</si>
  <si>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</si>
  <si>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</si>
  <si>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</si>
  <si>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</si>
  <si>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</si>
  <si>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</si>
  <si>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</si>
  <si>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</si>
  <si>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</si>
  <si>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</si>
  <si>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</si>
  <si>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</si>
  <si>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</si>
  <si>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</si>
  <si>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</si>
  <si>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</si>
  <si>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</si>
  <si>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</si>
  <si>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</si>
  <si>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</si>
  <si>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</si>
  <si>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</si>
  <si>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</si>
  <si>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</si>
  <si>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</si>
  <si>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</si>
  <si>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</si>
  <si>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</si>
  <si>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</si>
  <si>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</si>
  <si>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</si>
  <si>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</si>
  <si>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</si>
  <si>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</si>
  <si>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</si>
  <si>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</si>
  <si>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</si>
  <si>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</si>
  <si>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</si>
  <si>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</si>
  <si>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</si>
  <si>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</si>
  <si>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</si>
  <si>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</si>
  <si>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</si>
  <si>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</si>
  <si>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</si>
  <si>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</si>
  <si>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</si>
  <si>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</si>
  <si>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</si>
  <si>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</si>
  <si>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</si>
  <si>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</si>
  <si>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</si>
  <si>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</si>
  <si>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</si>
  <si>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</si>
  <si>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</si>
  <si>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</si>
  <si>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</si>
  <si>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</si>
  <si>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</si>
  <si>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</si>
  <si>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</si>
  <si>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</si>
  <si>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</si>
  <si>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</si>
  <si>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</si>
  <si>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</si>
  <si>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</si>
  <si>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</si>
  <si>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</si>
  <si>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</si>
  <si>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</si>
  <si>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</si>
  <si>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</si>
  <si>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</si>
  <si>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</si>
  <si>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</si>
  <si>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</si>
  <si>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</si>
  <si>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</si>
  <si>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</si>
  <si>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</si>
  <si>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</si>
  <si>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</si>
  <si>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</si>
  <si>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</si>
  <si>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</si>
  <si>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</si>
  <si>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</si>
  <si>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</si>
  <si>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</si>
  <si>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</si>
  <si>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</si>
  <si>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</si>
  <si>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</si>
  <si>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</si>
  <si>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</si>
  <si>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</si>
  <si>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</si>
  <si>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</si>
  <si>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</si>
  <si>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</si>
  <si>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</si>
  <si>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</si>
  <si>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</si>
  <si>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</si>
  <si>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</si>
  <si>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</si>
  <si>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</si>
  <si>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</si>
  <si>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</si>
  <si>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</si>
  <si>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</si>
  <si>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</si>
  <si>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</si>
  <si>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</si>
  <si>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</si>
  <si>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</si>
  <si>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</si>
  <si>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</si>
  <si>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</si>
  <si>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</si>
  <si>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</si>
  <si>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</si>
  <si>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</si>
  <si>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</si>
  <si>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</si>
  <si>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</si>
  <si>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</si>
  <si>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</si>
  <si>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</si>
  <si>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</si>
  <si>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</si>
  <si>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</si>
  <si>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</si>
  <si>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</si>
  <si>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</si>
  <si>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</si>
  <si>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</si>
  <si>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</si>
  <si>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</si>
  <si>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</si>
  <si>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</si>
  <si>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</si>
  <si>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</si>
  <si>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</si>
  <si>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</si>
  <si>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</si>
  <si>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</si>
  <si>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</si>
  <si>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</si>
  <si>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</si>
  <si>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</si>
  <si>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</si>
  <si>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</si>
  <si>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</si>
  <si>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</si>
  <si>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</si>
  <si>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</si>
  <si>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</si>
  <si>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</si>
  <si>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</si>
  <si>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</si>
  <si>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</si>
  <si>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</si>
  <si>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</si>
  <si>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</si>
  <si>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</si>
  <si>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</si>
  <si>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</si>
  <si>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</si>
  <si>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</si>
  <si>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</si>
  <si>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</si>
  <si>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</si>
  <si>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</si>
  <si>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</si>
  <si>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</si>
  <si>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</si>
  <si>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</si>
  <si>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</si>
  <si>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</si>
  <si>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</si>
  <si>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</si>
  <si>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</si>
  <si>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</si>
  <si>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</si>
  <si>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</si>
  <si>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</si>
  <si>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</si>
  <si>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</si>
  <si>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</si>
  <si>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</si>
  <si>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</si>
  <si>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</si>
  <si>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</si>
  <si>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</si>
  <si>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</si>
  <si>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</si>
  <si>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</si>
  <si>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</si>
  <si>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</si>
  <si>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</si>
  <si>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</si>
  <si>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</si>
  <si>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</si>
  <si>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</si>
  <si>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</si>
  <si>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</si>
  <si>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</si>
  <si>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</si>
  <si>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</si>
  <si>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</si>
  <si>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</si>
  <si>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</si>
  <si>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</si>
  <si>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</si>
  <si>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</si>
  <si>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</si>
  <si>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</si>
  <si>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</si>
  <si>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</si>
  <si>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</si>
  <si>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</si>
  <si>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</si>
  <si>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</si>
  <si>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</si>
  <si>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</si>
  <si>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</si>
  <si>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</si>
  <si>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</si>
  <si>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</si>
  <si>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</si>
  <si>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</si>
  <si>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</si>
  <si>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</si>
  <si>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</si>
  <si>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</si>
  <si>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</si>
  <si>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</si>
  <si>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</si>
  <si>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</si>
  <si>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</si>
  <si>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</si>
  <si>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</si>
  <si>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</si>
  <si>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</si>
  <si>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</si>
  <si>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</si>
  <si>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</si>
  <si>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</si>
  <si>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</si>
  <si>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</si>
  <si>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</si>
  <si>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</si>
  <si>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</si>
  <si>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</si>
  <si>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</si>
  <si>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</si>
  <si>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</si>
  <si>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</si>
  <si>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</si>
  <si>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</si>
  <si>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</si>
  <si>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</si>
  <si>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</si>
  <si>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</si>
  <si>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</si>
  <si>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</si>
  <si>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</si>
  <si>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</si>
  <si>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</si>
  <si>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</si>
  <si>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</si>
  <si>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</si>
  <si>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</si>
  <si>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</si>
  <si>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</si>
  <si>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</si>
  <si>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</si>
  <si>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</si>
  <si>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</si>
  <si>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</si>
  <si>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</si>
  <si>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</si>
  <si>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</si>
  <si>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</si>
  <si>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</si>
  <si>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</si>
  <si>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</si>
  <si>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</si>
  <si>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</si>
  <si>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</si>
  <si>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</si>
  <si>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</si>
  <si>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</si>
  <si>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</si>
  <si>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</si>
  <si>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</si>
  <si>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</si>
  <si>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</si>
  <si>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</si>
  <si>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</si>
  <si>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</si>
  <si>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</si>
  <si>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</si>
  <si>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</si>
  <si>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</si>
  <si>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</si>
  <si>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</si>
  <si>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</si>
  <si>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</si>
  <si>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</si>
  <si>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</si>
  <si>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</si>
  <si>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</si>
  <si>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</si>
  <si>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</si>
  <si>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</si>
  <si>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</si>
  <si>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</si>
  <si>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</si>
  <si>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</si>
  <si>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</si>
  <si>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</si>
  <si>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</si>
  <si>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</si>
  <si>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</si>
  <si>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</si>
  <si>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</si>
  <si>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</si>
  <si>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</si>
  <si>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</si>
  <si>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</si>
  <si>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</si>
  <si>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</si>
  <si>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</si>
  <si>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</si>
  <si>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</si>
  <si>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</si>
  <si>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</si>
  <si>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</si>
  <si>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</si>
  <si>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</si>
  <si>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</si>
  <si>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</si>
  <si>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</si>
  <si>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</si>
  <si>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</si>
  <si>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</si>
  <si>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</si>
  <si>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</si>
  <si>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</si>
  <si>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</si>
  <si>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</si>
  <si>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</si>
  <si>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</si>
  <si>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</si>
  <si>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</si>
  <si>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</si>
  <si>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</si>
  <si>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</si>
  <si>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</si>
  <si>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</si>
  <si>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</si>
  <si>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</si>
  <si>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</si>
  <si>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</si>
  <si>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</si>
  <si>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</si>
  <si>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</si>
  <si>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</si>
  <si>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</si>
  <si>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</si>
  <si>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</si>
  <si>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</si>
  <si>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</si>
  <si>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</si>
  <si>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</si>
  <si>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</si>
  <si>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</si>
  <si>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</si>
  <si>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</si>
  <si>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</si>
  <si>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</si>
  <si>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</si>
  <si>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</si>
  <si>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</si>
  <si>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</si>
  <si>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</si>
  <si>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</si>
  <si>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</si>
  <si>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</si>
  <si>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</si>
  <si>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</si>
  <si>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</si>
  <si>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</si>
  <si>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</si>
  <si>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</si>
  <si>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</si>
  <si>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</si>
  <si>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</si>
  <si>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</si>
  <si>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</si>
  <si>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</si>
  <si>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</si>
  <si>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</si>
  <si>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</si>
  <si>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</si>
  <si>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</si>
  <si>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</si>
  <si>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</si>
  <si>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</si>
  <si>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</si>
  <si>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</si>
  <si>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</si>
  <si>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</si>
  <si>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</si>
  <si>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</si>
  <si>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</si>
  <si>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</si>
  <si>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</si>
  <si>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</si>
  <si>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</si>
  <si>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</si>
  <si>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</si>
  <si>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</si>
  <si>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</si>
  <si>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</si>
  <si>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</si>
  <si>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</si>
  <si>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</si>
  <si>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</si>
  <si>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</si>
  <si>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</si>
  <si>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</si>
  <si>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</si>
  <si>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</si>
  <si>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</si>
  <si>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</si>
  <si>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</si>
  <si>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</si>
  <si>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</si>
  <si>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</si>
  <si>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</si>
  <si>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</si>
  <si>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</si>
  <si>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</si>
  <si>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</si>
  <si>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</si>
  <si>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</si>
  <si>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</si>
  <si>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</si>
  <si>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</si>
  <si>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</si>
  <si>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</si>
  <si>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</si>
  <si>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</si>
  <si>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</si>
  <si>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</si>
  <si>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</si>
  <si>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</si>
  <si>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</si>
  <si>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</si>
  <si>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</si>
  <si>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</si>
  <si>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</si>
  <si>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</si>
  <si>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</si>
  <si>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</si>
  <si>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</si>
  <si>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</si>
  <si>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</si>
  <si>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</si>
  <si>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</si>
  <si>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</si>
  <si>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</si>
  <si>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</si>
  <si>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</si>
  <si>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</si>
  <si>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</si>
  <si>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</si>
  <si>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</si>
  <si>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</si>
  <si>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</si>
  <si>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</si>
  <si>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</si>
  <si>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</si>
  <si>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</si>
  <si>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</si>
  <si>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</si>
  <si>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</si>
  <si>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</si>
  <si>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</si>
  <si>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</si>
  <si>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</si>
  <si>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</si>
  <si>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</si>
  <si>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</si>
  <si>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</si>
  <si>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</si>
  <si>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</si>
  <si>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</si>
  <si>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</si>
  <si>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</si>
  <si>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</si>
  <si>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</si>
  <si>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</si>
  <si>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</si>
  <si>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</si>
  <si>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</si>
  <si>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</si>
  <si>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</si>
  <si>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</si>
  <si>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</si>
  <si>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</si>
  <si>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</si>
  <si>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</si>
  <si>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</si>
  <si>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</si>
  <si>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</si>
  <si>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</si>
  <si>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</si>
  <si>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</si>
  <si>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</si>
  <si>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</si>
  <si>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</si>
  <si>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</si>
  <si>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</si>
  <si>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</si>
  <si>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</si>
  <si>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</si>
  <si>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</si>
  <si>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</si>
  <si>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</si>
  <si>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</si>
  <si>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</si>
  <si>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</si>
  <si>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</si>
  <si>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</si>
  <si>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</si>
  <si>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</si>
  <si>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</si>
  <si>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</si>
  <si>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</si>
  <si>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</si>
  <si>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</si>
  <si>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</si>
  <si>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</si>
  <si>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</si>
  <si>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</si>
  <si>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</si>
  <si>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</si>
  <si>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</si>
  <si>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</si>
  <si>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</si>
  <si>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</si>
  <si>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</si>
  <si>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</si>
  <si>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</si>
  <si>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</si>
  <si>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</si>
  <si>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</si>
  <si>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</si>
  <si>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</si>
  <si>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</si>
  <si>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</si>
  <si>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</si>
  <si>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</si>
  <si>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</si>
  <si>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</si>
  <si>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</si>
  <si>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</si>
  <si>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</si>
  <si>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</si>
  <si>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</si>
  <si>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</si>
  <si>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</si>
  <si>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</si>
  <si>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</si>
  <si>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</si>
  <si>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</si>
  <si>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</si>
  <si>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</si>
  <si>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</si>
  <si>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</si>
  <si>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</si>
  <si>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</si>
  <si>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</si>
  <si>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</si>
  <si>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</si>
  <si>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</si>
  <si>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</si>
  <si>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</si>
  <si>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</si>
  <si>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</si>
  <si>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</si>
  <si>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</si>
  <si>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</si>
  <si>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</si>
  <si>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</si>
  <si>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</si>
  <si>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</si>
  <si>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</si>
  <si>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</si>
  <si>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</si>
  <si>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</si>
  <si>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</si>
  <si>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</si>
  <si>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</si>
  <si>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</si>
  <si>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</si>
  <si>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</si>
  <si>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</si>
  <si>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</si>
  <si>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</si>
  <si>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</si>
  <si>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</si>
  <si>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</si>
  <si>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</si>
  <si>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</si>
  <si>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</si>
  <si>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</si>
  <si>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</si>
  <si>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</si>
  <si>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</si>
  <si>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</si>
  <si>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</si>
  <si>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</si>
  <si>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</si>
  <si>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</si>
  <si>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</si>
  <si>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</si>
  <si>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</si>
  <si>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</si>
  <si>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</si>
  <si>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</si>
  <si>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</si>
  <si>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</si>
  <si>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</si>
  <si>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</si>
  <si>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</si>
  <si>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</si>
  <si>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</si>
  <si>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</si>
  <si>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</si>
  <si>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</si>
  <si>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</si>
  <si>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</si>
  <si>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</si>
  <si>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</si>
  <si>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</si>
  <si>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</si>
  <si>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</si>
  <si>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</si>
  <si>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</si>
  <si>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</si>
  <si>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</si>
  <si>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</si>
  <si>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</si>
  <si>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</si>
  <si>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</si>
  <si>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</si>
  <si>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</si>
  <si>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</si>
  <si>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</si>
  <si>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</si>
  <si>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</si>
  <si>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</si>
  <si>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</si>
  <si>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</si>
  <si>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</si>
  <si>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</si>
  <si>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</si>
  <si>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</si>
  <si>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</si>
  <si>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</si>
  <si>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</si>
  <si>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</si>
  <si>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</si>
  <si>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</si>
  <si>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</si>
  <si>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</si>
  <si>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</si>
  <si>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</si>
  <si>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</si>
  <si>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</si>
  <si>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</si>
  <si>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</si>
  <si>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</si>
  <si>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</si>
  <si>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</si>
  <si>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</si>
  <si>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</si>
  <si>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</si>
  <si>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</si>
  <si>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</si>
  <si>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</si>
  <si>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</si>
  <si>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</si>
  <si>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</si>
  <si>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</si>
  <si>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</si>
  <si>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</si>
  <si>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</si>
  <si>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</si>
  <si>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</si>
  <si>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</si>
  <si>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</si>
  <si>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</si>
  <si>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</si>
  <si>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</si>
  <si>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</si>
  <si>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</si>
  <si>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</si>
  <si>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</si>
  <si>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</si>
  <si>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</si>
  <si>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</si>
  <si>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</si>
  <si>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</si>
  <si>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</si>
  <si>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</si>
  <si>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</si>
  <si>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</si>
  <si>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</si>
  <si>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</si>
  <si>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</si>
  <si>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</si>
  <si>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</si>
  <si>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</si>
  <si>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</si>
  <si>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</si>
  <si>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</si>
  <si>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</si>
  <si>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</si>
  <si>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</si>
  <si>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</si>
  <si>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</si>
  <si>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</si>
  <si>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</si>
  <si>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</si>
  <si>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</si>
  <si>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</si>
  <si>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</si>
  <si>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</si>
  <si>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</si>
  <si>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</si>
  <si>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</si>
  <si>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</si>
  <si>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</si>
  <si>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</si>
  <si>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</si>
  <si>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</si>
  <si>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</si>
  <si>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</si>
  <si>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</si>
  <si>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</si>
  <si>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</si>
  <si>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</si>
  <si>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</si>
  <si>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</si>
  <si>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</si>
  <si>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</si>
  <si>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</si>
  <si>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</si>
  <si>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</si>
  <si>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</si>
  <si>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</si>
  <si>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</si>
  <si>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</si>
  <si>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</si>
  <si>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</si>
  <si>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</si>
  <si>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</si>
  <si>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</si>
  <si>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</si>
  <si>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</si>
  <si>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</si>
  <si>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</si>
  <si>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</si>
  <si>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</si>
  <si>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</si>
  <si>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</si>
  <si>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</si>
  <si>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</si>
  <si>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</si>
  <si>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</si>
  <si>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</si>
  <si>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</si>
  <si>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</si>
  <si>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</si>
  <si>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</si>
  <si>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</si>
  <si>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</si>
  <si>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</si>
  <si>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</si>
  <si>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</si>
  <si>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</si>
  <si>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</si>
  <si>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</si>
  <si>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</si>
  <si>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</si>
  <si>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</si>
  <si>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</si>
  <si>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</si>
  <si>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</si>
  <si>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</si>
  <si>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</si>
  <si>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</si>
  <si>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</si>
  <si>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</si>
  <si>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</si>
  <si>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</si>
  <si>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</si>
  <si>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</si>
  <si>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</si>
  <si>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</si>
  <si>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</si>
  <si>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</si>
  <si>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</si>
  <si>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</si>
  <si>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</si>
  <si>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</si>
  <si>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</si>
  <si>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</si>
  <si>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</si>
  <si>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</si>
  <si>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</si>
  <si>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</si>
  <si>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</si>
  <si>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</si>
  <si>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</si>
  <si>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</si>
  <si>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</si>
  <si>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</si>
  <si>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</si>
  <si>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</si>
  <si>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</si>
  <si>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</si>
  <si>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</si>
  <si>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</si>
  <si>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</si>
  <si>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</si>
  <si>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</si>
  <si>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</si>
  <si>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</si>
  <si>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</si>
  <si>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</si>
  <si>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</si>
  <si>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</si>
  <si>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</si>
  <si>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</si>
  <si>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</si>
  <si>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</si>
  <si>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</si>
  <si>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</si>
  <si>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</si>
  <si>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</si>
  <si>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</si>
  <si>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</si>
  <si>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</si>
  <si>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</si>
  <si>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</si>
  <si>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</si>
  <si>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</si>
  <si>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</si>
  <si>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</si>
  <si>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</si>
  <si>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</si>
  <si>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</si>
  <si>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</si>
  <si>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</si>
  <si>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</si>
  <si>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</si>
  <si>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</si>
  <si>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</si>
  <si>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</si>
  <si>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</si>
  <si>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</si>
  <si>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</si>
  <si>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</si>
  <si>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</si>
  <si>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</si>
  <si>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</si>
  <si>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</si>
  <si>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</si>
  <si>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</si>
  <si>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</si>
  <si>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</si>
  <si>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</si>
  <si>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</si>
  <si>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</si>
  <si>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</si>
  <si>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</si>
  <si>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</si>
  <si>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</si>
  <si>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</si>
  <si>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</si>
  <si>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</si>
  <si>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</si>
  <si>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</si>
  <si>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</si>
  <si>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</si>
  <si>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</si>
  <si>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</si>
  <si>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</si>
  <si>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</si>
  <si>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</si>
  <si>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</si>
  <si>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</si>
  <si>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</si>
  <si>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</si>
  <si>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</si>
  <si>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</si>
  <si>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</si>
  <si>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</si>
  <si>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</si>
  <si>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</si>
  <si>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</si>
  <si>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</si>
  <si>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</si>
  <si>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</si>
  <si>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</si>
  <si>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</si>
  <si>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</si>
  <si>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</si>
  <si>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</si>
  <si>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</si>
  <si>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</si>
  <si>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</si>
  <si>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</si>
  <si>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</si>
  <si>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</si>
  <si>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</si>
  <si>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</si>
  <si>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</si>
  <si>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</si>
  <si>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</si>
  <si>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</si>
  <si>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</si>
  <si>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</si>
  <si>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</si>
  <si>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</si>
  <si>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</si>
  <si>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</si>
  <si>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</si>
  <si>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</si>
  <si>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</si>
  <si>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</si>
  <si>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</si>
  <si>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</si>
  <si>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</si>
  <si>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</si>
  <si>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</si>
  <si>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</si>
  <si>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</si>
  <si>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</si>
  <si>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</si>
  <si>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</si>
  <si>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</si>
  <si>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</si>
  <si>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</si>
  <si>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</si>
  <si>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</si>
  <si>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</si>
  <si>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</si>
  <si>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</si>
  <si>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</si>
  <si>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</si>
  <si>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</si>
  <si>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</si>
  <si>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</si>
  <si>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</si>
  <si>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</si>
  <si>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</si>
  <si>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</si>
  <si>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</si>
  <si>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</si>
  <si>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</si>
  <si>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</si>
  <si>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</si>
  <si>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</si>
  <si>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</si>
  <si>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</si>
  <si>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</si>
  <si>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</si>
  <si>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</si>
  <si>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</si>
  <si>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</si>
  <si>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</si>
  <si>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</si>
  <si>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</si>
  <si>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</si>
  <si>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</si>
  <si>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</si>
  <si>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</si>
  <si>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</si>
  <si>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</si>
  <si>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</si>
  <si>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</si>
  <si>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</si>
  <si>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</si>
  <si>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</si>
  <si>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</si>
  <si>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</si>
  <si>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</si>
  <si>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</si>
  <si>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</si>
  <si>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</si>
  <si>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</si>
  <si>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</si>
  <si>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</si>
  <si>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</si>
  <si>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</si>
  <si>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</si>
  <si>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</si>
  <si>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</si>
  <si>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</si>
  <si>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</si>
  <si>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</si>
  <si>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</si>
  <si>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</si>
  <si>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</si>
  <si>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</si>
  <si>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</si>
  <si>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</si>
  <si>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</si>
  <si>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</si>
  <si>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</si>
  <si>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</si>
  <si>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</si>
  <si>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</si>
  <si>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</si>
  <si>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</si>
  <si>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</si>
  <si>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</si>
  <si>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</si>
  <si>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</si>
  <si>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</si>
  <si>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</si>
  <si>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</si>
  <si>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</si>
  <si>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</si>
  <si>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</si>
  <si>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</si>
  <si>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</si>
  <si>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</si>
  <si>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</si>
  <si>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</si>
  <si>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</si>
  <si>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</si>
  <si>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</si>
  <si>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</si>
  <si>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</si>
  <si>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</si>
  <si>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</si>
  <si>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</si>
  <si>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</si>
  <si>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</si>
  <si>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</si>
  <si>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</si>
  <si>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</si>
  <si>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</si>
  <si>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</si>
  <si>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</si>
  <si>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</si>
  <si>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</si>
  <si>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</si>
  <si>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</si>
  <si>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</si>
  <si>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</si>
  <si>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</si>
  <si>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</si>
  <si>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</si>
  <si>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</si>
  <si>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</si>
  <si>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</si>
  <si>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</si>
  <si>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</si>
  <si>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</si>
  <si>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</si>
  <si>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</si>
  <si>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</si>
  <si>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</si>
  <si>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</si>
  <si>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</si>
  <si>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</si>
  <si>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</si>
  <si>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</si>
  <si>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</si>
  <si>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</si>
  <si>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</si>
  <si>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</si>
  <si>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</si>
  <si>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</si>
  <si>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</si>
  <si>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</si>
  <si>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</si>
  <si>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</si>
  <si>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</si>
  <si>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</si>
  <si>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</si>
  <si>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</si>
  <si>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</si>
  <si>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</si>
  <si>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</si>
  <si>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</si>
  <si>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</si>
  <si>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</si>
  <si>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</si>
  <si>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</si>
  <si>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</si>
  <si>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</si>
  <si>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</si>
  <si>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</si>
  <si>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</si>
  <si>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</si>
  <si>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</si>
  <si>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</si>
  <si>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</si>
  <si>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</si>
  <si>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</si>
  <si>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</si>
  <si>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</si>
  <si>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</si>
  <si>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</si>
  <si>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</si>
  <si>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</si>
  <si>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</si>
  <si>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</si>
  <si>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</si>
  <si>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</si>
  <si>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</si>
  <si>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</si>
  <si>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</si>
  <si>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</si>
  <si>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</si>
  <si>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</si>
  <si>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</si>
  <si>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</si>
  <si>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</si>
  <si>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</si>
  <si>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</si>
  <si>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</si>
  <si>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</si>
  <si>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</si>
  <si>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</si>
  <si>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</si>
  <si>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</si>
  <si>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</si>
  <si>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</si>
  <si>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</si>
  <si>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</si>
  <si>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</si>
  <si>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</si>
  <si>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</si>
  <si>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</si>
  <si>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</si>
  <si>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</si>
  <si>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</si>
  <si>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</si>
  <si>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</si>
  <si>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</si>
  <si>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</si>
  <si>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</si>
  <si>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</si>
  <si>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</si>
  <si>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</si>
  <si>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</si>
  <si>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</si>
  <si>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</si>
  <si>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</si>
  <si>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</si>
  <si>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</si>
  <si>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</si>
  <si>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</si>
  <si>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</si>
  <si>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</si>
  <si>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</si>
  <si>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</si>
  <si>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</si>
  <si>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</si>
  <si>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</si>
  <si>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</si>
  <si>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</si>
  <si>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</si>
  <si>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</si>
  <si>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</si>
  <si>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</si>
  <si>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</si>
  <si>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</si>
  <si>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</si>
  <si>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</si>
  <si>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</si>
  <si>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</si>
  <si>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</si>
  <si>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</si>
  <si>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</si>
  <si>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</si>
  <si>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</si>
  <si>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</si>
  <si>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</si>
  <si>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</si>
  <si>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</si>
  <si>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</si>
  <si>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</si>
  <si>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</si>
  <si>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</si>
  <si>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</si>
  <si>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</si>
  <si>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</si>
  <si>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</si>
  <si>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</si>
  <si>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</si>
  <si>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</si>
  <si>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</si>
  <si>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</si>
  <si>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</si>
  <si>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</si>
  <si>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</si>
  <si>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</si>
  <si>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</si>
  <si>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</si>
  <si>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</si>
  <si>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</si>
  <si>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</si>
  <si>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</si>
  <si>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</si>
  <si>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</si>
  <si>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</si>
  <si>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</si>
  <si>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</si>
  <si>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</si>
  <si>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</si>
  <si>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</si>
  <si>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</si>
  <si>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</si>
  <si>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</si>
  <si>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</si>
  <si>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</si>
  <si>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</si>
  <si>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</si>
  <si>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</si>
  <si>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</si>
  <si>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</si>
  <si>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</si>
  <si>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</si>
  <si>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</si>
  <si>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</si>
  <si>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</si>
  <si>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</si>
  <si>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</si>
  <si>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</si>
  <si>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</si>
  <si>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</si>
  <si>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</si>
  <si>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</si>
  <si>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</si>
  <si>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</si>
  <si>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</si>
  <si>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</si>
  <si>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</si>
  <si>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</si>
  <si>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</si>
  <si>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</si>
  <si>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</si>
  <si>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</si>
  <si>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</si>
  <si>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</si>
  <si>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</si>
  <si>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</si>
  <si>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</si>
  <si>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</si>
  <si>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</si>
  <si>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</si>
  <si>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</si>
  <si>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</si>
  <si>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</si>
  <si>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</si>
  <si>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</si>
  <si>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</si>
  <si>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</si>
  <si>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</si>
  <si>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</si>
  <si>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</si>
  <si>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</si>
  <si>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</si>
  <si>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</si>
  <si>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</si>
  <si>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</si>
  <si>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</si>
  <si>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</si>
  <si>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</si>
  <si>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</si>
  <si>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</si>
  <si>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</si>
  <si>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</si>
  <si>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</si>
  <si>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</si>
  <si>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</si>
  <si>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</si>
  <si>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</si>
  <si>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</si>
  <si>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</si>
  <si>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</si>
  <si>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</si>
  <si>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</si>
  <si>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</si>
  <si>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</si>
  <si>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</si>
  <si>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</si>
  <si>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</si>
  <si>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</si>
  <si>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</si>
  <si>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</si>
  <si>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</si>
  <si>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</si>
  <si>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</si>
  <si>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</si>
  <si>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</si>
  <si>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</si>
  <si>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</si>
  <si>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</si>
  <si>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</si>
  <si>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</si>
  <si>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</si>
  <si>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</si>
  <si>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</si>
  <si>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</si>
  <si>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</si>
  <si>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</si>
  <si>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</si>
  <si>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</si>
  <si>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</si>
  <si>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</si>
  <si>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</si>
  <si>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</si>
  <si>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</si>
  <si>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</si>
  <si>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</si>
  <si>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</si>
  <si>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</si>
  <si>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</si>
  <si>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</si>
  <si>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</si>
  <si>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</si>
  <si>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</si>
  <si>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</si>
  <si>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</si>
  <si>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</si>
  <si>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</si>
  <si>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</si>
  <si>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</si>
  <si>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</si>
  <si>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</si>
  <si>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</si>
  <si>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</si>
  <si>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</si>
  <si>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</si>
  <si>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</si>
  <si>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</si>
  <si>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</si>
  <si>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</si>
  <si>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</si>
  <si>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</si>
  <si>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</si>
  <si>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</si>
  <si>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</si>
  <si>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</si>
  <si>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</si>
  <si>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</si>
  <si>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</si>
  <si>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</si>
  <si>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</si>
  <si>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</si>
  <si>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</si>
  <si>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</si>
  <si>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</si>
  <si>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</si>
  <si>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</si>
  <si>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</si>
  <si>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</si>
  <si>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</si>
  <si>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</si>
  <si>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</si>
  <si>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</si>
  <si>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</si>
  <si>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</si>
  <si>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</si>
  <si>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</si>
  <si>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</si>
  <si>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</si>
  <si>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</si>
  <si>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</si>
  <si>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</si>
  <si>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</si>
  <si>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</si>
  <si>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</si>
  <si>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</si>
  <si>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</si>
  <si>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</si>
  <si>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</si>
  <si>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</si>
  <si>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</si>
  <si>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</si>
  <si>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</si>
  <si>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</si>
  <si>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</si>
  <si>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</si>
  <si>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</si>
  <si>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</si>
  <si>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</si>
  <si>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</si>
  <si>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</si>
  <si>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</si>
  <si>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</si>
  <si>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</si>
  <si>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</si>
  <si>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</si>
  <si>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</si>
  <si>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</si>
  <si>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</si>
  <si>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</si>
  <si>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</si>
  <si>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</si>
  <si>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</si>
  <si>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</si>
  <si>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</si>
  <si>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</si>
  <si>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</si>
  <si>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</si>
  <si>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</si>
  <si>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</si>
  <si>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</si>
  <si>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</si>
  <si>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</si>
  <si>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</si>
  <si>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</si>
  <si>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</si>
  <si>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</si>
  <si>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</si>
  <si>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</si>
  <si>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</si>
  <si>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</si>
  <si>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</si>
  <si>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</si>
  <si>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</si>
  <si>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</si>
  <si>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</si>
  <si>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</si>
  <si>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</si>
  <si>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</si>
  <si>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</si>
  <si>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</si>
  <si>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</si>
  <si>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</si>
  <si>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</si>
  <si>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</si>
  <si>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</si>
  <si>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</si>
  <si>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</si>
  <si>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</si>
  <si>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</si>
  <si>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</si>
  <si>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</si>
  <si>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</si>
  <si>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</si>
  <si>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</si>
  <si>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</si>
  <si>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</si>
  <si>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</si>
  <si>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</si>
  <si>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</si>
  <si>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</si>
  <si>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</si>
  <si>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</si>
  <si>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</si>
  <si>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</si>
  <si>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</si>
  <si>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</si>
  <si>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</si>
  <si>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</si>
  <si>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</si>
  <si>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</si>
  <si>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</si>
  <si>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</si>
  <si>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</si>
  <si>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</si>
  <si>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</si>
  <si>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</si>
  <si>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</si>
  <si>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</si>
  <si>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</si>
  <si>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</si>
  <si>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</si>
  <si>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</si>
  <si>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</si>
  <si>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</si>
  <si>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</si>
  <si>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</si>
  <si>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</si>
  <si>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</si>
  <si>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</si>
  <si>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</si>
  <si>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</si>
  <si>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</si>
  <si>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</si>
  <si>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</si>
  <si>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</si>
  <si>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</si>
  <si>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</si>
  <si>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</si>
  <si>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</si>
  <si>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</si>
  <si>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</si>
  <si>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</si>
  <si>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</si>
  <si>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</si>
  <si>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</si>
  <si>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</si>
  <si>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</si>
  <si>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</si>
  <si>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</si>
  <si>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</si>
  <si>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</si>
  <si>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</si>
  <si>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</si>
  <si>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</si>
  <si>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</si>
  <si>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</si>
  <si>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</si>
  <si>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</si>
  <si>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</si>
  <si>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</si>
  <si>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</si>
  <si>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</si>
  <si>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</si>
  <si>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</si>
  <si>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</si>
  <si>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</si>
  <si>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</si>
  <si>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</si>
  <si>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</si>
  <si>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</si>
  <si>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</si>
  <si>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</si>
  <si>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</si>
  <si>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</si>
  <si>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</si>
  <si>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</si>
  <si>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</si>
  <si>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</si>
  <si>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</si>
  <si>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</si>
  <si>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</si>
  <si>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</si>
  <si>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</si>
  <si>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</si>
  <si>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</si>
  <si>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</si>
  <si>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</si>
  <si>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</si>
  <si>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</si>
  <si>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</si>
  <si>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</si>
  <si>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</si>
  <si>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</si>
  <si>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</si>
  <si>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</si>
  <si>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</si>
  <si>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</si>
  <si>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</si>
  <si>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</si>
  <si>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</si>
  <si>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</si>
  <si>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</si>
  <si>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</si>
  <si>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</si>
  <si>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</si>
  <si>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</si>
  <si>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</si>
  <si>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</si>
  <si>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</si>
  <si>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</si>
  <si>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</si>
  <si>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</si>
  <si>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</si>
  <si>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</si>
  <si>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</si>
  <si>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</si>
  <si>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</si>
  <si>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</si>
  <si>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</si>
  <si>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</si>
  <si>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</si>
  <si>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</si>
  <si>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</si>
  <si>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</si>
  <si>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</si>
  <si>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</si>
  <si>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</si>
  <si>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</si>
  <si>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</si>
  <si>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</si>
  <si>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</si>
  <si>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</si>
  <si>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</si>
  <si>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</si>
  <si>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</si>
  <si>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</si>
  <si>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</si>
  <si>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</si>
  <si>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</si>
  <si>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</si>
  <si>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</si>
  <si>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</si>
  <si>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</si>
  <si>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</si>
  <si>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</si>
  <si>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</si>
  <si>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</si>
  <si>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</si>
  <si>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</si>
  <si>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</si>
  <si>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</si>
  <si>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</si>
  <si>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</si>
  <si>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</si>
  <si>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</si>
  <si>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</si>
  <si>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</si>
  <si>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</si>
  <si>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</si>
  <si>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</si>
  <si>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</si>
  <si>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</si>
  <si>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</si>
  <si>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</si>
  <si>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</si>
  <si>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</si>
  <si>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</si>
  <si>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</si>
  <si>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</si>
  <si>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</si>
  <si>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</si>
  <si>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</si>
  <si>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</si>
  <si>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</si>
  <si>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</si>
  <si>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</si>
  <si>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</si>
  <si>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</si>
  <si>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</si>
  <si>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</si>
  <si>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</si>
  <si>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</si>
  <si>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</si>
  <si>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</si>
  <si>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</si>
  <si>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</si>
  <si>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企业</t>
  </si>
  <si>
    <t>划拨</t>
  </si>
  <si>
    <t>核定资产</t>
  </si>
  <si>
    <t>市场价格</t>
  </si>
  <si>
    <t>是</t>
  </si>
  <si>
    <t>地上</t>
  </si>
  <si>
    <t>仓储</t>
    <phoneticPr fontId="7" type="noConversion"/>
  </si>
  <si>
    <t>自定义容积率</t>
  </si>
  <si>
    <t>与级别开发程度不一致</t>
  </si>
  <si>
    <t>一般</t>
  </si>
  <si>
    <t>较差</t>
  </si>
  <si>
    <t>成新度</t>
  </si>
  <si>
    <t>红军营东路17号院</t>
    <phoneticPr fontId="3" type="noConversion"/>
  </si>
  <si>
    <t>双合盛</t>
    <phoneticPr fontId="3" type="noConversion"/>
  </si>
  <si>
    <t>南法信</t>
    <phoneticPr fontId="3" type="noConversion"/>
  </si>
  <si>
    <t>南四环中路</t>
    <phoneticPr fontId="3" type="noConversion"/>
  </si>
  <si>
    <t>正常</t>
  </si>
  <si>
    <t>七通</t>
  </si>
  <si>
    <t>较好</t>
  </si>
  <si>
    <t>七通一平</t>
  </si>
  <si>
    <t>七通一平</t>
    <phoneticPr fontId="28" type="noConversion"/>
  </si>
  <si>
    <t>六通一平</t>
    <phoneticPr fontId="28" type="noConversion"/>
  </si>
  <si>
    <t>五通一平</t>
    <phoneticPr fontId="28" type="noConversion"/>
  </si>
  <si>
    <t>四通一平</t>
  </si>
  <si>
    <t>四通一平</t>
    <phoneticPr fontId="28" type="noConversion"/>
  </si>
  <si>
    <t>较规则</t>
    <phoneticPr fontId="28" type="noConversion"/>
  </si>
  <si>
    <t>较不规则</t>
    <phoneticPr fontId="28" type="noConversion"/>
  </si>
  <si>
    <t>序号</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</si>
  <si>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</si>
  <si>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</si>
  <si>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</si>
  <si>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</si>
  <si>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</si>
  <si>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总用地面积</t>
    <phoneticPr fontId="224" type="noConversion"/>
  </si>
  <si>
    <t>建设用地面积</t>
    <phoneticPr fontId="224" type="noConversion"/>
  </si>
  <si>
    <t>征地补偿及相关税费</t>
  </si>
  <si>
    <t>收购补偿费、房屋征收（拆迁）补偿费及相关费用</t>
  </si>
  <si>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</si>
  <si>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</si>
  <si>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</si>
  <si>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</si>
  <si>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</si>
  <si>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</si>
  <si>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</si>
  <si>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比较法-工业</t>
  </si>
  <si>
    <t>成本逼近法</t>
  </si>
  <si>
    <t>评估结果一览表</t>
    <phoneticPr fontId="224" type="noConversion"/>
  </si>
  <si>
    <t>项目名称</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</si>
  <si>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</si>
  <si>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</si>
  <si>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</si>
  <si>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</si>
  <si>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</si>
  <si>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</si>
  <si>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</si>
  <si>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</si>
  <si>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单价（元/平方米）</t>
    <phoneticPr fontId="224" type="noConversion"/>
  </si>
  <si>
    <t>亩</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</si>
</sst>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cellStyleXfs>
  <cellXfs count="40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67" fillId="5" borderId="42"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0" fontId="67" fillId="0" borderId="55" xfId="16" applyNumberFormat="1" applyFont="1" applyFill="1" applyBorder="1" applyAlignment="1" applyProtection="1">
      <alignment horizontal="center" vertical="center" wrapText="1"/>
      <protection locked="0"/>
    </xf>
    <xf numFmtId="10" fontId="67" fillId="0" borderId="55" xfId="16" applyNumberFormat="1" applyFont="1" applyFill="1" applyBorder="1" applyAlignment="1" applyProtection="1">
      <alignment horizontal="center" vertical="center" wrapText="1"/>
    </xf>
    <xf numFmtId="0" fontId="250" fillId="0" borderId="2" xfId="18" applyNumberFormat="1" applyFont="1" applyBorder="1" applyAlignment="1">
      <alignment horizontal="center" vertical="center" wrapText="1"/>
    </xf>
    <xf numFmtId="0" fontId="141" fillId="0" borderId="2" xfId="18" applyNumberFormat="1" applyFont="1" applyBorder="1" applyAlignment="1">
      <alignment horizontal="center" vertical="center" wrapText="1"/>
    </xf>
    <xf numFmtId="0" fontId="250" fillId="0" borderId="2" xfId="18" applyNumberFormat="1" applyBorder="1" applyAlignment="1">
      <alignment horizontal="center"/>
    </xf>
    <xf numFmtId="0" fontId="250" fillId="0" borderId="2" xfId="18" applyNumberFormat="1" applyFont="1" applyBorder="1" applyAlignment="1">
      <alignment horizontal="center"/>
    </xf>
    <xf numFmtId="14" fontId="250" fillId="0" borderId="2" xfId="18" applyNumberFormat="1" applyBorder="1" applyAlignment="1">
      <alignment horizontal="center"/>
    </xf>
    <xf numFmtId="186" fontId="109"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141" fillId="0" borderId="2" xfId="1" applyNumberFormat="1" applyBorder="1" applyAlignment="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2" fillId="24" borderId="2" xfId="1" applyFont="1" applyFill="1" applyBorder="1" applyAlignment="1">
      <alignment horizontal="center" vertical="center"/>
    </xf>
    <xf numFmtId="0" fontId="141" fillId="0" borderId="2" xfId="1" applyNumberFormat="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5"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10" xfId="18" applyNumberFormat="1" applyFont="1" applyBorder="1" applyAlignment="1">
      <alignment horizontal="center" vertical="center"/>
    </xf>
    <xf numFmtId="0" fontId="141" fillId="0" borderId="21" xfId="18" applyNumberFormat="1" applyFont="1" applyBorder="1" applyAlignment="1">
      <alignment horizontal="center" vertical="center"/>
    </xf>
    <xf numFmtId="0" fontId="141" fillId="0" borderId="5" xfId="18" applyNumberFormat="1" applyFont="1" applyBorder="1" applyAlignment="1">
      <alignment horizontal="center" vertical="center"/>
    </xf>
    <xf numFmtId="0" fontId="141" fillId="0" borderId="9" xfId="18" applyNumberFormat="1" applyFont="1" applyBorder="1" applyAlignment="1">
      <alignment horizontal="center" vertical="center"/>
    </xf>
    <xf numFmtId="0" fontId="250" fillId="0" borderId="5" xfId="18" applyNumberFormat="1" applyBorder="1" applyAlignment="1">
      <alignment horizontal="center" vertical="center"/>
    </xf>
    <xf numFmtId="0" fontId="250" fillId="0" borderId="9" xfId="18" applyNumberFormat="1" applyBorder="1" applyAlignment="1">
      <alignment horizontal="center" vertical="center"/>
    </xf>
    <xf numFmtId="0" fontId="141" fillId="0" borderId="10" xfId="18" applyNumberFormat="1" applyFont="1" applyBorder="1" applyAlignment="1">
      <alignment horizontal="center" vertical="center" wrapText="1"/>
    </xf>
    <xf numFmtId="0" fontId="141" fillId="0" borderId="21" xfId="18" applyNumberFormat="1" applyFont="1" applyBorder="1" applyAlignment="1">
      <alignment horizontal="center" vertical="center" wrapText="1"/>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66057</xdr:colOff>
      <xdr:row>16</xdr:row>
      <xdr:rowOff>131063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4942857" cy="3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红军营"/>
      <sheetName val="树木"/>
    </sheetNames>
    <sheetDataSet>
      <sheetData sheetId="0"/>
      <sheetData sheetId="1"/>
      <sheetData sheetId="2"/>
      <sheetData sheetId="3"/>
      <sheetData sheetId="4"/>
      <sheetData sheetId="5"/>
      <sheetData sheetId="6"/>
      <sheetData sheetId="7"/>
      <sheetData sheetId="8"/>
      <sheetData sheetId="9">
        <row r="13">
          <cell r="G13">
            <v>115320</v>
          </cell>
        </row>
      </sheetData>
      <sheetData sheetId="1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13878.77平方米。根据《建设工程规划许可证》[]、《出让合同》[]，估价对象规划建筑面积为1993.1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2025年7月1日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根据《国有土地使用证》[]，估价对象（分摊）出让国有建设用地使用权面积为13878.77平方米。根据《建设工程规划许可证》[]、《出让合同》[]，估价对象规划建筑面积为1993.1平方米。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估价期日：2025年7月1日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13878.77</v>
      </c>
    </row>
    <row r="44" spans="1:2">
      <c r="A44" s="2357" t="s">
        <v>2022</v>
      </c>
      <c r="B44" s="2358" t="str">
        <f>'预评函-2'!O3</f>
        <v>规划建筑面积/㎡</v>
      </c>
    </row>
    <row r="45" spans="1:2">
      <c r="A45" s="2357" t="s">
        <v>2004</v>
      </c>
      <c r="B45" s="2358">
        <f>'预评函-2'!O5</f>
        <v>1993.1</v>
      </c>
    </row>
    <row r="46" spans="1:2">
      <c r="A46" s="2357" t="s">
        <v>2005</v>
      </c>
      <c r="B46" s="2358">
        <f ca="1">'预评函-2'!P5</f>
        <v>7670</v>
      </c>
    </row>
    <row r="47" spans="1:2">
      <c r="A47" s="2357" t="s">
        <v>2006</v>
      </c>
      <c r="B47" s="2358">
        <f ca="1">'预评函-2'!Q5</f>
        <v>53409</v>
      </c>
    </row>
    <row r="48" spans="1:2">
      <c r="A48" s="2357" t="s">
        <v>2007</v>
      </c>
      <c r="B48" s="2358">
        <f ca="1">'预评函-2'!R5</f>
        <v>10645</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5"/>
    <col min="9" max="18" width="9.6640625" style="3285" customWidth="1"/>
    <col min="19" max="16384" width="15.21875" style="3285"/>
  </cols>
  <sheetData>
    <row r="1" spans="1:18">
      <c r="A1" s="3282" t="s">
        <v>2673</v>
      </c>
      <c r="B1" s="3283"/>
      <c r="C1" s="3283"/>
      <c r="D1" s="3283"/>
      <c r="E1" s="3283"/>
      <c r="F1" s="3284"/>
      <c r="I1" s="3304" t="s">
        <v>3284</v>
      </c>
      <c r="J1" s="3671"/>
      <c r="K1" s="3671"/>
      <c r="L1" s="3671"/>
      <c r="M1" s="3671"/>
      <c r="N1" s="3672"/>
      <c r="O1" s="3672"/>
      <c r="P1" s="3672"/>
      <c r="Q1" s="3672"/>
      <c r="R1" s="3672"/>
    </row>
    <row r="2" spans="1:18">
      <c r="A2" s="3286"/>
      <c r="B2" s="3287"/>
      <c r="C2" s="3287"/>
      <c r="D2" s="3287"/>
      <c r="E2" s="3287"/>
      <c r="F2" s="3288"/>
      <c r="I2" s="3743" t="s">
        <v>3285</v>
      </c>
      <c r="J2" s="3743"/>
      <c r="K2" s="3743"/>
      <c r="L2" s="3743"/>
      <c r="M2" s="3743"/>
      <c r="N2" s="3743"/>
      <c r="O2" s="3743"/>
      <c r="P2" s="3743"/>
      <c r="Q2" s="3743"/>
      <c r="R2" s="3743"/>
    </row>
    <row r="3" spans="1:18">
      <c r="A3" s="3289" t="s">
        <v>2674</v>
      </c>
      <c r="B3" s="3290">
        <f>项目基本情况!D3</f>
        <v>45839</v>
      </c>
      <c r="C3" s="3291"/>
      <c r="D3" s="3291"/>
      <c r="E3" s="3291"/>
      <c r="F3" s="3288"/>
      <c r="I3" s="3673"/>
      <c r="J3" s="3673" t="s">
        <v>3286</v>
      </c>
      <c r="K3" s="3673" t="s">
        <v>3287</v>
      </c>
      <c r="L3" s="3673" t="s">
        <v>3288</v>
      </c>
      <c r="M3" s="3673" t="s">
        <v>3289</v>
      </c>
      <c r="N3" s="3666" t="s">
        <v>3290</v>
      </c>
      <c r="O3" s="3666" t="s">
        <v>3291</v>
      </c>
      <c r="P3" s="3666" t="s">
        <v>3292</v>
      </c>
      <c r="Q3" s="3666" t="s">
        <v>3293</v>
      </c>
      <c r="R3" s="3666" t="s">
        <v>3282</v>
      </c>
    </row>
    <row r="4" spans="1:18">
      <c r="A4" s="3289" t="s">
        <v>2675</v>
      </c>
      <c r="B4" s="3292" t="s">
        <v>2676</v>
      </c>
      <c r="C4" s="3292" t="s">
        <v>2677</v>
      </c>
      <c r="D4" s="3292" t="s">
        <v>2678</v>
      </c>
      <c r="E4" s="3292" t="s">
        <v>2679</v>
      </c>
      <c r="F4" s="3288"/>
      <c r="I4" s="3673" t="s">
        <v>3294</v>
      </c>
      <c r="J4" s="3673">
        <v>80</v>
      </c>
      <c r="K4" s="3673">
        <v>70</v>
      </c>
      <c r="L4" s="3673">
        <v>20</v>
      </c>
      <c r="M4" s="3673">
        <v>30</v>
      </c>
      <c r="N4" s="3292">
        <v>45</v>
      </c>
      <c r="O4" s="3292">
        <v>60</v>
      </c>
      <c r="P4" s="3292">
        <v>50</v>
      </c>
      <c r="Q4" s="3292">
        <v>20</v>
      </c>
      <c r="R4" s="3292">
        <v>375</v>
      </c>
    </row>
    <row r="5" spans="1:18">
      <c r="A5" s="3293"/>
      <c r="B5" s="3290"/>
      <c r="C5" s="3292">
        <f>ROUNDDOWN(MIN((B5-B3)/365,A5),2)</f>
        <v>-125.58</v>
      </c>
      <c r="D5" s="3294">
        <f>IF(ISERROR(ROUND(POWER(1+E5,A5-C5)*(POWER(1+E5,C5)-1)/(POWER(1+E5,A5)-1),3)),0,ROUND(POWER(1+E5,A5-C5)*(POWER(1+E5,C5)-1)/(POWER(1+E5,A5)-1),4))</f>
        <v>0</v>
      </c>
      <c r="E5" s="3295"/>
      <c r="F5" s="3288"/>
      <c r="I5" s="3673" t="s">
        <v>3295</v>
      </c>
      <c r="J5" s="3673">
        <v>70</v>
      </c>
      <c r="K5" s="3673">
        <v>60</v>
      </c>
      <c r="L5" s="3673">
        <v>15</v>
      </c>
      <c r="M5" s="3673">
        <v>25</v>
      </c>
      <c r="N5" s="3292">
        <v>40</v>
      </c>
      <c r="O5" s="3292">
        <v>50</v>
      </c>
      <c r="P5" s="3292">
        <v>40</v>
      </c>
      <c r="Q5" s="3292">
        <v>15</v>
      </c>
      <c r="R5" s="3292">
        <v>315</v>
      </c>
    </row>
    <row r="6" spans="1:18">
      <c r="A6" s="3293"/>
      <c r="B6" s="3290"/>
      <c r="C6" s="3292">
        <f>ROUNDDOWN(MIN((B6-B3)/365,A6),2)</f>
        <v>-125.58</v>
      </c>
      <c r="D6" s="3294">
        <f>IF(ISERROR(ROUND(POWER(1+E6,A6-C6)*(POWER(1+E6,C6)-1)/(POWER(1+E6,A6)-1),3)),0,ROUND(POWER(1+E6,A6-C6)*(POWER(1+E6,C6)-1)/(POWER(1+E6,A6)-1),4))</f>
        <v>0</v>
      </c>
      <c r="E6" s="3295"/>
      <c r="F6" s="3288"/>
      <c r="I6" s="3673" t="s">
        <v>3296</v>
      </c>
      <c r="J6" s="3673">
        <v>60</v>
      </c>
      <c r="K6" s="3673">
        <v>50</v>
      </c>
      <c r="L6" s="3673">
        <v>10</v>
      </c>
      <c r="M6" s="3673">
        <v>20</v>
      </c>
      <c r="N6" s="3292">
        <v>35</v>
      </c>
      <c r="O6" s="3292">
        <v>40</v>
      </c>
      <c r="P6" s="3292">
        <v>30</v>
      </c>
      <c r="Q6" s="3292">
        <v>10</v>
      </c>
      <c r="R6" s="3292">
        <v>255</v>
      </c>
    </row>
    <row r="7" spans="1:18">
      <c r="A7" s="3293"/>
      <c r="B7" s="3290"/>
      <c r="C7" s="3292">
        <f>ROUNDDOWN(MIN((B7-B3)/365,A7),2)</f>
        <v>-125.58</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5" thickBot="1">
      <c r="A18" s="3300" t="s">
        <v>2689</v>
      </c>
      <c r="B18" s="3301" t="e">
        <f>ROUND(B17*F11/F12,2)</f>
        <v>#DIV/0!</v>
      </c>
      <c r="C18" s="3301" t="e">
        <f>ROUND(F11/F12,4)</f>
        <v>#DIV/0!</v>
      </c>
      <c r="D18" s="3302"/>
      <c r="E18" s="3302"/>
      <c r="F18" s="3303"/>
    </row>
    <row r="19" spans="1:14" ht="15" thickBot="1"/>
    <row r="20" spans="1:14" ht="15" thickTop="1">
      <c r="A20" s="3304" t="s">
        <v>2692</v>
      </c>
      <c r="B20" s="3305"/>
      <c r="C20" s="3305"/>
      <c r="D20" s="3305"/>
      <c r="E20" s="3305"/>
      <c r="F20" s="3305"/>
      <c r="G20" s="3306"/>
      <c r="I20" s="3674" t="s">
        <v>3297</v>
      </c>
      <c r="J20" s="3674" t="s">
        <v>3298</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3299</v>
      </c>
      <c r="M23" s="3676"/>
      <c r="N23" s="3677" t="s">
        <v>3300</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3301</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3302</v>
      </c>
      <c r="M25" s="3676"/>
      <c r="N25" s="3677">
        <v>8</v>
      </c>
    </row>
    <row r="26" spans="1:14">
      <c r="A26" s="3313"/>
      <c r="B26" s="3314"/>
      <c r="C26" s="3314"/>
      <c r="D26" s="3314"/>
      <c r="E26" s="3314"/>
      <c r="F26" s="3314"/>
      <c r="G26" s="3315"/>
      <c r="I26" s="3676">
        <v>30</v>
      </c>
      <c r="J26" s="3676">
        <v>90.5</v>
      </c>
      <c r="K26" s="3676">
        <f t="shared" si="0"/>
        <v>4.2000000000000028</v>
      </c>
      <c r="L26" s="3676" t="s">
        <v>3303</v>
      </c>
      <c r="M26" s="3676"/>
      <c r="N26" s="3677">
        <v>5</v>
      </c>
    </row>
    <row r="27" spans="1:14">
      <c r="A27" s="3316" t="s">
        <v>2703</v>
      </c>
      <c r="B27" s="3317"/>
      <c r="C27" s="3317"/>
      <c r="D27" s="3317"/>
      <c r="E27" s="3317"/>
      <c r="F27" s="3317"/>
      <c r="G27" s="3318"/>
      <c r="I27" s="3676">
        <v>35</v>
      </c>
      <c r="J27" s="3676">
        <v>93.8</v>
      </c>
      <c r="K27" s="3676">
        <f t="shared" si="0"/>
        <v>3.2999999999999972</v>
      </c>
      <c r="L27" s="3676" t="s">
        <v>3304</v>
      </c>
      <c r="M27" s="3676"/>
      <c r="N27" s="3677">
        <v>3</v>
      </c>
    </row>
    <row r="28" spans="1:14">
      <c r="A28" s="3316" t="s">
        <v>2704</v>
      </c>
      <c r="B28" s="3317"/>
      <c r="C28" s="3317"/>
      <c r="D28" s="3317"/>
      <c r="E28" s="3317"/>
      <c r="F28" s="3317"/>
      <c r="G28" s="3318"/>
      <c r="I28" s="3676">
        <v>40</v>
      </c>
      <c r="J28" s="3676">
        <v>96.4</v>
      </c>
      <c r="K28" s="3676">
        <f t="shared" si="0"/>
        <v>2.6000000000000085</v>
      </c>
      <c r="L28" s="3676" t="s">
        <v>3305</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3306</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3297</v>
      </c>
      <c r="J33" s="3676" t="s">
        <v>3307</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3299</v>
      </c>
      <c r="M36" s="3676"/>
      <c r="N36" s="3677" t="s">
        <v>3300</v>
      </c>
    </row>
    <row r="37" spans="1:14">
      <c r="A37" s="3316" t="s">
        <v>2713</v>
      </c>
      <c r="B37" s="3317"/>
      <c r="C37" s="3317"/>
      <c r="D37" s="3317"/>
      <c r="E37" s="3317"/>
      <c r="F37" s="3317"/>
      <c r="G37" s="3318"/>
      <c r="I37" s="3676">
        <v>20</v>
      </c>
      <c r="J37" s="3676">
        <v>83.6</v>
      </c>
      <c r="K37" s="3676">
        <f t="shared" si="1"/>
        <v>7.2999999999999972</v>
      </c>
      <c r="L37" s="3676" t="s">
        <v>3301</v>
      </c>
      <c r="M37" s="3676"/>
      <c r="N37" s="3677">
        <v>10</v>
      </c>
    </row>
    <row r="38" spans="1:14">
      <c r="A38" s="3316" t="s">
        <v>2714</v>
      </c>
      <c r="B38" s="3317"/>
      <c r="C38" s="3317"/>
      <c r="D38" s="3317"/>
      <c r="E38" s="3317"/>
      <c r="F38" s="3317"/>
      <c r="G38" s="3318"/>
      <c r="I38" s="3676">
        <v>25</v>
      </c>
      <c r="J38" s="3676">
        <v>89.3</v>
      </c>
      <c r="K38" s="3676">
        <f t="shared" si="1"/>
        <v>5.7000000000000028</v>
      </c>
      <c r="L38" s="3676" t="s">
        <v>3302</v>
      </c>
      <c r="M38" s="3676"/>
      <c r="N38" s="3677">
        <v>8</v>
      </c>
    </row>
    <row r="39" spans="1:14">
      <c r="A39" s="3316"/>
      <c r="B39" s="3317"/>
      <c r="C39" s="3317"/>
      <c r="D39" s="3317"/>
      <c r="E39" s="3317"/>
      <c r="F39" s="3317"/>
      <c r="G39" s="3318"/>
      <c r="I39" s="3676">
        <v>30</v>
      </c>
      <c r="J39" s="3676">
        <v>93.8</v>
      </c>
      <c r="K39" s="3676">
        <f t="shared" si="1"/>
        <v>4.5</v>
      </c>
      <c r="L39" s="3676" t="s">
        <v>3303</v>
      </c>
      <c r="M39" s="3676"/>
      <c r="N39" s="3677">
        <v>6</v>
      </c>
    </row>
    <row r="40" spans="1:14">
      <c r="A40" s="3319" t="s">
        <v>2715</v>
      </c>
      <c r="B40" s="3320"/>
      <c r="C40" s="3320"/>
      <c r="D40" s="3320"/>
      <c r="E40" s="3320"/>
      <c r="F40" s="3320"/>
      <c r="G40" s="3321"/>
      <c r="I40" s="3676">
        <v>35</v>
      </c>
      <c r="J40" s="3676">
        <v>97.2</v>
      </c>
      <c r="K40" s="3676">
        <f t="shared" si="1"/>
        <v>3.4000000000000057</v>
      </c>
      <c r="L40" s="3676" t="s">
        <v>3304</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3297</v>
      </c>
      <c r="J43" s="3676" t="s">
        <v>3308</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3283</v>
      </c>
    </row>
    <row r="50" spans="1:4">
      <c r="A50" s="3666" t="s">
        <v>3273</v>
      </c>
      <c r="B50" s="3666" t="s">
        <v>3270</v>
      </c>
      <c r="C50" s="3666" t="s">
        <v>3271</v>
      </c>
      <c r="D50" s="3666" t="s">
        <v>3272</v>
      </c>
    </row>
    <row r="51" spans="1:4">
      <c r="A51" s="3666" t="s">
        <v>3274</v>
      </c>
      <c r="B51" s="3292">
        <f>B52+B53</f>
        <v>15000</v>
      </c>
      <c r="C51" s="3668">
        <f>D51/B51</f>
        <v>2666.6666666666665</v>
      </c>
      <c r="D51" s="3292">
        <f>D52+D53</f>
        <v>40000000</v>
      </c>
    </row>
    <row r="52" spans="1:4">
      <c r="A52" s="3667" t="s">
        <v>3275</v>
      </c>
      <c r="B52" s="3663">
        <v>10000</v>
      </c>
      <c r="C52" s="3663">
        <v>1500</v>
      </c>
      <c r="D52" s="3669">
        <f>C52*B52</f>
        <v>15000000</v>
      </c>
    </row>
    <row r="53" spans="1:4">
      <c r="A53" s="3667" t="s">
        <v>3276</v>
      </c>
      <c r="B53" s="3663">
        <v>5000</v>
      </c>
      <c r="C53" s="3663">
        <v>5000</v>
      </c>
      <c r="D53" s="3669">
        <f>C53*B53</f>
        <v>25000000</v>
      </c>
    </row>
    <row r="54" spans="1:4">
      <c r="A54" s="3666" t="s">
        <v>3277</v>
      </c>
      <c r="B54" s="3292">
        <f>B51</f>
        <v>15000</v>
      </c>
      <c r="C54" s="3298">
        <v>700</v>
      </c>
      <c r="D54" s="3292">
        <f t="shared" ref="D54:D55" si="3">C54*B54</f>
        <v>10500000</v>
      </c>
    </row>
    <row r="55" spans="1:4">
      <c r="A55" s="3666" t="s">
        <v>3278</v>
      </c>
      <c r="B55" s="3292">
        <f>B51</f>
        <v>15000</v>
      </c>
      <c r="C55" s="3298">
        <v>1500</v>
      </c>
      <c r="D55" s="3292">
        <f t="shared" si="3"/>
        <v>22500000</v>
      </c>
    </row>
    <row r="56" spans="1:4">
      <c r="A56" s="3666" t="s">
        <v>3279</v>
      </c>
      <c r="B56" s="3292">
        <f>B51</f>
        <v>15000</v>
      </c>
      <c r="C56" s="3670">
        <f>C51+C54+C55</f>
        <v>4866.6666666666661</v>
      </c>
      <c r="D56" s="3292">
        <f>D51+D54+D55</f>
        <v>73000000</v>
      </c>
    </row>
    <row r="58" spans="1:4">
      <c r="A58" s="3666" t="s">
        <v>3280</v>
      </c>
      <c r="B58" s="3664">
        <v>0.05</v>
      </c>
      <c r="C58" s="3292">
        <f>C56*(1+B58)</f>
        <v>5110</v>
      </c>
      <c r="D58" s="3292">
        <f>D56*B58</f>
        <v>3650000</v>
      </c>
    </row>
    <row r="60" spans="1:4">
      <c r="A60" s="3666" t="s">
        <v>3281</v>
      </c>
      <c r="B60" s="3298">
        <v>3500</v>
      </c>
      <c r="C60" s="3298">
        <f>C53</f>
        <v>5000</v>
      </c>
      <c r="D60" s="3292">
        <f>C60*B60</f>
        <v>17500000</v>
      </c>
    </row>
    <row r="62" spans="1:4">
      <c r="A62" s="3666" t="s">
        <v>3282</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7" sqref="H27"/>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46" t="str">
        <f>IF(B10="北京市","北京市",C10)&amp;F10&amp;A17&amp;"国有建设用地使用权"&amp;B9&amp;"预评估"</f>
        <v>北京市划拨国有建设用地使用权市场价格预评估</v>
      </c>
      <c r="C1" s="3747"/>
      <c r="D1" s="3747"/>
      <c r="E1" s="3747"/>
      <c r="F1" s="3747"/>
      <c r="G1" s="3747"/>
      <c r="H1" s="3747"/>
      <c r="I1" s="3748"/>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v>45929</v>
      </c>
      <c r="C3" s="2739" t="s">
        <v>1513</v>
      </c>
      <c r="D3" s="1465">
        <v>45839</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3329</v>
      </c>
      <c r="C8" s="1474"/>
      <c r="D8" s="3752"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3330</v>
      </c>
      <c r="C9" s="1477"/>
      <c r="D9" s="3753"/>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3327</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49"/>
      <c r="C12" s="3750"/>
      <c r="D12" s="3751"/>
      <c r="E12" s="1494" t="s">
        <v>1579</v>
      </c>
      <c r="F12" s="3767" t="s">
        <v>2163</v>
      </c>
      <c r="G12" s="3768"/>
      <c r="H12" s="3768"/>
      <c r="I12" s="3769"/>
      <c r="J12" s="2816"/>
      <c r="K12" s="2799"/>
      <c r="L12" s="2795"/>
      <c r="M12" s="2795"/>
      <c r="N12" s="2796"/>
      <c r="O12" s="2797"/>
      <c r="P12" s="2796"/>
      <c r="Q12" s="2796"/>
      <c r="R12" s="2796"/>
      <c r="S12" s="2796"/>
      <c r="T12" s="2796"/>
      <c r="U12" s="2796"/>
    </row>
    <row r="13" spans="1:21">
      <c r="A13" s="1485" t="s">
        <v>1577</v>
      </c>
      <c r="B13" s="3749"/>
      <c r="C13" s="3750"/>
      <c r="D13" s="3751"/>
      <c r="E13" s="1494" t="s">
        <v>1579</v>
      </c>
      <c r="F13" s="3767" t="s">
        <v>2164</v>
      </c>
      <c r="G13" s="3768"/>
      <c r="H13" s="3768"/>
      <c r="I13" s="3769"/>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1"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3328</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v>50</v>
      </c>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50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64"/>
      <c r="E20" s="3765"/>
      <c r="F20" s="3765"/>
      <c r="G20" s="3765"/>
      <c r="H20" s="3765"/>
      <c r="I20" s="3766"/>
      <c r="J20" s="2816"/>
      <c r="K20" s="2799"/>
      <c r="L20" s="2795"/>
      <c r="M20" s="2795"/>
      <c r="N20" s="2796"/>
      <c r="O20" s="2797"/>
      <c r="P20" s="2796"/>
      <c r="Q20" s="2796"/>
      <c r="R20" s="2796"/>
      <c r="S20" s="2796"/>
      <c r="T20" s="2796"/>
      <c r="U20" s="2796"/>
    </row>
    <row r="21" spans="1:21">
      <c r="A21" s="1552" t="s">
        <v>1476</v>
      </c>
      <c r="B21" s="1553" t="s">
        <v>1477</v>
      </c>
      <c r="C21" s="1548">
        <f>'数据-汇总表'!E3</f>
        <v>1993.1</v>
      </c>
      <c r="D21" s="1549" t="s">
        <v>1478</v>
      </c>
      <c r="E21" s="3754" t="s">
        <v>1516</v>
      </c>
      <c r="F21" s="3755"/>
      <c r="G21" s="3755"/>
      <c r="H21" s="3755"/>
      <c r="I21" s="3756"/>
      <c r="J21" s="2816"/>
      <c r="K21" s="2799"/>
      <c r="L21" s="2795"/>
      <c r="M21" s="2795"/>
      <c r="N21" s="2796"/>
      <c r="O21" s="2797"/>
      <c r="P21" s="2796"/>
      <c r="Q21" s="2796"/>
      <c r="R21" s="2796"/>
      <c r="S21" s="2796"/>
      <c r="T21" s="2796"/>
      <c r="U21" s="2796"/>
    </row>
    <row r="22" spans="1:21">
      <c r="A22" s="2556" t="s">
        <v>877</v>
      </c>
      <c r="B22" s="1464" t="s">
        <v>1479</v>
      </c>
      <c r="C22" s="1484">
        <f>'数据-汇总表'!D3</f>
        <v>13878.77</v>
      </c>
      <c r="D22" s="1485" t="s">
        <v>1478</v>
      </c>
      <c r="E22" s="3754" t="s">
        <v>2165</v>
      </c>
      <c r="F22" s="3755"/>
      <c r="G22" s="3755"/>
      <c r="H22" s="3755"/>
      <c r="I22" s="3756"/>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57" t="s">
        <v>1484</v>
      </c>
      <c r="C24" s="3758"/>
      <c r="D24" s="3759" t="s">
        <v>1485</v>
      </c>
      <c r="E24" s="3760"/>
      <c r="F24" s="1502" t="s">
        <v>1486</v>
      </c>
      <c r="G24" s="2816"/>
      <c r="H24" s="2816"/>
      <c r="I24" s="2820"/>
      <c r="J24" s="2816"/>
      <c r="K24" s="374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4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4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72" t="s">
        <v>1519</v>
      </c>
      <c r="B31" s="1553" t="s">
        <v>1520</v>
      </c>
      <c r="C31" s="3770"/>
      <c r="D31" s="3771"/>
      <c r="E31" s="2816"/>
      <c r="F31" s="2816"/>
      <c r="G31" s="2816"/>
      <c r="H31" s="2816"/>
      <c r="I31" s="2820"/>
      <c r="J31" s="2816"/>
      <c r="K31" s="2802"/>
      <c r="L31" s="2796"/>
      <c r="M31" s="2796"/>
      <c r="N31" s="2796"/>
      <c r="O31" s="2796"/>
      <c r="P31" s="2796"/>
      <c r="Q31" s="2796"/>
      <c r="R31" s="2796"/>
      <c r="S31" s="2796"/>
      <c r="T31" s="2796"/>
      <c r="U31" s="2796"/>
    </row>
    <row r="32" spans="1:21">
      <c r="A32" s="3772"/>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72"/>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73"/>
      <c r="B34" s="1464" t="s">
        <v>1523</v>
      </c>
      <c r="C34" s="3774"/>
      <c r="D34" s="3775"/>
      <c r="E34" s="2816"/>
      <c r="F34" s="2816"/>
      <c r="G34" s="2816"/>
      <c r="H34" s="2816"/>
      <c r="I34" s="2820"/>
      <c r="J34" s="2816"/>
      <c r="K34" s="2802"/>
      <c r="L34" s="2796"/>
      <c r="M34" s="2796"/>
      <c r="N34" s="2796"/>
      <c r="O34" s="2796"/>
      <c r="P34" s="2796"/>
      <c r="Q34" s="2796"/>
      <c r="R34" s="2796"/>
      <c r="S34" s="2796"/>
      <c r="T34" s="2796"/>
      <c r="U34" s="2796"/>
    </row>
    <row r="35" spans="1:28">
      <c r="A35" s="3776" t="s">
        <v>785</v>
      </c>
      <c r="B35" s="1516"/>
      <c r="C35" s="1562" t="str">
        <f>IF(B35="场地平整","——","具体情况：")</f>
        <v>具体情况：</v>
      </c>
      <c r="D35" s="3778"/>
      <c r="E35" s="3779"/>
      <c r="F35" s="3779"/>
      <c r="G35" s="3779"/>
      <c r="H35" s="3779"/>
      <c r="I35" s="3780"/>
      <c r="J35" s="2816"/>
      <c r="K35" s="2803"/>
      <c r="L35" s="2795"/>
      <c r="M35" s="2795"/>
      <c r="N35" s="2796"/>
      <c r="O35" s="2797"/>
      <c r="P35" s="2796"/>
      <c r="Q35" s="2796"/>
      <c r="R35" s="2796"/>
      <c r="S35" s="2796"/>
      <c r="T35" s="2796"/>
      <c r="U35" s="2796"/>
    </row>
    <row r="36" spans="1:28">
      <c r="A36" s="3772"/>
      <c r="B36" s="3781" t="s">
        <v>1572</v>
      </c>
      <c r="C36" s="3782"/>
      <c r="D36" s="1578"/>
      <c r="E36" s="3783"/>
      <c r="F36" s="3783"/>
      <c r="G36" s="1485" t="str">
        <f>IF(B35="场地未平整","估价结果处理","")</f>
        <v/>
      </c>
      <c r="H36" s="3784"/>
      <c r="I36" s="3784"/>
      <c r="J36" s="2816"/>
      <c r="K36" s="2803"/>
      <c r="L36" s="2795"/>
      <c r="M36" s="2795"/>
      <c r="N36" s="2796"/>
      <c r="O36" s="2797"/>
      <c r="P36" s="2796"/>
      <c r="Q36" s="2796"/>
      <c r="R36" s="2796"/>
      <c r="S36" s="2796"/>
      <c r="T36" s="2796"/>
      <c r="U36" s="2796"/>
    </row>
    <row r="37" spans="1:28" ht="31.2">
      <c r="A37" s="3772"/>
      <c r="B37" s="376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72"/>
      <c r="B38" s="3762"/>
      <c r="C38" s="1472" t="s">
        <v>788</v>
      </c>
      <c r="D38" s="1577">
        <f>ROUNDDOWN(MIN(('数据-取费表'!$B$2-D37)/365,D34),1)</f>
        <v>125.5</v>
      </c>
      <c r="E38" s="1521" t="s">
        <v>789</v>
      </c>
      <c r="F38" s="2816"/>
      <c r="G38" s="2816"/>
      <c r="H38" s="2816"/>
      <c r="I38" s="2820"/>
      <c r="J38" s="2816"/>
      <c r="K38" s="2803"/>
      <c r="L38" s="2796"/>
      <c r="M38" s="2796"/>
      <c r="N38" s="2796"/>
      <c r="O38" s="2796"/>
      <c r="P38" s="2796"/>
      <c r="Q38" s="2796"/>
      <c r="R38" s="2796"/>
      <c r="S38" s="2796"/>
      <c r="T38" s="2796"/>
      <c r="U38" s="2796"/>
    </row>
    <row r="39" spans="1:28">
      <c r="A39" s="3773"/>
      <c r="B39" s="376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44" t="s">
        <v>1503</v>
      </c>
      <c r="T40" s="1525" t="str">
        <f>NUMBERSTRING(7-K40,1)&amp;"通"</f>
        <v>七通</v>
      </c>
      <c r="U40" s="2796"/>
    </row>
    <row r="41" spans="1:28">
      <c r="A41" s="1466"/>
      <c r="B41" s="3777" t="s">
        <v>1250</v>
      </c>
      <c r="C41" s="3777"/>
      <c r="D41" s="3777"/>
      <c r="E41" s="3777"/>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44"/>
      <c r="T41" s="1527" t="str">
        <f>IF(T40="一通",L41,IF(T40="二通",M41,IF(T40="三通",N41,IF(T40="四通",O41,IF(T40="五通",P41,IF(T40="六通",Q41,R41))))))</f>
        <v>、、、、、、</v>
      </c>
      <c r="U41" s="2796"/>
    </row>
    <row r="42" spans="1:28">
      <c r="A42" s="1529"/>
      <c r="B42" s="1555" t="s">
        <v>1422</v>
      </c>
      <c r="C42" s="1555" t="s">
        <v>1423</v>
      </c>
      <c r="D42" s="1555" t="s">
        <v>1424</v>
      </c>
      <c r="E42" s="3281" t="s">
        <v>2741</v>
      </c>
      <c r="F42" s="3281" t="s">
        <v>2742</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1152</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1117</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H27" sqref="H27"/>
    </sheetView>
  </sheetViews>
  <sheetFormatPr defaultRowHeight="14.4"/>
  <sheetData/>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13878.77</v>
      </c>
      <c r="B3" s="20">
        <f>IF(C3="否",G5-AT5,G5)</f>
        <v>1993.1</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1993.1</v>
      </c>
      <c r="H5" s="25">
        <f t="shared" ref="H5:AT5" si="0">SUM(H13:H641)</f>
        <v>1993.1</v>
      </c>
      <c r="I5" s="25">
        <f t="shared" si="0"/>
        <v>1993.1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1993.1</v>
      </c>
      <c r="BA5" s="27">
        <f t="shared" si="1"/>
        <v>1993.1</v>
      </c>
      <c r="BB5" s="27">
        <f t="shared" si="1"/>
        <v>1993.1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13878.77</v>
      </c>
      <c r="F6" s="25" t="s">
        <v>0</v>
      </c>
      <c r="G6" s="25" t="s">
        <v>1</v>
      </c>
      <c r="H6" s="31">
        <f>SUMIF(I$12:AB$12,"总值",I6:AB6)</f>
        <v>13878.77</v>
      </c>
      <c r="I6" s="25">
        <f t="shared" ref="I6:AB6" si="2">ROUND($A$3*I5/$B$3,2)</f>
        <v>13878.77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13878.77</v>
      </c>
      <c r="AZ6" s="25" t="s">
        <v>2</v>
      </c>
      <c r="BA6" s="25">
        <f>ROUND($AY$6*BA5/$AZ$5,2)</f>
        <v>13878.77</v>
      </c>
      <c r="BB6" s="25">
        <f>ROUND($AY$6*BB5/$AZ$5,2)</f>
        <v>13878.77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3332</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2740</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3331</v>
      </c>
      <c r="E13" s="25">
        <f t="shared" ref="E13:E20" si="6">IF($C$3="是",ROUND($A$3*G13/$B$3,2),ROUND($A$3*(G13-AT13)/$B$3,2))</f>
        <v>13878.77</v>
      </c>
      <c r="F13" s="78"/>
      <c r="G13" s="79">
        <f t="shared" ref="G13:G20" si="7">H13+AC13+AT13</f>
        <v>1993.1</v>
      </c>
      <c r="H13" s="31">
        <f t="shared" ref="H13:H20" si="8">SUMIF(I$12:AB$12,"总值",I13:AB13)</f>
        <v>1993.1</v>
      </c>
      <c r="I13" s="2490">
        <v>1993.1</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13878.77</v>
      </c>
      <c r="AZ13" s="25">
        <f t="shared" ref="AZ13:AZ20" si="12">BA13+BL13</f>
        <v>1993.1</v>
      </c>
      <c r="BA13" s="25">
        <f t="shared" ref="BA13:BA20" si="13">SUM(BB13:BK13)</f>
        <v>1993.1</v>
      </c>
      <c r="BB13" s="25">
        <f t="shared" ref="BB13:BB20" si="14">IF($D13="是",I13-J13,0)</f>
        <v>1993.1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63" sqref="C63"/>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94" t="s">
        <v>169</v>
      </c>
      <c r="B2" s="3794"/>
      <c r="C2" s="3794"/>
      <c r="D2" s="1729" t="s">
        <v>170</v>
      </c>
      <c r="E2" s="102" t="s">
        <v>171</v>
      </c>
      <c r="F2" s="2825"/>
      <c r="G2" s="1096"/>
      <c r="H2" s="1097"/>
      <c r="I2" s="1098" t="s">
        <v>795</v>
      </c>
      <c r="J2" s="2825"/>
      <c r="K2" s="2825"/>
      <c r="L2" s="2825"/>
      <c r="M2" s="2825"/>
      <c r="N2" s="2825"/>
      <c r="O2" s="2825"/>
      <c r="P2" s="2825"/>
    </row>
    <row r="3" spans="1:16" ht="15" thickBot="1">
      <c r="A3" s="3795" t="s">
        <v>172</v>
      </c>
      <c r="B3" s="3795"/>
      <c r="C3" s="3795"/>
      <c r="D3" s="103">
        <f>'数据-基础表'!AY6</f>
        <v>13878.77</v>
      </c>
      <c r="E3" s="103">
        <f>'数据-基础表'!AZ5</f>
        <v>1993.1</v>
      </c>
      <c r="F3" s="2825"/>
      <c r="G3" s="271" t="s">
        <v>796</v>
      </c>
      <c r="H3" s="266" t="s">
        <v>797</v>
      </c>
      <c r="I3" s="1730">
        <f>ROUND('数据-基础表'!B3/'数据-基础表'!A3,2)</f>
        <v>0.14000000000000001</v>
      </c>
      <c r="J3" s="2825"/>
      <c r="K3" s="2825"/>
      <c r="L3" s="2825"/>
      <c r="M3" s="2825"/>
      <c r="N3" s="2825"/>
      <c r="O3" s="2825"/>
      <c r="P3" s="2825"/>
    </row>
    <row r="4" spans="1:16" ht="14.4">
      <c r="A4" s="3796"/>
      <c r="B4" s="3797"/>
      <c r="C4" s="3798"/>
      <c r="D4" s="104" t="s">
        <v>170</v>
      </c>
      <c r="E4" s="105" t="s">
        <v>171</v>
      </c>
      <c r="F4" s="2825"/>
      <c r="G4" s="1099"/>
      <c r="H4" s="266" t="s">
        <v>798</v>
      </c>
      <c r="I4" s="1730">
        <f>ROUND(SUMIF('数据-基础表'!I9:AS9,"地上",'数据-基础表'!I5:AS5)/'数据-基础表'!A3,2)</f>
        <v>0.14000000000000001</v>
      </c>
      <c r="J4" s="2825"/>
      <c r="K4" s="2825"/>
      <c r="L4" s="2825"/>
      <c r="M4" s="2825"/>
      <c r="N4" s="2825"/>
      <c r="O4" s="2825"/>
      <c r="P4" s="2825"/>
    </row>
    <row r="5" spans="1:16" ht="14.4">
      <c r="A5" s="106" t="s">
        <v>173</v>
      </c>
      <c r="B5" s="3799" t="s">
        <v>196</v>
      </c>
      <c r="C5" s="3799"/>
      <c r="D5" s="107">
        <f>ROUND($D$3*E5/$E$3,2)</f>
        <v>0</v>
      </c>
      <c r="E5" s="108">
        <f>SUMIF('数据-基础表'!$11:$11,"住宅",'数据-基础表'!$5:$5)</f>
        <v>0</v>
      </c>
      <c r="F5" s="2825"/>
      <c r="G5" s="271" t="s">
        <v>799</v>
      </c>
      <c r="H5" s="266" t="s">
        <v>797</v>
      </c>
      <c r="I5" s="1730">
        <f>ROUND(E31/D31,2)</f>
        <v>0.14000000000000001</v>
      </c>
      <c r="J5" s="2825"/>
      <c r="K5" s="2825"/>
      <c r="L5" s="2825"/>
      <c r="M5" s="2825"/>
      <c r="N5" s="2825"/>
      <c r="O5" s="2825"/>
      <c r="P5" s="2825"/>
    </row>
    <row r="6" spans="1:16" ht="15" thickBot="1">
      <c r="A6" s="109"/>
      <c r="B6" s="3799" t="s">
        <v>174</v>
      </c>
      <c r="C6" s="3799"/>
      <c r="D6" s="107">
        <f>ROUND($D$3*E6/$E$3,2)</f>
        <v>13878.77</v>
      </c>
      <c r="E6" s="108">
        <f>E3-E5</f>
        <v>1993.1</v>
      </c>
      <c r="F6" s="2825"/>
      <c r="G6" s="1099"/>
      <c r="H6" s="266" t="s">
        <v>798</v>
      </c>
      <c r="I6" s="1730">
        <f>ROUND(F31/D31,2)</f>
        <v>0.14000000000000001</v>
      </c>
      <c r="J6" s="2825"/>
      <c r="K6" s="2825"/>
      <c r="L6" s="2825"/>
      <c r="M6" s="2825"/>
      <c r="N6" s="2825"/>
      <c r="O6" s="2825"/>
      <c r="P6" s="2825"/>
    </row>
    <row r="7" spans="1:16" ht="14.4">
      <c r="A7" s="3791"/>
      <c r="B7" s="3792"/>
      <c r="C7" s="3793"/>
      <c r="D7" s="104" t="s">
        <v>170</v>
      </c>
      <c r="E7" s="110" t="s">
        <v>197</v>
      </c>
      <c r="F7" s="2825"/>
      <c r="G7" s="1055" t="s">
        <v>1180</v>
      </c>
      <c r="H7" s="1056"/>
      <c r="I7" s="1631">
        <v>1</v>
      </c>
      <c r="J7" s="2825"/>
      <c r="K7" s="2825"/>
      <c r="L7" s="2825"/>
      <c r="M7" s="2825"/>
      <c r="N7" s="2825"/>
      <c r="O7" s="2825"/>
      <c r="P7" s="2825"/>
    </row>
    <row r="8" spans="1:16" ht="14.4">
      <c r="A8" s="106" t="s">
        <v>175</v>
      </c>
      <c r="B8" s="111" t="s">
        <v>176</v>
      </c>
      <c r="C8" s="107" t="s">
        <v>177</v>
      </c>
      <c r="D8" s="107">
        <f t="shared" ref="D8:D15" si="0">ROUND($D$3*E8/$E$3,2)</f>
        <v>13878.77</v>
      </c>
      <c r="E8" s="112">
        <f>SUMIF('数据-基础表'!BB10:BK10,"地上",'数据-基础表'!BB5:BK5)</f>
        <v>1993.1</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13878.77</v>
      </c>
      <c r="E16" s="116">
        <f>SUM(E8:E15)</f>
        <v>1993.1</v>
      </c>
      <c r="F16" s="2825"/>
      <c r="G16" s="2826"/>
      <c r="H16" s="930" t="s">
        <v>185</v>
      </c>
      <c r="I16" s="931"/>
      <c r="J16" s="1738"/>
      <c r="K16" s="3785" t="s">
        <v>1849</v>
      </c>
      <c r="L16" s="3786"/>
      <c r="M16" s="3786"/>
      <c r="N16" s="3786"/>
      <c r="O16" s="3786"/>
      <c r="P16" s="3787"/>
    </row>
    <row r="17" spans="1:19" ht="14.4">
      <c r="A17" s="117" t="s">
        <v>182</v>
      </c>
      <c r="B17" s="118" t="s">
        <v>183</v>
      </c>
      <c r="C17" s="2016" t="s">
        <v>1670</v>
      </c>
      <c r="D17" s="104" t="s">
        <v>170</v>
      </c>
      <c r="E17" s="120" t="s">
        <v>171</v>
      </c>
      <c r="F17" s="121"/>
      <c r="G17" s="1225"/>
      <c r="H17" s="932" t="s">
        <v>184</v>
      </c>
      <c r="I17" s="933" t="s">
        <v>1669</v>
      </c>
      <c r="J17" s="1738"/>
      <c r="K17" s="3788" t="s">
        <v>1850</v>
      </c>
      <c r="L17" s="3789"/>
      <c r="M17" s="3790"/>
      <c r="N17" s="3788" t="s">
        <v>1851</v>
      </c>
      <c r="O17" s="3789"/>
      <c r="P17" s="3790"/>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3333</v>
      </c>
      <c r="D19" s="107">
        <f t="shared" ref="D19:D26" si="1">ROUND($D$3*E19/$E$3,2)</f>
        <v>13878.77</v>
      </c>
      <c r="E19" s="130">
        <f t="shared" ref="E19:E26" si="2">SUM(F19:G19)</f>
        <v>1993.1</v>
      </c>
      <c r="F19" s="2827">
        <f>'数据-基础表'!I13</f>
        <v>1993.1</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13878.77</v>
      </c>
      <c r="S19" s="2019">
        <f t="shared" si="5"/>
        <v>1993.1</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13878.77</v>
      </c>
      <c r="E27" s="136">
        <f>IF(SUM(E19:E26)='数据-基础表'!BA5,SUM(E19:E26),IF(F27="地上面积有误","面积有误","地下面积有误"))</f>
        <v>1993.1</v>
      </c>
      <c r="F27" s="130">
        <f>IF(SUM(F19:F26)=E8,SUM(F19:F26),"地上面积有误")</f>
        <v>1993.1</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13878.77</v>
      </c>
      <c r="S27" s="266">
        <f>IF(SUM(S19:S26)=$E$3,SUM(S19:S26),SUM(S19:S26)&amp;"误差"&amp;ROUND(SUM(S19:S26)-E3,2))</f>
        <v>1993.1</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13878.77</v>
      </c>
      <c r="E31" s="1229">
        <f>E27+E30</f>
        <v>1993.1</v>
      </c>
      <c r="F31" s="1230">
        <f>F27+F30</f>
        <v>1993.1</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30" activePane="bottomRight" state="frozen"/>
      <selection pane="topRight" activeCell="D1" sqref="D1"/>
      <selection pane="bottomLeft" activeCell="A4" sqref="A4"/>
      <selection pane="bottomRight" activeCell="H48" sqref="H48"/>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45839</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3338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仓储</v>
      </c>
      <c r="B6" s="2055" t="str">
        <f>IF(A6=0,"","经营性")</f>
        <v>经营性</v>
      </c>
      <c r="C6" s="166" t="s">
        <v>905</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0.06</v>
      </c>
      <c r="K6" s="172">
        <f>SUMIF('数据-汇总表'!C$19:C$33,'数据-取费表'!A6,'数据-汇总表'!E$19:E$33)</f>
        <v>1993.1</v>
      </c>
      <c r="L6" s="2499">
        <v>1500</v>
      </c>
      <c r="M6" s="170">
        <f t="shared" ref="M6:M14" si="1">ROUND(K6*L6/10000,0)</f>
        <v>299</v>
      </c>
      <c r="N6" s="2500">
        <v>0.6</v>
      </c>
      <c r="O6" s="170" t="str">
        <f>IF($N$5="成新度","——",ROUND(M6*N6,0))</f>
        <v>——</v>
      </c>
      <c r="P6" s="171" t="str">
        <f>IF($N$5="成新度","——",M6-O6)</f>
        <v>——</v>
      </c>
      <c r="Q6" s="2501">
        <v>0.15</v>
      </c>
      <c r="R6" s="172">
        <f>SUMIF('数据-汇总表'!C$19:C$33,A6,'数据-汇总表'!R$19:R$33)</f>
        <v>13878.77</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t="str">
        <f t="shared" ref="O7:O14" si="3">IF($N$5="成新度","——",ROUND(M7*N7,0))</f>
        <v>——</v>
      </c>
      <c r="P7" s="171" t="str">
        <f t="shared" ref="P7:P14" si="4">IF($N$5="成新度","——",M7-O7)</f>
        <v>——</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t="str">
        <f t="shared" si="3"/>
        <v>——</v>
      </c>
      <c r="P8" s="171" t="str">
        <f t="shared" si="4"/>
        <v>——</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1993.1</v>
      </c>
      <c r="L16" s="197">
        <f>ROUND(M16*10000/SUM(K6:K14),0)</f>
        <v>1500</v>
      </c>
      <c r="M16" s="197">
        <f>SUM(M6:M14)</f>
        <v>299</v>
      </c>
      <c r="N16" s="198">
        <f>ROUND(SUMPRODUCT(M6:M14,N6:N14)/M16,3)</f>
        <v>0.6</v>
      </c>
      <c r="O16" s="197">
        <f>SUM(O6:O14)</f>
        <v>0</v>
      </c>
      <c r="P16" s="197">
        <f>SUM(P6:P14)</f>
        <v>0</v>
      </c>
      <c r="Q16" s="199">
        <f>ROUND(SUMPRODUCT(Q6:Q13,K6:K13)/SUMPRODUCT((Q6:Q13&gt;0)*(K6:K13)),2)</f>
        <v>0.15</v>
      </c>
      <c r="R16" s="2029">
        <f>SUM(R6:R13)</f>
        <v>13878.77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f>基准地价!G21</f>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成本逼近法!C13</f>
        <v>277.5754</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0.05</v>
      </c>
      <c r="C33" s="2850" t="s">
        <v>3266</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3309</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3267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3268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3.0599999999999999E-2</v>
      </c>
      <c r="C40" s="3022"/>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3269</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t="s">
        <v>1153</v>
      </c>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800" t="s">
        <v>1198</v>
      </c>
      <c r="B1" s="3801"/>
      <c r="C1" s="3801"/>
      <c r="D1" s="3801"/>
      <c r="E1" s="3801"/>
      <c r="F1" s="3801"/>
      <c r="G1" s="3801"/>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9" customWidth="1"/>
    <col min="2" max="16384" width="14.6640625" style="2929"/>
  </cols>
  <sheetData>
    <row r="1" spans="1:10" ht="15.6">
      <c r="A1" s="2928" t="s">
        <v>2118</v>
      </c>
      <c r="B1" s="2928">
        <f>SUM(B14:B23)</f>
        <v>0</v>
      </c>
      <c r="C1" s="2937"/>
      <c r="D1" s="2937"/>
      <c r="E1" s="2937"/>
      <c r="F1" s="2937"/>
      <c r="G1" s="2938"/>
      <c r="H1" s="2938"/>
      <c r="I1" s="2938"/>
      <c r="J1" s="2938"/>
    </row>
    <row r="2" spans="1:10" ht="15.6">
      <c r="A2" s="2928" t="s">
        <v>2119</v>
      </c>
      <c r="B2" s="2928">
        <f>SUM(C14:C23)</f>
        <v>0</v>
      </c>
      <c r="C2" s="2937"/>
      <c r="D2" s="2937"/>
      <c r="E2" s="2937"/>
      <c r="F2" s="2937"/>
      <c r="G2" s="2938"/>
      <c r="H2" s="2938"/>
      <c r="I2" s="2938"/>
      <c r="J2" s="2938"/>
    </row>
    <row r="3" spans="1:10" ht="15.6">
      <c r="A3" s="2928" t="s">
        <v>2120</v>
      </c>
      <c r="B3" s="2930">
        <f>项目基本情况!D3</f>
        <v>45839</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SUM(D14:D23)</f>
        <v>0</v>
      </c>
      <c r="C5" s="2928" t="e">
        <f>ROUND(B5*10000/$B$1,0)</f>
        <v>#DIV/0!</v>
      </c>
      <c r="D5" s="2928" t="e">
        <f>ROUND(B5*10000/$B$2,0)</f>
        <v>#DIV/0!</v>
      </c>
      <c r="E5" s="2937"/>
      <c r="F5" s="2937"/>
      <c r="G5" s="2938"/>
      <c r="H5" s="2938"/>
      <c r="I5" s="2938"/>
      <c r="J5" s="2938"/>
    </row>
    <row r="6" spans="1:10" ht="15.6">
      <c r="A6" s="2928" t="s">
        <v>2126</v>
      </c>
      <c r="B6" s="2928">
        <f>SUM(G14:G23)</f>
        <v>0</v>
      </c>
      <c r="C6" s="2928" t="e">
        <f>ROUND(B6*10000/$B$1,0)</f>
        <v>#DIV/0!</v>
      </c>
      <c r="D6" s="2928" t="e">
        <f>ROUND(B6*10000/$B$2,0)</f>
        <v>#DIV/0!</v>
      </c>
      <c r="E6" s="2937"/>
      <c r="F6" s="2937"/>
      <c r="G6" s="2938"/>
      <c r="H6" s="2938"/>
      <c r="I6" s="2938"/>
      <c r="J6" s="2938"/>
    </row>
    <row r="7" spans="1:10" ht="15.6">
      <c r="A7" s="2928" t="s">
        <v>2127</v>
      </c>
      <c r="B7" s="2928">
        <f>SUM(H14:H23)</f>
        <v>0</v>
      </c>
      <c r="C7" s="2928" t="e">
        <f>ROUND(B7*10000/$B$1,0)</f>
        <v>#DIV/0!</v>
      </c>
      <c r="D7" s="2928" t="e">
        <f>ROUND(B7*10000/$B$2,0)</f>
        <v>#DIV/0!</v>
      </c>
      <c r="E7" s="2937"/>
      <c r="F7" s="2937"/>
      <c r="G7" s="2938"/>
      <c r="H7" s="2938"/>
      <c r="I7" s="2938"/>
      <c r="J7" s="2938"/>
    </row>
    <row r="8" spans="1:10" ht="15.6">
      <c r="A8" s="2928" t="s">
        <v>2128</v>
      </c>
      <c r="B8" s="2928">
        <f>SUM(I14:I23)</f>
        <v>0</v>
      </c>
      <c r="C8" s="2928" t="e">
        <f>ROUND(B8*10000/$B$1,0)</f>
        <v>#DIV/0!</v>
      </c>
      <c r="D8" s="2928" t="e">
        <f>ROUND(B8*10000/$B$2,0)</f>
        <v>#DIV/0!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c r="C14" s="2934"/>
      <c r="D14" s="2934"/>
      <c r="E14" s="2934" t="e">
        <f>ROUND(D14*10000/B14,0)</f>
        <v>#DIV/0!</v>
      </c>
      <c r="F14" s="2934" t="e">
        <f>ROUND(D14*10000/C14,0)</f>
        <v>#DIV/0!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O20" sqref="O20"/>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46" t="str">
        <f>项目基本情况!K2</f>
        <v>北京市划拨国有建设用地使用权</v>
      </c>
      <c r="B2" s="3847"/>
      <c r="C2" s="3848"/>
      <c r="D2" s="3848"/>
      <c r="E2" s="3848"/>
      <c r="F2" s="3848"/>
      <c r="G2" s="3847"/>
      <c r="H2" s="3847"/>
      <c r="I2" s="3849"/>
      <c r="J2" s="1753"/>
      <c r="K2" s="1752"/>
      <c r="L2" s="1752"/>
      <c r="M2" s="1752"/>
      <c r="N2" s="1752"/>
      <c r="O2" s="1752"/>
      <c r="P2" s="1752"/>
      <c r="Q2" s="1752"/>
      <c r="R2" s="1752"/>
      <c r="S2" s="1752"/>
      <c r="T2" s="1752"/>
      <c r="U2" s="1752"/>
      <c r="V2" s="1752"/>
    </row>
    <row r="3" spans="1:22" ht="13.8">
      <c r="A3" s="3857" t="s">
        <v>264</v>
      </c>
      <c r="B3" s="3858"/>
      <c r="C3" s="3858"/>
      <c r="D3" s="3858"/>
      <c r="E3" s="3858"/>
      <c r="F3" s="3858"/>
      <c r="G3" s="3858"/>
      <c r="H3" s="3858"/>
      <c r="I3" s="3858"/>
      <c r="J3" s="1753"/>
      <c r="K3" s="1752"/>
      <c r="L3" s="1752"/>
      <c r="M3" s="1752"/>
      <c r="N3" s="1752"/>
      <c r="O3" s="1752"/>
      <c r="P3" s="1752"/>
      <c r="Q3" s="1752"/>
      <c r="R3" s="1752"/>
      <c r="S3" s="1752"/>
      <c r="T3" s="1752"/>
      <c r="U3" s="1752"/>
      <c r="V3" s="1752"/>
    </row>
    <row r="4" spans="1:22" ht="14.4">
      <c r="A4" s="249" t="s">
        <v>265</v>
      </c>
      <c r="B4" s="250" t="s">
        <v>266</v>
      </c>
      <c r="C4" s="251" t="s">
        <v>3371</v>
      </c>
      <c r="D4" s="251" t="s">
        <v>3372</v>
      </c>
      <c r="E4" s="3821" t="s">
        <v>267</v>
      </c>
      <c r="F4" s="3863"/>
      <c r="G4" s="3863"/>
      <c r="H4" s="3863"/>
      <c r="I4" s="3822"/>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50" t="s">
        <v>268</v>
      </c>
      <c r="B5" s="3851">
        <v>25</v>
      </c>
      <c r="C5" s="3859">
        <v>4</v>
      </c>
      <c r="D5" s="3862">
        <f>10-C5</f>
        <v>6</v>
      </c>
      <c r="E5" s="252" t="s">
        <v>269</v>
      </c>
      <c r="F5" s="253"/>
      <c r="G5" s="253"/>
      <c r="H5" s="253"/>
      <c r="I5" s="254"/>
      <c r="J5" s="1753"/>
      <c r="K5" s="1752"/>
      <c r="L5" s="1752"/>
      <c r="M5" s="1752"/>
      <c r="N5" s="1752"/>
      <c r="O5" s="1752"/>
      <c r="P5" s="1752"/>
      <c r="Q5" s="1752"/>
      <c r="R5" s="1752"/>
      <c r="S5" s="1752"/>
      <c r="T5" s="1752"/>
      <c r="U5" s="1752"/>
      <c r="V5" s="1752"/>
    </row>
    <row r="6" spans="1:22" ht="13.8">
      <c r="A6" s="3850"/>
      <c r="B6" s="3851"/>
      <c r="C6" s="3860"/>
      <c r="D6" s="3862"/>
      <c r="E6" s="252" t="s">
        <v>270</v>
      </c>
      <c r="F6" s="253"/>
      <c r="G6" s="253"/>
      <c r="H6" s="253"/>
      <c r="I6" s="254"/>
      <c r="J6" s="1753"/>
      <c r="K6" s="1752"/>
      <c r="L6" s="1752"/>
      <c r="M6" s="1752"/>
      <c r="N6" s="1752"/>
      <c r="O6" s="1752"/>
      <c r="P6" s="1752"/>
      <c r="Q6" s="1752"/>
      <c r="R6" s="1752"/>
      <c r="S6" s="1752"/>
      <c r="T6" s="1752"/>
      <c r="U6" s="1752"/>
      <c r="V6" s="1752"/>
    </row>
    <row r="7" spans="1:22" ht="13.8">
      <c r="A7" s="3850"/>
      <c r="B7" s="3851"/>
      <c r="C7" s="3861"/>
      <c r="D7" s="3862"/>
      <c r="E7" s="252" t="s">
        <v>271</v>
      </c>
      <c r="F7" s="253"/>
      <c r="G7" s="253"/>
      <c r="H7" s="253"/>
      <c r="I7" s="254"/>
      <c r="J7" s="1753"/>
      <c r="K7" s="1752"/>
      <c r="L7" s="1752"/>
      <c r="M7" s="1752"/>
      <c r="N7" s="1752"/>
      <c r="O7" s="1752"/>
      <c r="P7" s="1752"/>
      <c r="Q7" s="1752"/>
      <c r="R7" s="1752"/>
      <c r="S7" s="1752"/>
      <c r="T7" s="1752"/>
      <c r="U7" s="1752"/>
      <c r="V7" s="1752"/>
    </row>
    <row r="8" spans="1:22" ht="13.8">
      <c r="A8" s="3850" t="s">
        <v>272</v>
      </c>
      <c r="B8" s="3851">
        <v>15</v>
      </c>
      <c r="C8" s="3859"/>
      <c r="D8" s="3862"/>
      <c r="E8" s="252" t="s">
        <v>273</v>
      </c>
      <c r="F8" s="253"/>
      <c r="G8" s="253"/>
      <c r="H8" s="253"/>
      <c r="I8" s="254"/>
      <c r="J8" s="1753"/>
      <c r="K8" s="1752"/>
      <c r="L8" s="1752"/>
      <c r="M8" s="1752"/>
      <c r="N8" s="1752"/>
      <c r="O8" s="1752"/>
      <c r="P8" s="1752"/>
      <c r="Q8" s="1752"/>
      <c r="R8" s="1752"/>
      <c r="S8" s="1752"/>
      <c r="T8" s="1752"/>
      <c r="U8" s="1752"/>
      <c r="V8" s="1752"/>
    </row>
    <row r="9" spans="1:22" ht="13.8">
      <c r="A9" s="3850"/>
      <c r="B9" s="3851"/>
      <c r="C9" s="3861"/>
      <c r="D9" s="3862"/>
      <c r="E9" s="252" t="s">
        <v>274</v>
      </c>
      <c r="F9" s="253"/>
      <c r="G9" s="253"/>
      <c r="H9" s="253"/>
      <c r="I9" s="254"/>
      <c r="J9" s="1753"/>
      <c r="K9" s="1752"/>
      <c r="L9" s="1752"/>
      <c r="M9" s="1752"/>
      <c r="N9" s="1752"/>
      <c r="O9" s="1752"/>
      <c r="P9" s="1752"/>
      <c r="Q9" s="1752"/>
      <c r="R9" s="1752"/>
      <c r="S9" s="1752"/>
      <c r="T9" s="1752"/>
      <c r="U9" s="1752"/>
      <c r="V9" s="1752"/>
    </row>
    <row r="10" spans="1:22" ht="13.8">
      <c r="A10" s="3850" t="s">
        <v>275</v>
      </c>
      <c r="B10" s="3851">
        <v>15</v>
      </c>
      <c r="C10" s="3859"/>
      <c r="D10" s="3862"/>
      <c r="E10" s="252" t="s">
        <v>276</v>
      </c>
      <c r="F10" s="253"/>
      <c r="G10" s="253"/>
      <c r="H10" s="253"/>
      <c r="I10" s="254"/>
      <c r="J10" s="1753"/>
      <c r="K10" s="1752"/>
      <c r="L10" s="1752"/>
      <c r="M10" s="1752"/>
      <c r="N10" s="1752"/>
      <c r="O10" s="1752"/>
      <c r="P10" s="1752"/>
      <c r="Q10" s="1752"/>
      <c r="R10" s="1752"/>
      <c r="S10" s="1752"/>
      <c r="T10" s="1752"/>
      <c r="U10" s="1752"/>
      <c r="V10" s="1752"/>
    </row>
    <row r="11" spans="1:22" ht="13.8">
      <c r="A11" s="3850"/>
      <c r="B11" s="3851"/>
      <c r="C11" s="3861"/>
      <c r="D11" s="3862"/>
      <c r="E11" s="252" t="s">
        <v>277</v>
      </c>
      <c r="F11" s="253"/>
      <c r="G11" s="253"/>
      <c r="H11" s="253"/>
      <c r="I11" s="254"/>
      <c r="J11" s="1753"/>
      <c r="K11" s="1752"/>
      <c r="L11" s="1752"/>
      <c r="M11" s="1752"/>
      <c r="N11" s="1752"/>
      <c r="O11" s="1752"/>
      <c r="P11" s="1752"/>
      <c r="Q11" s="1752"/>
      <c r="R11" s="1752"/>
      <c r="S11" s="1752"/>
      <c r="T11" s="1752"/>
      <c r="U11" s="1752"/>
      <c r="V11" s="1752"/>
    </row>
    <row r="12" spans="1:22" ht="13.8">
      <c r="A12" s="3850" t="s">
        <v>278</v>
      </c>
      <c r="B12" s="3851">
        <v>15</v>
      </c>
      <c r="C12" s="3859"/>
      <c r="D12" s="3862"/>
      <c r="E12" s="252" t="s">
        <v>279</v>
      </c>
      <c r="F12" s="253"/>
      <c r="G12" s="253"/>
      <c r="H12" s="253"/>
      <c r="I12" s="254"/>
      <c r="J12" s="1753"/>
      <c r="K12" s="1752"/>
      <c r="L12" s="1752"/>
      <c r="M12" s="1752"/>
      <c r="N12" s="1752"/>
      <c r="O12" s="1752"/>
      <c r="P12" s="1752"/>
      <c r="Q12" s="1752"/>
      <c r="R12" s="1752"/>
      <c r="S12" s="1752"/>
      <c r="T12" s="1752"/>
      <c r="U12" s="1752"/>
      <c r="V12" s="1752"/>
    </row>
    <row r="13" spans="1:22" ht="13.8">
      <c r="A13" s="3850"/>
      <c r="B13" s="3851"/>
      <c r="C13" s="3861"/>
      <c r="D13" s="3862"/>
      <c r="E13" s="252" t="s">
        <v>280</v>
      </c>
      <c r="F13" s="253"/>
      <c r="G13" s="253"/>
      <c r="H13" s="253"/>
      <c r="I13" s="254"/>
      <c r="J13" s="1753"/>
      <c r="K13" s="1752"/>
      <c r="L13" s="1752"/>
      <c r="M13" s="1752"/>
      <c r="N13" s="1752"/>
      <c r="O13" s="1752"/>
      <c r="P13" s="1752"/>
      <c r="Q13" s="1752"/>
      <c r="R13" s="1752"/>
      <c r="S13" s="1752"/>
      <c r="T13" s="1752"/>
      <c r="U13" s="1752"/>
      <c r="V13" s="1752"/>
    </row>
    <row r="14" spans="1:22" ht="13.8">
      <c r="A14" s="3850" t="s">
        <v>281</v>
      </c>
      <c r="B14" s="3851">
        <v>30</v>
      </c>
      <c r="C14" s="3859"/>
      <c r="D14" s="3862"/>
      <c r="E14" s="252" t="s">
        <v>282</v>
      </c>
      <c r="F14" s="253"/>
      <c r="G14" s="253"/>
      <c r="H14" s="253"/>
      <c r="I14" s="254"/>
      <c r="J14" s="1753"/>
      <c r="K14" s="1752"/>
      <c r="L14" s="1752"/>
      <c r="M14" s="1752"/>
      <c r="N14" s="1752"/>
      <c r="O14" s="1752"/>
      <c r="P14" s="1752"/>
      <c r="Q14" s="1752"/>
      <c r="R14" s="1752"/>
      <c r="S14" s="1752"/>
      <c r="T14" s="1752"/>
      <c r="U14" s="1752"/>
      <c r="V14" s="1752"/>
    </row>
    <row r="15" spans="1:22" ht="13.8">
      <c r="A15" s="3850"/>
      <c r="B15" s="3851"/>
      <c r="C15" s="3860"/>
      <c r="D15" s="3862"/>
      <c r="E15" s="252" t="s">
        <v>283</v>
      </c>
      <c r="F15" s="253"/>
      <c r="G15" s="253"/>
      <c r="H15" s="253"/>
      <c r="I15" s="254"/>
      <c r="J15" s="1753"/>
      <c r="K15" s="1752"/>
      <c r="L15" s="1752"/>
      <c r="M15" s="1752"/>
      <c r="N15" s="1752"/>
      <c r="O15" s="1752"/>
      <c r="P15" s="1752"/>
      <c r="Q15" s="1752"/>
      <c r="R15" s="1752"/>
      <c r="S15" s="1752"/>
      <c r="T15" s="1752"/>
      <c r="U15" s="1752"/>
      <c r="V15" s="1752"/>
    </row>
    <row r="16" spans="1:22" ht="13.8">
      <c r="A16" s="3850"/>
      <c r="B16" s="3851"/>
      <c r="C16" s="3861"/>
      <c r="D16" s="3862"/>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4</v>
      </c>
      <c r="D17" s="256">
        <f>SUM(D5:D16)</f>
        <v>6</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0.4</v>
      </c>
      <c r="D18" s="258">
        <f>1-C18</f>
        <v>0.6</v>
      </c>
      <c r="E18" s="3864" t="s">
        <v>2254</v>
      </c>
      <c r="F18" s="3865"/>
      <c r="G18" s="3865"/>
      <c r="H18" s="3865"/>
      <c r="I18" s="3865"/>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9077</v>
      </c>
      <c r="D19" s="262">
        <f ca="1">SUMIF(INDIRECT("'"&amp;D4&amp;"'"&amp;"!A:A"),结果表!B19,INDIRECT("'"&amp;D4&amp;"'"&amp;"!B:B"))</f>
        <v>11689.8043</v>
      </c>
      <c r="E19" s="259" t="s">
        <v>289</v>
      </c>
      <c r="F19" s="260" t="s">
        <v>288</v>
      </c>
      <c r="G19" s="263">
        <f ca="1">ROUND(C19*$C$18+D19*$D$18,0)</f>
        <v>10645</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45542</v>
      </c>
      <c r="D20" s="268">
        <f ca="1">SUMIF(INDIRECT("'"&amp;D4&amp;"'"&amp;"!A:A"),结果表!B20,INDIRECT("'"&amp;D4&amp;"'"&amp;"!B:B"))</f>
        <v>58651</v>
      </c>
      <c r="E20" s="265"/>
      <c r="F20" s="266" t="s">
        <v>291</v>
      </c>
      <c r="G20" s="269">
        <f ca="1">ROUND(C20*$C$18+D20*$D$18,0)</f>
        <v>53407</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6540</v>
      </c>
      <c r="D21" s="144">
        <f ca="1">SUMIF(INDIRECT("'"&amp;D4&amp;"'"&amp;"!A:A"),结果表!B21,INDIRECT("'"&amp;D4&amp;"'"&amp;"!B:B"))</f>
        <v>8423</v>
      </c>
      <c r="E21" s="265"/>
      <c r="F21" s="271" t="s">
        <v>293</v>
      </c>
      <c r="G21" s="273">
        <f ca="1">ROUND(C21*$C$18+D21*$D$18,0)</f>
        <v>7670</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0.28784888178913737</v>
      </c>
      <c r="E22" s="275"/>
      <c r="F22" s="276"/>
      <c r="G22" s="277">
        <f ca="1">ROUND(G19/('数据-汇总表'!D3/666.67),0)</f>
        <v>511</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2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70"/>
      <c r="B25" s="1190" t="s">
        <v>297</v>
      </c>
      <c r="C25" s="281">
        <f>IF(B30=0,0,C30)</f>
        <v>0</v>
      </c>
      <c r="D25" s="282"/>
      <c r="E25" s="302"/>
      <c r="F25" s="302"/>
      <c r="G25" s="302"/>
      <c r="H25" s="302"/>
      <c r="I25" s="302"/>
      <c r="J25" s="1752"/>
      <c r="K25" s="1124" t="str">
        <f ca="1">项目基本情况!A17&amp;"国有建设用地使用权价格："&amp;O38&amp;"万元"</f>
        <v>划拨国有建设用地使用权价格：10645万元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大写金额：人民币壹亿零陆佰肆拾伍万元整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单位面积地价：7670元/平方米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楼面地价：53409元/平方米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66" t="s">
        <v>2256</v>
      </c>
      <c r="B31" s="3866"/>
      <c r="C31" s="3866"/>
      <c r="D31" s="3866"/>
      <c r="E31" s="3866"/>
      <c r="F31" s="3866"/>
      <c r="G31" s="3866"/>
      <c r="H31" s="3866"/>
      <c r="I31" s="3866"/>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f ca="1">G19-C24</f>
        <v>10645</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53409</v>
      </c>
      <c r="D33" s="1240" t="s">
        <v>1224</v>
      </c>
      <c r="E33" s="3823"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7670</v>
      </c>
      <c r="D34" s="1242" t="s">
        <v>1224</v>
      </c>
      <c r="E34" s="3824"/>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511</v>
      </c>
      <c r="D35" s="1245" t="s">
        <v>1226</v>
      </c>
      <c r="E35" s="3825"/>
      <c r="F35" s="292" t="s">
        <v>308</v>
      </c>
      <c r="G35" s="944"/>
      <c r="H35" s="943" t="s">
        <v>309</v>
      </c>
      <c r="I35" s="302"/>
      <c r="J35" s="1752"/>
      <c r="K35" s="3829" t="s">
        <v>316</v>
      </c>
      <c r="L35" s="3829" t="s">
        <v>317</v>
      </c>
      <c r="M35" s="1133" t="s">
        <v>318</v>
      </c>
      <c r="N35" s="3829" t="s">
        <v>319</v>
      </c>
      <c r="O35" s="3829" t="s">
        <v>320</v>
      </c>
      <c r="P35" s="1752"/>
      <c r="V35" s="1752"/>
    </row>
    <row r="36" spans="1:26" ht="16.5" customHeight="1">
      <c r="A36" s="294" t="s">
        <v>310</v>
      </c>
      <c r="B36" s="295" t="s">
        <v>299</v>
      </c>
      <c r="C36" s="296" t="s">
        <v>311</v>
      </c>
      <c r="D36" s="296" t="s">
        <v>312</v>
      </c>
      <c r="E36" s="297" t="s">
        <v>313</v>
      </c>
      <c r="F36" s="302"/>
      <c r="G36" s="302"/>
      <c r="H36" s="302"/>
      <c r="I36" s="302"/>
      <c r="J36" s="1754"/>
      <c r="K36" s="3830"/>
      <c r="L36" s="3830"/>
      <c r="M36" s="1135" t="s">
        <v>321</v>
      </c>
      <c r="N36" s="3830"/>
      <c r="O36" s="3830"/>
      <c r="P36" s="1752"/>
      <c r="V36" s="1752"/>
    </row>
    <row r="37" spans="1:26" ht="16.5" customHeight="1" thickBot="1">
      <c r="A37" s="1129" t="s">
        <v>314</v>
      </c>
      <c r="B37" s="298"/>
      <c r="C37" s="285"/>
      <c r="D37" s="285"/>
      <c r="E37" s="286"/>
      <c r="F37" s="302"/>
      <c r="G37" s="302"/>
      <c r="H37" s="302"/>
      <c r="I37" s="302"/>
      <c r="J37" s="1754"/>
      <c r="K37" s="3831"/>
      <c r="L37" s="3831"/>
      <c r="M37" s="1136"/>
      <c r="N37" s="3831"/>
      <c r="O37" s="3831"/>
      <c r="P37" s="1752"/>
      <c r="V37" s="1752"/>
    </row>
    <row r="38" spans="1:26" ht="16.5" customHeight="1" thickBot="1">
      <c r="A38" s="1129" t="s">
        <v>315</v>
      </c>
      <c r="B38" s="298"/>
      <c r="C38" s="285"/>
      <c r="D38" s="285"/>
      <c r="E38" s="286"/>
      <c r="F38" s="302"/>
      <c r="G38" s="302"/>
      <c r="H38" s="302"/>
      <c r="I38" s="302"/>
      <c r="J38" s="1754"/>
      <c r="K38" s="1137">
        <f>'数据-汇总表'!D3</f>
        <v>13878.77</v>
      </c>
      <c r="L38" s="1138">
        <f>'数据-汇总表'!E3</f>
        <v>1993.1</v>
      </c>
      <c r="M38" s="1138">
        <f ca="1">C34</f>
        <v>7670</v>
      </c>
      <c r="N38" s="1138">
        <f ca="1">C33</f>
        <v>53409</v>
      </c>
      <c r="O38" s="1139">
        <f ca="1">C32</f>
        <v>10645</v>
      </c>
      <c r="P38" s="1752"/>
      <c r="V38" s="1752"/>
    </row>
    <row r="39" spans="1:26" ht="16.5" customHeight="1" thickBot="1">
      <c r="A39" s="1134"/>
      <c r="B39" s="299"/>
      <c r="C39" s="300"/>
      <c r="D39" s="300"/>
      <c r="E39" s="301"/>
      <c r="F39" s="302"/>
      <c r="G39" s="302"/>
      <c r="H39" s="302"/>
      <c r="I39" s="302"/>
      <c r="J39" s="1754"/>
      <c r="K39" s="3842" t="str">
        <f>MID(A44,3,LEN(A44)-2)</f>
        <v/>
      </c>
      <c r="L39" s="3843"/>
      <c r="M39" s="3843"/>
      <c r="N39" s="3844"/>
      <c r="O39" s="1247" t="str">
        <f>C44</f>
        <v>——</v>
      </c>
      <c r="P39" s="1752"/>
      <c r="V39" s="1752"/>
    </row>
    <row r="40" spans="1:26" ht="18" thickBot="1">
      <c r="A40" s="100" t="s">
        <v>810</v>
      </c>
      <c r="B40" s="302"/>
      <c r="C40" s="302"/>
      <c r="D40" s="302"/>
      <c r="E40" s="302"/>
      <c r="F40" s="302"/>
      <c r="G40" s="302"/>
      <c r="H40" s="302"/>
      <c r="I40" s="302"/>
      <c r="J40" s="1754"/>
      <c r="K40" s="3842" t="str">
        <f>MID(A45,3,LEN(A45)-2)</f>
        <v/>
      </c>
      <c r="L40" s="3843"/>
      <c r="M40" s="3843"/>
      <c r="N40" s="3844"/>
      <c r="O40" s="1247" t="str">
        <f>C45</f>
        <v>——</v>
      </c>
      <c r="P40" s="1752"/>
      <c r="V40" s="1752"/>
    </row>
    <row r="41" spans="1:26" ht="16.2" thickBot="1">
      <c r="A41" s="303" t="s">
        <v>322</v>
      </c>
      <c r="B41" s="304"/>
      <c r="C41" s="305" t="s">
        <v>323</v>
      </c>
      <c r="D41" s="306" t="s">
        <v>324</v>
      </c>
      <c r="E41" s="306" t="s">
        <v>325</v>
      </c>
      <c r="F41" s="307" t="s">
        <v>326</v>
      </c>
      <c r="G41" s="302"/>
      <c r="H41" s="302"/>
      <c r="I41" s="302"/>
      <c r="J41" s="1754"/>
      <c r="K41" s="3842" t="str">
        <f>MID(A46,3,LEN(A46)-2)</f>
        <v/>
      </c>
      <c r="L41" s="3843"/>
      <c r="M41" s="3843"/>
      <c r="N41" s="3844"/>
      <c r="O41" s="1247" t="str">
        <f>C46</f>
        <v>——</v>
      </c>
      <c r="P41" s="1752"/>
      <c r="V41" s="1752"/>
    </row>
    <row r="42" spans="1:26" ht="31.2">
      <c r="A42" s="3871" t="s">
        <v>1585</v>
      </c>
      <c r="B42" s="3872"/>
      <c r="C42" s="255">
        <f ca="1">C32</f>
        <v>10645</v>
      </c>
      <c r="D42" s="308">
        <f ca="1">C33</f>
        <v>53409</v>
      </c>
      <c r="E42" s="308">
        <f ca="1">C34</f>
        <v>7670</v>
      </c>
      <c r="F42" s="309">
        <f ca="1">C35</f>
        <v>511</v>
      </c>
      <c r="G42" s="302"/>
      <c r="H42" s="302"/>
      <c r="I42" s="310"/>
      <c r="J42" s="1754"/>
      <c r="K42" s="1140" t="s">
        <v>327</v>
      </c>
      <c r="L42" s="1771" t="s">
        <v>328</v>
      </c>
      <c r="M42" s="1141" t="s">
        <v>329</v>
      </c>
      <c r="N42" s="1772" t="s">
        <v>330</v>
      </c>
      <c r="O42" s="1773" t="s">
        <v>331</v>
      </c>
      <c r="P42" s="1752"/>
      <c r="V42" s="1752"/>
    </row>
    <row r="43" spans="1:26" ht="17.399999999999999">
      <c r="A43" s="3881" t="s">
        <v>2012</v>
      </c>
      <c r="B43" s="3882"/>
      <c r="C43" s="255">
        <f>IF(H33="正常操作",G33+G34+G35,G34+G35)</f>
        <v>0</v>
      </c>
      <c r="D43" s="308" t="s">
        <v>17</v>
      </c>
      <c r="E43" s="308" t="s">
        <v>18</v>
      </c>
      <c r="F43" s="309" t="s">
        <v>18</v>
      </c>
      <c r="G43" s="2346" t="s">
        <v>877</v>
      </c>
      <c r="H43" s="302"/>
      <c r="I43" s="310"/>
      <c r="J43" s="1754"/>
      <c r="K43" s="1142" t="str">
        <f>C4</f>
        <v>比较法-工业</v>
      </c>
      <c r="L43" s="1143">
        <f ca="1">IF(L42="估价结果/万元",C19,C20)</f>
        <v>9077</v>
      </c>
      <c r="M43" s="1144">
        <f>C18</f>
        <v>0.4</v>
      </c>
      <c r="N43" s="1145">
        <f ca="1">IF(N42="测算结果/万元",G19,G20)</f>
        <v>10645</v>
      </c>
      <c r="O43" s="1146">
        <f ca="1">IF(O42="最终结果/万元",C32,C33)</f>
        <v>10645</v>
      </c>
      <c r="P43" s="1752"/>
      <c r="V43" s="1752"/>
    </row>
    <row r="44" spans="1:26" ht="18" thickBot="1">
      <c r="A44" s="3871" t="str">
        <f>IF(OR(项目基本情况!E8="抵押价格",项目基本情况!E8="已注销及未注销"),"3.抵押价格","——")</f>
        <v>——</v>
      </c>
      <c r="B44" s="3872"/>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11689.8043</v>
      </c>
      <c r="M44" s="1149">
        <f>D18</f>
        <v>0.6</v>
      </c>
      <c r="N44" s="1150"/>
      <c r="O44" s="1151"/>
      <c r="P44" s="1752"/>
      <c r="V44" s="1752"/>
    </row>
    <row r="45" spans="1:26" ht="13.8">
      <c r="A45" s="3876" t="str">
        <f>IF(项目基本情况!E8="已注销及未注销","4.抵押担保权已注销时的抵押价格",IF(项目基本情况!E8="已注销","3.抵押担保权已注销时的抵押价格","——"))</f>
        <v>——</v>
      </c>
      <c r="B45" s="387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73" t="str">
        <f>IF(项目基本情况!E9="抵押净值",IF(A45="——","4.抵押净值","5.抵押净值"),"——")</f>
        <v>——</v>
      </c>
      <c r="B46" s="387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34" t="s">
        <v>340</v>
      </c>
      <c r="B63" s="3835"/>
      <c r="C63" s="3836"/>
      <c r="D63" s="332">
        <f ca="1">ROUND(C42*F63,0)</f>
        <v>10645</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78" t="s">
        <v>344</v>
      </c>
      <c r="B64" s="3879"/>
      <c r="C64" s="3879"/>
      <c r="D64" s="3879"/>
      <c r="E64" s="3879"/>
      <c r="F64" s="3879"/>
      <c r="G64" s="388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75" t="s">
        <v>352</v>
      </c>
      <c r="B66" s="3841"/>
      <c r="C66" s="3841"/>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02" t="s">
        <v>351</v>
      </c>
      <c r="M66" s="3803"/>
      <c r="N66" s="2110"/>
      <c r="O66" s="2111"/>
      <c r="P66" s="2112"/>
      <c r="Q66" s="1752"/>
      <c r="R66" s="1752"/>
      <c r="S66" s="1752"/>
      <c r="T66" s="1752"/>
      <c r="U66" s="1752"/>
      <c r="V66" s="1752"/>
    </row>
    <row r="67" spans="1:22" ht="25.5" customHeight="1">
      <c r="A67" s="343" t="s">
        <v>355</v>
      </c>
      <c r="B67" s="3853" t="s">
        <v>356</v>
      </c>
      <c r="C67" s="3853"/>
      <c r="D67" s="344">
        <v>0</v>
      </c>
      <c r="E67" s="39" t="s">
        <v>357</v>
      </c>
      <c r="F67" s="60" t="s">
        <v>15</v>
      </c>
      <c r="G67" s="3837"/>
      <c r="H67" s="2749" t="s">
        <v>2257</v>
      </c>
      <c r="I67" s="2751"/>
      <c r="J67" s="1759"/>
      <c r="K67" s="1731">
        <v>2</v>
      </c>
      <c r="L67" s="3807" t="s">
        <v>354</v>
      </c>
      <c r="M67" s="3807"/>
      <c r="N67" s="1194">
        <f>'数据-取费表'!B2</f>
        <v>45839</v>
      </c>
      <c r="O67" s="1194"/>
      <c r="P67" s="1194"/>
      <c r="Q67" s="1752"/>
      <c r="R67" s="1752"/>
      <c r="S67" s="1752"/>
      <c r="T67" s="1752"/>
      <c r="U67" s="1752"/>
      <c r="V67" s="1752"/>
    </row>
    <row r="68" spans="1:22" ht="25.5" customHeight="1">
      <c r="A68" s="345"/>
      <c r="B68" s="3853" t="s">
        <v>359</v>
      </c>
      <c r="C68" s="3853"/>
      <c r="D68" s="346"/>
      <c r="E68" s="75"/>
      <c r="F68" s="347"/>
      <c r="G68" s="3838"/>
      <c r="H68" s="2750" t="s">
        <v>2258</v>
      </c>
      <c r="I68" s="2751"/>
      <c r="J68" s="1759"/>
      <c r="K68" s="1731">
        <v>3</v>
      </c>
      <c r="L68" s="3807" t="s">
        <v>358</v>
      </c>
      <c r="M68" s="3807"/>
      <c r="N68" s="1162">
        <f ca="1">C42</f>
        <v>10645</v>
      </c>
      <c r="O68" s="1162"/>
      <c r="P68" s="1162"/>
      <c r="Q68" s="1752"/>
      <c r="R68" s="1752"/>
      <c r="S68" s="1752"/>
      <c r="T68" s="1752"/>
      <c r="U68" s="1752"/>
      <c r="V68" s="1752"/>
    </row>
    <row r="69" spans="1:22" ht="23.4" customHeight="1">
      <c r="A69" s="348"/>
      <c r="B69" s="3853" t="s">
        <v>360</v>
      </c>
      <c r="C69" s="3853"/>
      <c r="D69" s="349"/>
      <c r="E69" s="71"/>
      <c r="F69" s="347"/>
      <c r="G69" s="3839"/>
      <c r="H69" s="2750" t="s">
        <v>2259</v>
      </c>
      <c r="I69" s="2751"/>
      <c r="J69" s="1759"/>
      <c r="K69" s="1163">
        <v>4</v>
      </c>
      <c r="L69" s="3808" t="s">
        <v>2157</v>
      </c>
      <c r="M69" s="3809"/>
      <c r="N69" s="1164" t="str">
        <f>C44</f>
        <v>——</v>
      </c>
      <c r="O69" s="1164"/>
      <c r="P69" s="1164"/>
      <c r="Q69" s="1752"/>
      <c r="R69" s="1752"/>
      <c r="S69" s="1752"/>
      <c r="T69" s="1752"/>
      <c r="U69" s="1752"/>
      <c r="V69" s="1752"/>
    </row>
    <row r="70" spans="1:22" ht="24" customHeight="1">
      <c r="A70" s="350" t="s">
        <v>361</v>
      </c>
      <c r="B70" s="3853" t="s">
        <v>362</v>
      </c>
      <c r="C70" s="3853"/>
      <c r="D70" s="349">
        <f ca="1">ROUND(D63*'数据-取费表'!B41/(1+'数据-取费表'!C42),0)</f>
        <v>568</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52" t="s">
        <v>2282</v>
      </c>
      <c r="C71" s="3869"/>
      <c r="D71" s="349">
        <f ca="1">ROUND(D63*'数据-取费表'!B41/(1+'数据-取费表'!C42),0)</f>
        <v>568</v>
      </c>
      <c r="E71" s="15" t="s">
        <v>363</v>
      </c>
      <c r="F71" s="351">
        <f>'数据-取费表'!B41</f>
        <v>5.6000000000000001E-2</v>
      </c>
      <c r="G71" s="352"/>
      <c r="H71" s="302"/>
      <c r="I71" s="1161"/>
      <c r="J71" s="1759"/>
      <c r="K71" s="2521" t="s">
        <v>364</v>
      </c>
      <c r="L71" s="3810" t="s">
        <v>365</v>
      </c>
      <c r="M71" s="3810"/>
      <c r="N71" s="2521" t="s">
        <v>366</v>
      </c>
      <c r="O71" s="2521" t="s">
        <v>367</v>
      </c>
      <c r="P71" s="2521" t="s">
        <v>368</v>
      </c>
      <c r="Q71" s="1752"/>
      <c r="R71" s="1752"/>
      <c r="S71" s="1752"/>
      <c r="T71" s="1752"/>
      <c r="U71" s="1752"/>
      <c r="V71" s="1752"/>
    </row>
    <row r="72" spans="1:22" ht="12" customHeight="1">
      <c r="A72" s="350" t="s">
        <v>371</v>
      </c>
      <c r="B72" s="3852" t="s">
        <v>2283</v>
      </c>
      <c r="C72" s="3869"/>
      <c r="D72" s="349">
        <f ca="1">C86</f>
        <v>568</v>
      </c>
      <c r="E72" s="71" t="s">
        <v>372</v>
      </c>
      <c r="F72" s="351">
        <f>'数据-取费表'!B41</f>
        <v>5.6000000000000001E-2</v>
      </c>
      <c r="G72" s="352"/>
      <c r="H72" s="1167"/>
      <c r="I72" s="1161"/>
      <c r="J72" s="1759"/>
      <c r="K72" s="1731">
        <v>1</v>
      </c>
      <c r="L72" s="3806" t="s">
        <v>370</v>
      </c>
      <c r="M72" s="3806"/>
      <c r="N72" s="1165" t="b">
        <f>D66</f>
        <v>0</v>
      </c>
      <c r="O72" s="1636" t="str">
        <f>E66</f>
        <v>销售额×税（费）率</v>
      </c>
      <c r="P72" s="1166">
        <f>F66</f>
        <v>5.6000000000000001E-2</v>
      </c>
      <c r="Q72" s="1752"/>
      <c r="R72" s="1752"/>
      <c r="S72" s="1752"/>
      <c r="T72" s="1752"/>
      <c r="U72" s="1752"/>
      <c r="V72" s="1752"/>
    </row>
    <row r="73" spans="1:22" ht="24" customHeight="1">
      <c r="A73" s="3840" t="s">
        <v>374</v>
      </c>
      <c r="B73" s="3841"/>
      <c r="C73" s="3841"/>
      <c r="D73" s="353">
        <f ca="1">IF(H73="个人住宅",0,ROUND(D63*I73,0))</f>
        <v>5</v>
      </c>
      <c r="E73" s="15" t="s">
        <v>375</v>
      </c>
      <c r="F73" s="351" t="str">
        <f>IF(H73="正常",I73,"免征")</f>
        <v>免征</v>
      </c>
      <c r="G73" s="352"/>
      <c r="H73" s="184"/>
      <c r="I73" s="351">
        <f>'数据-取费表'!B49</f>
        <v>5.0000000000000001E-4</v>
      </c>
      <c r="J73" s="1759"/>
      <c r="K73" s="1731">
        <v>2</v>
      </c>
      <c r="L73" s="3806" t="s">
        <v>373</v>
      </c>
      <c r="M73" s="3806"/>
      <c r="N73" s="1165">
        <f t="shared" ref="N73:P74" ca="1" si="0">D73</f>
        <v>5</v>
      </c>
      <c r="O73" s="1636" t="str">
        <f t="shared" si="0"/>
        <v>销售额×税（费）率</v>
      </c>
      <c r="P73" s="1166" t="str">
        <f t="shared" si="0"/>
        <v>免征</v>
      </c>
      <c r="Q73" s="1752"/>
      <c r="R73" s="1752"/>
      <c r="S73" s="1752"/>
      <c r="T73" s="1752"/>
      <c r="U73" s="1752"/>
      <c r="V73" s="1752"/>
    </row>
    <row r="74" spans="1:22" ht="25.2">
      <c r="A74" s="3840" t="s">
        <v>377</v>
      </c>
      <c r="B74" s="3841"/>
      <c r="C74" s="3841"/>
      <c r="D74" s="353">
        <f ca="1">IF(H74="个人住宅",D75,D76)</f>
        <v>6025</v>
      </c>
      <c r="E74" s="15" t="s">
        <v>378</v>
      </c>
      <c r="F74" s="351" t="str">
        <f>IF(H74="正常",F76,"免征")</f>
        <v>免征</v>
      </c>
      <c r="G74" s="945" t="s">
        <v>379</v>
      </c>
      <c r="H74" s="354"/>
      <c r="I74" s="40"/>
      <c r="J74" s="1759"/>
      <c r="K74" s="1731">
        <v>3</v>
      </c>
      <c r="L74" s="3806" t="s">
        <v>376</v>
      </c>
      <c r="M74" s="3806"/>
      <c r="N74" s="1165">
        <f t="shared" ca="1" si="0"/>
        <v>6025</v>
      </c>
      <c r="O74" s="1636" t="str">
        <f t="shared" si="0"/>
        <v>增值额×税（费）率</v>
      </c>
      <c r="P74" s="1168" t="str">
        <f t="shared" si="0"/>
        <v>免征</v>
      </c>
      <c r="Q74" s="1752"/>
      <c r="R74" s="1752"/>
      <c r="S74" s="1752"/>
      <c r="T74" s="1752"/>
      <c r="U74" s="1752"/>
      <c r="V74" s="1752"/>
    </row>
    <row r="75" spans="1:22" ht="13.2">
      <c r="A75" s="350" t="s">
        <v>380</v>
      </c>
      <c r="B75" s="3821" t="s">
        <v>381</v>
      </c>
      <c r="C75" s="3822"/>
      <c r="D75" s="355">
        <v>0</v>
      </c>
      <c r="E75" s="39" t="s">
        <v>382</v>
      </c>
      <c r="F75" s="356"/>
      <c r="G75" s="352"/>
      <c r="H75" s="40"/>
      <c r="I75" s="40"/>
      <c r="J75" s="1759"/>
      <c r="K75" s="2515">
        <f>IF(H77="非个人房产","",4)</f>
        <v>4</v>
      </c>
      <c r="L75" s="3806" t="str">
        <f>IF(H77="非个人房产","——","个人所得税")</f>
        <v>个人所得税</v>
      </c>
      <c r="M75" s="3806"/>
      <c r="N75" s="1169">
        <f>D77</f>
        <v>0</v>
      </c>
      <c r="O75" s="1637" t="str">
        <f>E77</f>
        <v>差额计税</v>
      </c>
      <c r="P75" s="1170">
        <f>F77</f>
        <v>0.01</v>
      </c>
      <c r="Q75" s="1752"/>
      <c r="R75" s="1752"/>
      <c r="S75" s="1752"/>
      <c r="T75" s="1752"/>
      <c r="U75" s="1752"/>
      <c r="V75" s="1752"/>
    </row>
    <row r="76" spans="1:22" ht="25.2">
      <c r="A76" s="350" t="s">
        <v>361</v>
      </c>
      <c r="B76" s="3821" t="s">
        <v>384</v>
      </c>
      <c r="C76" s="3863"/>
      <c r="D76" s="353">
        <f ca="1">IF(H76="转让取得",C99,C115)</f>
        <v>6025</v>
      </c>
      <c r="E76" s="15" t="s">
        <v>385</v>
      </c>
      <c r="F76" s="51" t="s">
        <v>15</v>
      </c>
      <c r="G76" s="352"/>
      <c r="H76" s="354"/>
      <c r="I76" s="40"/>
      <c r="J76" s="1759"/>
      <c r="K76" s="2515" t="str">
        <f>IF(项目基本情况!K6="上海银行",IF(K75="",4,K75+1),"")</f>
        <v/>
      </c>
      <c r="L76" s="3817" t="str">
        <f>IF(项目基本情况!K6="上海银行","其他处置费用","")</f>
        <v/>
      </c>
      <c r="M76" s="3818"/>
      <c r="N76" s="1165" t="str">
        <f>IF(项目基本情况!K6="上海银行",N89,"")</f>
        <v/>
      </c>
      <c r="O76" s="3819" t="str">
        <f>IF(项目基本情况!K6="上海银行","包含处置中涉及的律师、诉讼、拍卖、评估等费用","")</f>
        <v/>
      </c>
      <c r="P76" s="3820"/>
      <c r="Q76" s="1752"/>
      <c r="R76" s="1752"/>
      <c r="S76" s="1752"/>
      <c r="T76" s="1752"/>
      <c r="U76" s="1752"/>
      <c r="V76" s="1752"/>
    </row>
    <row r="77" spans="1:22" ht="24.6" thickBot="1">
      <c r="A77" s="3832" t="s">
        <v>387</v>
      </c>
      <c r="B77" s="3833"/>
      <c r="C77" s="3833"/>
      <c r="D77" s="2754">
        <f>IF(H77="非个人房产","——",IF(H77="个人住宅（满五唯一有凭证）",0,IF(H77="个人其他（无凭证）",ROUND(D63(1+'数据-取费表'!C42)*F77,0),ROUND(C84*F77,0))))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28">
        <f>IF(AND(K75="",K76=""),4,IF(项目基本情况!K6="上海银行",K76+1,K75+1))</f>
        <v>5</v>
      </c>
      <c r="L77" s="3806" t="s">
        <v>2158</v>
      </c>
      <c r="M77" s="2520" t="s">
        <v>383</v>
      </c>
      <c r="N77" s="1171"/>
      <c r="O77" s="1172">
        <f ca="1">SUMIF(N72:N76,"&lt;9e307")</f>
        <v>6030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28"/>
      <c r="L78" s="3806"/>
      <c r="M78" s="2520" t="s">
        <v>386</v>
      </c>
      <c r="N78" s="1171"/>
      <c r="O78" s="1172" t="str">
        <f ca="1">NUMBERSTRING(INT(O77*10000),2)&amp;"元整"</f>
        <v>陆仟零叁拾万元整</v>
      </c>
      <c r="P78" s="1173"/>
      <c r="Q78" s="1752"/>
      <c r="R78" s="1752"/>
      <c r="S78" s="1752"/>
      <c r="T78" s="1752"/>
      <c r="U78" s="1752"/>
      <c r="V78" s="1752"/>
    </row>
    <row r="79" spans="1:22" ht="13.8" thickBot="1">
      <c r="A79" s="3883" t="s">
        <v>388</v>
      </c>
      <c r="B79" s="3883"/>
      <c r="C79" s="3883"/>
      <c r="D79" s="3883"/>
      <c r="E79" s="3883"/>
      <c r="F79" s="40"/>
      <c r="G79" s="40"/>
      <c r="H79" s="965"/>
      <c r="I79" s="302"/>
      <c r="J79" s="1759"/>
      <c r="K79" s="3804">
        <f>K77+1</f>
        <v>6</v>
      </c>
      <c r="L79" s="3806" t="s">
        <v>2159</v>
      </c>
      <c r="M79" s="2520" t="s">
        <v>383</v>
      </c>
      <c r="N79" s="1171"/>
      <c r="O79" s="1172" t="e">
        <f ca="1">N69-O77</f>
        <v>#VALUE!</v>
      </c>
      <c r="P79" s="1173"/>
      <c r="Q79" s="1752"/>
      <c r="R79" s="1752"/>
      <c r="S79" s="1752"/>
      <c r="T79" s="1752"/>
      <c r="U79" s="1752"/>
      <c r="V79" s="1752"/>
    </row>
    <row r="80" spans="1:22" ht="13.2">
      <c r="A80" s="3814" t="s">
        <v>389</v>
      </c>
      <c r="B80" s="3815"/>
      <c r="C80" s="956"/>
      <c r="D80" s="956" t="s">
        <v>390</v>
      </c>
      <c r="E80" s="357" t="s">
        <v>391</v>
      </c>
      <c r="F80" s="40"/>
      <c r="G80" s="40"/>
      <c r="H80" s="965"/>
      <c r="I80" s="302"/>
      <c r="J80" s="1752"/>
      <c r="K80" s="3805"/>
      <c r="L80" s="3806"/>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10138</v>
      </c>
      <c r="D81" s="360"/>
      <c r="E81" s="361"/>
      <c r="F81" s="40"/>
      <c r="G81" s="40"/>
      <c r="H81" s="965"/>
      <c r="I81" s="302"/>
      <c r="J81" s="1752"/>
      <c r="K81" s="2515">
        <f>K79+1</f>
        <v>7</v>
      </c>
      <c r="L81" s="3826" t="s">
        <v>2160</v>
      </c>
      <c r="M81" s="3827"/>
      <c r="N81" s="1175"/>
      <c r="O81" s="1176" t="e">
        <f ca="1">ROUND(O79*10000/'数据-汇总表'!E3,0)</f>
        <v>#VALUE!</v>
      </c>
      <c r="P81" s="1177"/>
      <c r="Q81" s="1752"/>
      <c r="R81" s="1752"/>
      <c r="S81" s="1752"/>
      <c r="T81" s="1752"/>
      <c r="U81" s="1752"/>
      <c r="V81" s="1752"/>
    </row>
    <row r="82" spans="1:26" ht="13.8" thickTop="1">
      <c r="A82" s="362" t="s">
        <v>1353</v>
      </c>
      <c r="B82" s="363" t="s">
        <v>393</v>
      </c>
      <c r="C82" s="364">
        <f ca="1">D63</f>
        <v>10645</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16"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16"/>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10138</v>
      </c>
      <c r="D85" s="365" t="s">
        <v>13</v>
      </c>
      <c r="E85" s="366"/>
      <c r="F85" s="40"/>
      <c r="G85" s="40"/>
      <c r="H85" s="965"/>
      <c r="I85" s="302"/>
      <c r="J85" s="1752"/>
      <c r="K85" s="3816"/>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568</v>
      </c>
      <c r="D86" s="376">
        <f>'数据-取费表'!B41</f>
        <v>5.6000000000000001E-2</v>
      </c>
      <c r="E86" s="377"/>
      <c r="F86" s="40"/>
      <c r="G86" s="40"/>
      <c r="H86" s="965"/>
      <c r="I86" s="302"/>
      <c r="J86" s="1752"/>
      <c r="K86" s="3816"/>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16"/>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55" t="s">
        <v>398</v>
      </c>
      <c r="B88" s="3856"/>
      <c r="C88" s="3856"/>
      <c r="D88" s="3856"/>
      <c r="E88" s="3856"/>
      <c r="F88" s="3856"/>
      <c r="G88" s="3856"/>
      <c r="H88" s="3856"/>
      <c r="I88" s="1184"/>
      <c r="J88" s="1760"/>
      <c r="K88" s="3816"/>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814" t="s">
        <v>389</v>
      </c>
      <c r="B89" s="3815"/>
      <c r="C89" s="956"/>
      <c r="D89" s="956" t="s">
        <v>390</v>
      </c>
      <c r="E89" s="378" t="s">
        <v>399</v>
      </c>
      <c r="F89" s="379"/>
      <c r="G89" s="379"/>
      <c r="H89" s="380"/>
      <c r="I89" s="1185"/>
      <c r="J89" s="1762"/>
      <c r="K89" s="3816"/>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10138</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61</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52" t="s">
        <v>407</v>
      </c>
      <c r="F94" s="3853"/>
      <c r="G94" s="3853"/>
      <c r="H94" s="385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61</v>
      </c>
      <c r="D96" s="393">
        <f>'数据-取费表'!B43</f>
        <v>6.000000000000001E-3</v>
      </c>
      <c r="E96" s="3811" t="s">
        <v>1780</v>
      </c>
      <c r="F96" s="3812"/>
      <c r="G96" s="3812"/>
      <c r="H96" s="381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10077</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165.19672131147541</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6025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55" t="s">
        <v>414</v>
      </c>
      <c r="B101" s="3856"/>
      <c r="C101" s="3856"/>
      <c r="D101" s="3856"/>
      <c r="E101" s="3856"/>
      <c r="F101" s="3856"/>
      <c r="G101" s="3856"/>
      <c r="H101" s="385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14" t="s">
        <v>389</v>
      </c>
      <c r="B102" s="381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10138</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61</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67" t="s">
        <v>2252</v>
      </c>
      <c r="H108" s="3868"/>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45" t="s">
        <v>422</v>
      </c>
      <c r="F109" s="3812"/>
      <c r="G109" s="381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45" t="s">
        <v>424</v>
      </c>
      <c r="F110" s="3812"/>
      <c r="G110" s="3812"/>
      <c r="H110" s="3813"/>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61</v>
      </c>
      <c r="D111" s="393">
        <f>'数据-取费表'!B43</f>
        <v>6.000000000000001E-3</v>
      </c>
      <c r="E111" s="3811" t="s">
        <v>1780</v>
      </c>
      <c r="F111" s="3812"/>
      <c r="G111" s="3812"/>
      <c r="H111" s="381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45" t="s">
        <v>1799</v>
      </c>
      <c r="F112" s="3812"/>
      <c r="G112" s="3812"/>
      <c r="H112" s="381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10077</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165.19672131147541</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6025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abSelected="1" workbookViewId="0">
      <selection activeCell="J17" sqref="J17"/>
    </sheetView>
  </sheetViews>
  <sheetFormatPr defaultRowHeight="14.4"/>
  <cols>
    <col min="2" max="2" width="32.21875" customWidth="1"/>
    <col min="3" max="3" width="15.33203125" customWidth="1"/>
  </cols>
  <sheetData>
    <row r="1" spans="1:3">
      <c r="A1" s="3884" t="s">
        <v>3373</v>
      </c>
      <c r="B1" s="3884"/>
      <c r="C1" s="3884"/>
    </row>
    <row r="2" spans="1:3">
      <c r="A2" s="3711" t="s">
        <v>3354</v>
      </c>
      <c r="B2" s="3711" t="s">
        <v>3374</v>
      </c>
      <c r="C2" s="3711" t="s">
        <v>3375</v>
      </c>
    </row>
    <row r="3" spans="1:3">
      <c r="A3" s="3711">
        <v>1</v>
      </c>
      <c r="B3" s="3711" t="s">
        <v>3376</v>
      </c>
      <c r="C3" s="3711">
        <f ca="1">ROUND(结果表!G21*'数据-汇总表'!D3/10000,4)</f>
        <v>10645.016600000001</v>
      </c>
    </row>
    <row r="4" spans="1:3">
      <c r="A4" s="3711">
        <v>2</v>
      </c>
      <c r="B4" s="3711" t="s">
        <v>3377</v>
      </c>
      <c r="C4" s="3711">
        <f>850*'数据-汇总表'!E6/10000</f>
        <v>169.4135</v>
      </c>
    </row>
    <row r="5" spans="1:3">
      <c r="A5" s="3711">
        <v>3</v>
      </c>
      <c r="B5" s="3711" t="s">
        <v>3378</v>
      </c>
      <c r="C5" s="3711">
        <f>[3]红军营!$G$13/10000</f>
        <v>11.532</v>
      </c>
    </row>
    <row r="6" spans="1:3">
      <c r="A6" s="3711">
        <v>4</v>
      </c>
      <c r="B6" s="3711" t="s">
        <v>3379</v>
      </c>
      <c r="C6" s="3711">
        <v>0</v>
      </c>
    </row>
    <row r="7" spans="1:3">
      <c r="A7" s="3711">
        <v>5</v>
      </c>
      <c r="B7" s="3711" t="s">
        <v>3380</v>
      </c>
      <c r="C7" s="3711">
        <v>0</v>
      </c>
    </row>
    <row r="8" spans="1:3">
      <c r="A8" s="3711">
        <v>6</v>
      </c>
      <c r="B8" s="3711" t="s">
        <v>3381</v>
      </c>
      <c r="C8" s="3711">
        <v>0</v>
      </c>
    </row>
    <row r="9" spans="1:3">
      <c r="A9" s="3711">
        <v>7</v>
      </c>
      <c r="B9" s="3711" t="s">
        <v>3382</v>
      </c>
      <c r="C9" s="3711">
        <f>ROUND('数据-基础表'!B3*50/10000,4)</f>
        <v>9.9655000000000005</v>
      </c>
    </row>
    <row r="10" spans="1:3">
      <c r="A10" s="3885" t="s">
        <v>3282</v>
      </c>
      <c r="B10" s="3885"/>
      <c r="C10" s="3711">
        <f ca="1">ROUND(SUM(C3:C9),4)</f>
        <v>10835.927600000001</v>
      </c>
    </row>
    <row r="11" spans="1:3">
      <c r="A11" s="3885" t="s">
        <v>3383</v>
      </c>
      <c r="B11" s="3885"/>
      <c r="C11" s="3711">
        <f ca="1">ROUND(C10*10000/'数据-基础表'!A3,0)</f>
        <v>7808</v>
      </c>
    </row>
    <row r="12" spans="1:3">
      <c r="A12" s="3885" t="s">
        <v>3384</v>
      </c>
      <c r="B12" s="3885"/>
      <c r="C12" s="3711">
        <f ca="1">ROUND(C11/15,0)</f>
        <v>521</v>
      </c>
    </row>
  </sheetData>
  <mergeCells count="4">
    <mergeCell ref="A1:C1"/>
    <mergeCell ref="A10:B10"/>
    <mergeCell ref="A11:B11"/>
    <mergeCell ref="A12:B12"/>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12" t="str">
        <f>项目基本情况!B1</f>
        <v>北京市划拨国有建设用地使用权市场价格预评估</v>
      </c>
      <c r="C37" s="3712"/>
      <c r="D37" s="3712"/>
      <c r="E37" s="3712"/>
      <c r="F37" s="3712"/>
      <c r="G37" s="3712"/>
      <c r="H37" s="3712"/>
      <c r="I37" s="371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26" sqref="F26"/>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235</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1179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169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1993.1</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1993.1</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-237.5754</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40</v>
      </c>
      <c r="D22" s="2324">
        <f ca="1">IF(B1="",'数据-汇总表'!E6,IF(INDIRECT("'数据-取费表'!c"&amp;$K$1)="住宅",INDIRECT("'数据-取费表'!s"&amp;$K$1),INDIRECT("'数据-取费表'!k"&amp;$K$1)+INDIRECT("'数据-取费表'!s"&amp;$K$1)))</f>
        <v>1993.1</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-5</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3.0599999999999999E-2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-242.5754</v>
      </c>
      <c r="D30" s="463">
        <f ca="1">C32</f>
        <v>2.9000000000000001E-2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-242.5754</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2.9000000000000001E-2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-36</v>
      </c>
      <c r="D33" s="453">
        <f ca="1">C34</f>
        <v>0.15440000000000001</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0.15440000000000001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-36</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235</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26" sqref="F26"/>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-188.21748547102592</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-944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-136</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299</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15</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1993.1</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6</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320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6</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2</v>
      </c>
      <c r="D20" s="448">
        <f ca="1">ROUND(((1+F20)^'数据-取费表'!B20)-1,4)</f>
        <v>1.52E-2</v>
      </c>
      <c r="E20" s="448"/>
      <c r="F20" s="457">
        <f ca="1">'数据-取费表'!B40</f>
        <v>3.0599999999999999E-2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f ca="1">ROUND((C18+C19)*F21,0)</f>
        <v>49</v>
      </c>
      <c r="D21" s="3029"/>
      <c r="E21" s="448"/>
      <c r="F21" s="465">
        <f ca="1">IF(B1="",'数据-取费表'!Q16,INDIRECT("'数据-取费表'!q"&amp;$K$1))</f>
        <v>0.15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0.6</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f ca="1">ROUND((C18+C19+C20+C21)*F22,0)</f>
        <v>226</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6" t="s">
        <v>1394</v>
      </c>
      <c r="B24" s="3887"/>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6" t="s">
        <v>2293</v>
      </c>
      <c r="B25" s="3887"/>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6" t="s">
        <v>2294</v>
      </c>
      <c r="B26" s="3887"/>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88" t="s">
        <v>2292</v>
      </c>
      <c r="B27" s="3889"/>
      <c r="C27" s="3047">
        <f ca="1">(C6-C23-C24-C25)/((1+F26)*(1+D20+F21))</f>
        <v>-188.21748547102592</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26" sqref="F26"/>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13" t="s">
        <v>471</v>
      </c>
      <c r="D6" s="3914"/>
      <c r="E6" s="3913" t="s">
        <v>472</v>
      </c>
      <c r="F6" s="3914"/>
      <c r="G6" s="3913" t="s">
        <v>473</v>
      </c>
      <c r="H6" s="3914"/>
      <c r="I6" s="3913" t="s">
        <v>474</v>
      </c>
      <c r="J6" s="3914"/>
      <c r="K6" s="484" t="s">
        <v>475</v>
      </c>
      <c r="L6" s="1856"/>
      <c r="M6" s="1855"/>
      <c r="N6" s="1855"/>
      <c r="O6" s="1857"/>
      <c r="P6" s="3915" t="s">
        <v>476</v>
      </c>
      <c r="Q6" s="3916"/>
      <c r="R6" s="3899" t="s">
        <v>472</v>
      </c>
      <c r="S6" s="3900"/>
      <c r="T6" s="3899" t="s">
        <v>473</v>
      </c>
      <c r="U6" s="3900"/>
      <c r="V6" s="3921" t="s">
        <v>474</v>
      </c>
      <c r="W6" s="3921"/>
      <c r="X6" s="1380"/>
      <c r="Y6" s="3899" t="s">
        <v>476</v>
      </c>
      <c r="Z6" s="3900"/>
      <c r="AA6" s="3894" t="s">
        <v>472</v>
      </c>
      <c r="AB6" s="3895" t="s">
        <v>473</v>
      </c>
      <c r="AC6" s="3894" t="s">
        <v>474</v>
      </c>
    </row>
    <row r="7" spans="1:30" ht="21">
      <c r="A7" s="485"/>
      <c r="B7" s="486"/>
      <c r="C7" s="3924" t="s">
        <v>2192</v>
      </c>
      <c r="D7" s="3925"/>
      <c r="E7" s="3924" t="s">
        <v>2193</v>
      </c>
      <c r="F7" s="3925"/>
      <c r="G7" s="3924" t="s">
        <v>2194</v>
      </c>
      <c r="H7" s="3925"/>
      <c r="I7" s="3924" t="s">
        <v>2195</v>
      </c>
      <c r="J7" s="3925"/>
      <c r="K7" s="484"/>
      <c r="L7" s="1856"/>
      <c r="M7" s="1855"/>
      <c r="N7" s="1855"/>
      <c r="O7" s="1857"/>
      <c r="P7" s="3917"/>
      <c r="Q7" s="3918"/>
      <c r="R7" s="3901"/>
      <c r="S7" s="3902"/>
      <c r="T7" s="3901"/>
      <c r="U7" s="3902"/>
      <c r="V7" s="3921"/>
      <c r="W7" s="3921"/>
      <c r="X7" s="1380"/>
      <c r="Y7" s="3901"/>
      <c r="Z7" s="3902"/>
      <c r="AA7" s="3895"/>
      <c r="AB7" s="3895"/>
      <c r="AC7" s="3895"/>
    </row>
    <row r="8" spans="1:30" ht="21.6" thickBot="1">
      <c r="A8" s="485"/>
      <c r="B8" s="486"/>
      <c r="C8" s="3926" t="s">
        <v>2196</v>
      </c>
      <c r="D8" s="3927"/>
      <c r="E8" s="3926" t="s">
        <v>2196</v>
      </c>
      <c r="F8" s="3927"/>
      <c r="G8" s="3922" t="s">
        <v>2196</v>
      </c>
      <c r="H8" s="3923"/>
      <c r="I8" s="3922" t="s">
        <v>2196</v>
      </c>
      <c r="J8" s="3923"/>
      <c r="K8" s="484" t="s">
        <v>477</v>
      </c>
      <c r="L8" s="1856"/>
      <c r="M8" s="1855"/>
      <c r="N8" s="1855"/>
      <c r="O8" s="1857"/>
      <c r="P8" s="3919"/>
      <c r="Q8" s="3920"/>
      <c r="R8" s="3901"/>
      <c r="S8" s="3902"/>
      <c r="T8" s="3903"/>
      <c r="U8" s="3904"/>
      <c r="V8" s="3921"/>
      <c r="W8" s="3921"/>
      <c r="X8" s="1380"/>
      <c r="Y8" s="3903"/>
      <c r="Z8" s="3904"/>
      <c r="AA8" s="3896"/>
      <c r="AB8" s="3896"/>
      <c r="AC8" s="3896"/>
    </row>
    <row r="9" spans="1:30" s="1118" customFormat="1" ht="21.6" thickBot="1">
      <c r="A9" s="2392"/>
      <c r="B9" s="2399" t="s">
        <v>478</v>
      </c>
      <c r="C9" s="2391">
        <f>'数据-取费表'!B2</f>
        <v>45839</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97" t="s">
        <v>479</v>
      </c>
      <c r="Q9" s="3906"/>
      <c r="R9" s="1381" t="s">
        <v>5</v>
      </c>
      <c r="S9" s="1382">
        <f t="shared" ref="S9:S17" si="0">F9</f>
        <v>0</v>
      </c>
      <c r="T9" s="1381" t="s">
        <v>5</v>
      </c>
      <c r="U9" s="1382">
        <f t="shared" ref="U9:U17" si="1">H9</f>
        <v>0</v>
      </c>
      <c r="V9" s="1381" t="s">
        <v>5</v>
      </c>
      <c r="W9" s="1382">
        <f t="shared" ref="W9:W17" si="2">J9</f>
        <v>0</v>
      </c>
      <c r="X9" s="1383"/>
      <c r="Y9" s="3897" t="s">
        <v>479</v>
      </c>
      <c r="Z9" s="3898"/>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97" t="s">
        <v>482</v>
      </c>
      <c r="Q10" s="3898"/>
      <c r="R10" s="1381" t="s">
        <v>5</v>
      </c>
      <c r="S10" s="1382">
        <f t="shared" si="0"/>
        <v>0</v>
      </c>
      <c r="T10" s="1381" t="s">
        <v>5</v>
      </c>
      <c r="U10" s="1382">
        <f t="shared" si="1"/>
        <v>0</v>
      </c>
      <c r="V10" s="1381" t="s">
        <v>5</v>
      </c>
      <c r="W10" s="1382">
        <f t="shared" si="2"/>
        <v>0</v>
      </c>
      <c r="X10" s="1383"/>
      <c r="Y10" s="3897" t="s">
        <v>482</v>
      </c>
      <c r="Z10" s="3898"/>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05" t="s">
        <v>484</v>
      </c>
      <c r="Q11" s="1050" t="str">
        <f t="shared" ref="Q11:Q17" si="6">B11</f>
        <v>用途</v>
      </c>
      <c r="R11" s="1381" t="s">
        <v>5</v>
      </c>
      <c r="S11" s="1382">
        <f t="shared" si="0"/>
        <v>100</v>
      </c>
      <c r="T11" s="1381" t="s">
        <v>5</v>
      </c>
      <c r="U11" s="1382">
        <f t="shared" si="1"/>
        <v>100</v>
      </c>
      <c r="V11" s="1381" t="s">
        <v>5</v>
      </c>
      <c r="W11" s="1382">
        <f t="shared" si="2"/>
        <v>100</v>
      </c>
      <c r="X11" s="1383"/>
      <c r="Y11" s="3851"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05"/>
      <c r="Q12" s="1050" t="str">
        <f t="shared" si="6"/>
        <v>土地使用年限（年）</v>
      </c>
      <c r="R12" s="1381" t="s">
        <v>5</v>
      </c>
      <c r="S12" s="1382">
        <f t="shared" si="0"/>
        <v>100</v>
      </c>
      <c r="T12" s="1381" t="s">
        <v>5</v>
      </c>
      <c r="U12" s="1382">
        <f t="shared" si="1"/>
        <v>100</v>
      </c>
      <c r="V12" s="1381" t="s">
        <v>5</v>
      </c>
      <c r="W12" s="1382">
        <f t="shared" si="2"/>
        <v>100</v>
      </c>
      <c r="X12" s="1383"/>
      <c r="Y12" s="3851"/>
      <c r="Z12" s="1049" t="str">
        <f t="shared" si="7"/>
        <v>土地使用年限（年）</v>
      </c>
      <c r="AA12" s="1384">
        <f t="shared" si="3"/>
        <v>1</v>
      </c>
      <c r="AB12" s="1384">
        <f t="shared" si="4"/>
        <v>1</v>
      </c>
      <c r="AC12" s="1384">
        <f t="shared" si="5"/>
        <v>1</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05"/>
      <c r="Q13" s="1050" t="str">
        <f t="shared" si="6"/>
        <v>容积率</v>
      </c>
      <c r="R13" s="1381" t="s">
        <v>5</v>
      </c>
      <c r="S13" s="1382" t="e">
        <f t="shared" si="0"/>
        <v>#N/A</v>
      </c>
      <c r="T13" s="1381" t="s">
        <v>5</v>
      </c>
      <c r="U13" s="1382" t="e">
        <f t="shared" si="1"/>
        <v>#N/A</v>
      </c>
      <c r="V13" s="1381" t="s">
        <v>5</v>
      </c>
      <c r="W13" s="1382" t="e">
        <f t="shared" si="2"/>
        <v>#N/A</v>
      </c>
      <c r="X13" s="1383"/>
      <c r="Y13" s="3851"/>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05"/>
      <c r="Q14" s="1050" t="str">
        <f t="shared" si="6"/>
        <v>配建</v>
      </c>
      <c r="R14" s="1381" t="s">
        <v>5</v>
      </c>
      <c r="S14" s="1382">
        <f t="shared" si="0"/>
        <v>100</v>
      </c>
      <c r="T14" s="1381" t="s">
        <v>5</v>
      </c>
      <c r="U14" s="1382">
        <f t="shared" si="1"/>
        <v>100</v>
      </c>
      <c r="V14" s="1381" t="s">
        <v>5</v>
      </c>
      <c r="W14" s="1382">
        <f t="shared" si="2"/>
        <v>100</v>
      </c>
      <c r="X14" s="1383"/>
      <c r="Y14" s="3851"/>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05"/>
      <c r="Q15" s="1050">
        <f t="shared" si="6"/>
        <v>111</v>
      </c>
      <c r="R15" s="1381" t="s">
        <v>5</v>
      </c>
      <c r="S15" s="1382">
        <f t="shared" si="0"/>
        <v>100</v>
      </c>
      <c r="T15" s="1381" t="s">
        <v>5</v>
      </c>
      <c r="U15" s="1382">
        <f t="shared" si="1"/>
        <v>100</v>
      </c>
      <c r="V15" s="1381" t="s">
        <v>5</v>
      </c>
      <c r="W15" s="1382">
        <f t="shared" si="2"/>
        <v>100</v>
      </c>
      <c r="X15" s="1383"/>
      <c r="Y15" s="3851"/>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05"/>
      <c r="Q16" s="1050">
        <f t="shared" si="6"/>
        <v>111</v>
      </c>
      <c r="R16" s="1381" t="s">
        <v>5</v>
      </c>
      <c r="S16" s="1382">
        <f t="shared" si="0"/>
        <v>100</v>
      </c>
      <c r="T16" s="1381" t="s">
        <v>5</v>
      </c>
      <c r="U16" s="1382">
        <f t="shared" si="1"/>
        <v>100</v>
      </c>
      <c r="V16" s="1381" t="s">
        <v>5</v>
      </c>
      <c r="W16" s="1382">
        <f t="shared" si="2"/>
        <v>100</v>
      </c>
      <c r="X16" s="1383"/>
      <c r="Y16" s="3851"/>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07" t="s">
        <v>489</v>
      </c>
      <c r="Q17" s="1385" t="str">
        <f t="shared" si="6"/>
        <v>居住社区成熟度</v>
      </c>
      <c r="R17" s="1386" t="s">
        <v>5</v>
      </c>
      <c r="S17" s="1387">
        <f t="shared" si="0"/>
        <v>100</v>
      </c>
      <c r="T17" s="1386" t="s">
        <v>5</v>
      </c>
      <c r="U17" s="1387">
        <f t="shared" si="1"/>
        <v>100</v>
      </c>
      <c r="V17" s="1386" t="s">
        <v>5</v>
      </c>
      <c r="W17" s="1387">
        <f t="shared" si="2"/>
        <v>100</v>
      </c>
      <c r="X17" s="1380"/>
      <c r="Y17" s="3907"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08"/>
      <c r="Q18" s="1385"/>
      <c r="R18" s="1386"/>
      <c r="S18" s="1387"/>
      <c r="T18" s="1386"/>
      <c r="U18" s="1387"/>
      <c r="V18" s="1386"/>
      <c r="W18" s="1387"/>
      <c r="X18" s="1380"/>
      <c r="Y18" s="3908"/>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08"/>
      <c r="Q19" s="1385" t="str">
        <f>B19</f>
        <v>商业繁华度</v>
      </c>
      <c r="R19" s="1386" t="s">
        <v>5</v>
      </c>
      <c r="S19" s="1387">
        <f>F19</f>
        <v>100</v>
      </c>
      <c r="T19" s="1386" t="s">
        <v>5</v>
      </c>
      <c r="U19" s="1387">
        <f>H19</f>
        <v>100</v>
      </c>
      <c r="V19" s="1386" t="s">
        <v>5</v>
      </c>
      <c r="W19" s="1387">
        <f>J19</f>
        <v>100</v>
      </c>
      <c r="X19" s="1380"/>
      <c r="Y19" s="3908"/>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08"/>
      <c r="Q20" s="1385"/>
      <c r="R20" s="1386"/>
      <c r="S20" s="1387"/>
      <c r="T20" s="1386"/>
      <c r="U20" s="1387"/>
      <c r="V20" s="1386"/>
      <c r="W20" s="1387"/>
      <c r="X20" s="1380"/>
      <c r="Y20" s="3908"/>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08"/>
      <c r="Q21" s="1385" t="str">
        <f>B21</f>
        <v>办公集聚程度</v>
      </c>
      <c r="R21" s="1386" t="s">
        <v>5</v>
      </c>
      <c r="S21" s="1387">
        <f>F21</f>
        <v>100</v>
      </c>
      <c r="T21" s="1386" t="s">
        <v>5</v>
      </c>
      <c r="U21" s="1387">
        <f>H21</f>
        <v>100</v>
      </c>
      <c r="V21" s="1386" t="s">
        <v>5</v>
      </c>
      <c r="W21" s="1387">
        <f>J21</f>
        <v>100</v>
      </c>
      <c r="X21" s="1380"/>
      <c r="Y21" s="3908"/>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08"/>
      <c r="Q22" s="1385"/>
      <c r="R22" s="1386"/>
      <c r="S22" s="1387"/>
      <c r="T22" s="1386"/>
      <c r="U22" s="1387"/>
      <c r="V22" s="1386"/>
      <c r="W22" s="1387"/>
      <c r="X22" s="1380"/>
      <c r="Y22" s="3908"/>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08"/>
      <c r="Q23" s="1385" t="str">
        <f>B23</f>
        <v>交通便捷度</v>
      </c>
      <c r="R23" s="1386" t="s">
        <v>5</v>
      </c>
      <c r="S23" s="1387">
        <f>F23</f>
        <v>100</v>
      </c>
      <c r="T23" s="1386" t="s">
        <v>5</v>
      </c>
      <c r="U23" s="1387">
        <f>H23</f>
        <v>100</v>
      </c>
      <c r="V23" s="1386" t="s">
        <v>5</v>
      </c>
      <c r="W23" s="1387">
        <f>J23</f>
        <v>100</v>
      </c>
      <c r="X23" s="1380"/>
      <c r="Y23" s="3908"/>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08"/>
      <c r="Q24" s="1385"/>
      <c r="R24" s="1386"/>
      <c r="S24" s="1387"/>
      <c r="T24" s="1386"/>
      <c r="U24" s="1387"/>
      <c r="V24" s="1386"/>
      <c r="W24" s="1387"/>
      <c r="X24" s="1380"/>
      <c r="Y24" s="3908"/>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08"/>
      <c r="Q25" s="1385" t="str">
        <f t="shared" ref="Q25:Q39" si="8">B25</f>
        <v>区域土地利用方向</v>
      </c>
      <c r="R25" s="1386" t="s">
        <v>5</v>
      </c>
      <c r="S25" s="1387">
        <f>F25</f>
        <v>100</v>
      </c>
      <c r="T25" s="1386" t="s">
        <v>5</v>
      </c>
      <c r="U25" s="1387">
        <f>H25</f>
        <v>100</v>
      </c>
      <c r="V25" s="1386" t="s">
        <v>5</v>
      </c>
      <c r="W25" s="1387">
        <f>J25</f>
        <v>100</v>
      </c>
      <c r="X25" s="1380"/>
      <c r="Y25" s="3908"/>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08"/>
      <c r="Q26" s="1385"/>
      <c r="R26" s="1386"/>
      <c r="S26" s="1387"/>
      <c r="T26" s="1386"/>
      <c r="U26" s="1387"/>
      <c r="V26" s="1386"/>
      <c r="W26" s="1387"/>
      <c r="X26" s="1380"/>
      <c r="Y26" s="3908"/>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08"/>
      <c r="Q27" s="1385" t="str">
        <f t="shared" si="8"/>
        <v>自然及人文环境状况</v>
      </c>
      <c r="R27" s="1386" t="s">
        <v>5</v>
      </c>
      <c r="S27" s="1387">
        <f>F27</f>
        <v>100</v>
      </c>
      <c r="T27" s="1386" t="s">
        <v>5</v>
      </c>
      <c r="U27" s="1387">
        <f>H27</f>
        <v>100</v>
      </c>
      <c r="V27" s="1386" t="s">
        <v>5</v>
      </c>
      <c r="W27" s="1387">
        <f>J27</f>
        <v>100</v>
      </c>
      <c r="X27" s="1380"/>
      <c r="Y27" s="3908"/>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08"/>
      <c r="Q28" s="1385"/>
      <c r="R28" s="1386"/>
      <c r="S28" s="1387"/>
      <c r="T28" s="1386"/>
      <c r="U28" s="1387"/>
      <c r="V28" s="1386"/>
      <c r="W28" s="1387"/>
      <c r="X28" s="1380"/>
      <c r="Y28" s="3908"/>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08"/>
      <c r="Q29" s="1050" t="str">
        <f t="shared" si="8"/>
        <v>公共配套设施</v>
      </c>
      <c r="R29" s="1381" t="s">
        <v>5</v>
      </c>
      <c r="S29" s="1382">
        <f>F29</f>
        <v>100</v>
      </c>
      <c r="T29" s="1381" t="s">
        <v>5</v>
      </c>
      <c r="U29" s="1382">
        <f>H29</f>
        <v>100</v>
      </c>
      <c r="V29" s="1381" t="s">
        <v>5</v>
      </c>
      <c r="W29" s="1382">
        <f>J29</f>
        <v>100</v>
      </c>
      <c r="X29" s="1383"/>
      <c r="Y29" s="3908"/>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08"/>
      <c r="Q30" s="1050"/>
      <c r="R30" s="1381"/>
      <c r="S30" s="1382"/>
      <c r="T30" s="1381"/>
      <c r="U30" s="1382"/>
      <c r="V30" s="1381"/>
      <c r="W30" s="1382"/>
      <c r="X30" s="1383"/>
      <c r="Y30" s="3908"/>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08"/>
      <c r="Q31" s="2192" t="str">
        <f>B31</f>
        <v>基础设施水平</v>
      </c>
      <c r="R31" s="1381" t="s">
        <v>5</v>
      </c>
      <c r="S31" s="1382">
        <f>F31</f>
        <v>100</v>
      </c>
      <c r="T31" s="1381" t="s">
        <v>5</v>
      </c>
      <c r="U31" s="1382">
        <f>H31</f>
        <v>100</v>
      </c>
      <c r="V31" s="1381" t="s">
        <v>5</v>
      </c>
      <c r="W31" s="1382">
        <f>J31</f>
        <v>100</v>
      </c>
      <c r="X31" s="1383"/>
      <c r="Y31" s="3908"/>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08"/>
      <c r="Q32" s="2192"/>
      <c r="R32" s="1381"/>
      <c r="S32" s="1382"/>
      <c r="T32" s="1381"/>
      <c r="U32" s="1382"/>
      <c r="V32" s="1381"/>
      <c r="W32" s="1382"/>
      <c r="X32" s="1383"/>
      <c r="Y32" s="3908"/>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0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8"/>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08"/>
      <c r="Q34" s="1385" t="str">
        <f t="shared" si="8"/>
        <v>毗邻道路的类型与等级</v>
      </c>
      <c r="R34" s="1386" t="s">
        <v>5</v>
      </c>
      <c r="S34" s="1387">
        <f t="shared" si="9"/>
        <v>100</v>
      </c>
      <c r="T34" s="1386" t="s">
        <v>5</v>
      </c>
      <c r="U34" s="1387">
        <f t="shared" si="10"/>
        <v>100</v>
      </c>
      <c r="V34" s="1386" t="s">
        <v>5</v>
      </c>
      <c r="W34" s="1387">
        <f t="shared" si="11"/>
        <v>100</v>
      </c>
      <c r="X34" s="1380"/>
      <c r="Y34" s="3908"/>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08"/>
      <c r="Q35" s="1385"/>
      <c r="R35" s="1386"/>
      <c r="S35" s="1387"/>
      <c r="T35" s="1386"/>
      <c r="U35" s="1387"/>
      <c r="V35" s="1386"/>
      <c r="W35" s="1387"/>
      <c r="X35" s="1380"/>
      <c r="Y35" s="3908"/>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08"/>
      <c r="Q36" s="1385" t="str">
        <f t="shared" si="8"/>
        <v>土地级别</v>
      </c>
      <c r="R36" s="1386" t="s">
        <v>5</v>
      </c>
      <c r="S36" s="1387">
        <f t="shared" si="9"/>
        <v>100</v>
      </c>
      <c r="T36" s="1386" t="s">
        <v>5</v>
      </c>
      <c r="U36" s="1387">
        <f t="shared" si="10"/>
        <v>100</v>
      </c>
      <c r="V36" s="1386" t="s">
        <v>5</v>
      </c>
      <c r="W36" s="1387">
        <f t="shared" si="11"/>
        <v>100</v>
      </c>
      <c r="X36" s="1380"/>
      <c r="Y36" s="3908"/>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08"/>
      <c r="Q37" s="1385">
        <f t="shared" si="8"/>
        <v>111</v>
      </c>
      <c r="R37" s="1386" t="s">
        <v>5</v>
      </c>
      <c r="S37" s="1387">
        <f t="shared" si="9"/>
        <v>100</v>
      </c>
      <c r="T37" s="1386" t="s">
        <v>5</v>
      </c>
      <c r="U37" s="1387">
        <f t="shared" si="10"/>
        <v>100</v>
      </c>
      <c r="V37" s="1386" t="s">
        <v>5</v>
      </c>
      <c r="W37" s="1387">
        <f t="shared" si="11"/>
        <v>100</v>
      </c>
      <c r="X37" s="1380"/>
      <c r="Y37" s="3908"/>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9" t="s">
        <v>499</v>
      </c>
      <c r="Q38" s="1385">
        <f t="shared" si="8"/>
        <v>111</v>
      </c>
      <c r="R38" s="1386" t="s">
        <v>5</v>
      </c>
      <c r="S38" s="1387">
        <f t="shared" si="9"/>
        <v>100</v>
      </c>
      <c r="T38" s="1386" t="s">
        <v>5</v>
      </c>
      <c r="U38" s="1387">
        <f t="shared" si="10"/>
        <v>100</v>
      </c>
      <c r="V38" s="1386" t="s">
        <v>5</v>
      </c>
      <c r="W38" s="1387">
        <f t="shared" si="11"/>
        <v>100</v>
      </c>
      <c r="X38" s="1380"/>
      <c r="Y38" s="3910"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10"/>
      <c r="Q39" s="1385">
        <f t="shared" si="8"/>
        <v>111</v>
      </c>
      <c r="R39" s="1390" t="s">
        <v>5</v>
      </c>
      <c r="S39" s="1391">
        <f t="shared" si="9"/>
        <v>100</v>
      </c>
      <c r="T39" s="1390" t="s">
        <v>5</v>
      </c>
      <c r="U39" s="1391">
        <f t="shared" si="10"/>
        <v>100</v>
      </c>
      <c r="V39" s="1390" t="s">
        <v>5</v>
      </c>
      <c r="W39" s="1391">
        <f t="shared" si="11"/>
        <v>100</v>
      </c>
      <c r="X39" s="1392"/>
      <c r="Y39" s="3910"/>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10"/>
      <c r="Q40" s="1385" t="str">
        <f>B40</f>
        <v>宗地面积</v>
      </c>
      <c r="R40" s="1386" t="s">
        <v>5</v>
      </c>
      <c r="S40" s="1387" t="e">
        <f t="shared" si="9"/>
        <v>#N/A</v>
      </c>
      <c r="T40" s="1386" t="s">
        <v>5</v>
      </c>
      <c r="U40" s="1387" t="e">
        <f t="shared" si="10"/>
        <v>#N/A</v>
      </c>
      <c r="V40" s="1386" t="s">
        <v>5</v>
      </c>
      <c r="W40" s="1387" t="e">
        <f t="shared" si="11"/>
        <v>#N/A</v>
      </c>
      <c r="X40" s="1380"/>
      <c r="Y40" s="3910"/>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10"/>
      <c r="Q41" s="1385" t="str">
        <f t="shared" ref="Q41:Q47" si="13">B41</f>
        <v>宗地形状</v>
      </c>
      <c r="R41" s="1386" t="s">
        <v>5</v>
      </c>
      <c r="S41" s="1387">
        <f t="shared" si="9"/>
        <v>100</v>
      </c>
      <c r="T41" s="1386" t="s">
        <v>5</v>
      </c>
      <c r="U41" s="1387">
        <f t="shared" si="10"/>
        <v>100</v>
      </c>
      <c r="V41" s="1386" t="s">
        <v>5</v>
      </c>
      <c r="W41" s="1387">
        <f t="shared" si="11"/>
        <v>100</v>
      </c>
      <c r="X41" s="1380"/>
      <c r="Y41" s="3910"/>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10"/>
      <c r="Q42" s="1385" t="str">
        <f t="shared" si="13"/>
        <v>临街宽度及深度</v>
      </c>
      <c r="R42" s="1386" t="s">
        <v>5</v>
      </c>
      <c r="S42" s="1387">
        <f t="shared" si="9"/>
        <v>100</v>
      </c>
      <c r="T42" s="1386" t="s">
        <v>5</v>
      </c>
      <c r="U42" s="1387">
        <f t="shared" si="10"/>
        <v>100</v>
      </c>
      <c r="V42" s="1386" t="s">
        <v>5</v>
      </c>
      <c r="W42" s="1387">
        <f t="shared" si="11"/>
        <v>100</v>
      </c>
      <c r="X42" s="1380"/>
      <c r="Y42" s="3910"/>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10"/>
      <c r="Q43" s="1385" t="str">
        <f t="shared" si="13"/>
        <v>宗地开发程度</v>
      </c>
      <c r="R43" s="1381" t="s">
        <v>5</v>
      </c>
      <c r="S43" s="1382">
        <f t="shared" si="9"/>
        <v>100</v>
      </c>
      <c r="T43" s="1381" t="s">
        <v>5</v>
      </c>
      <c r="U43" s="1382">
        <f t="shared" si="10"/>
        <v>100</v>
      </c>
      <c r="V43" s="1381" t="s">
        <v>5</v>
      </c>
      <c r="W43" s="1382">
        <f t="shared" si="11"/>
        <v>100</v>
      </c>
      <c r="X43" s="1383"/>
      <c r="Y43" s="3910"/>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10" t="s">
        <v>499</v>
      </c>
      <c r="Q44" s="1385" t="str">
        <f t="shared" si="13"/>
        <v>工程地质条件</v>
      </c>
      <c r="R44" s="1386" t="s">
        <v>5</v>
      </c>
      <c r="S44" s="1387">
        <f t="shared" si="9"/>
        <v>100</v>
      </c>
      <c r="T44" s="1386" t="s">
        <v>5</v>
      </c>
      <c r="U44" s="1387">
        <f t="shared" si="10"/>
        <v>100</v>
      </c>
      <c r="V44" s="1386" t="s">
        <v>5</v>
      </c>
      <c r="W44" s="1387">
        <f t="shared" si="11"/>
        <v>100</v>
      </c>
      <c r="X44" s="1380"/>
      <c r="Y44" s="3910"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10"/>
      <c r="Q45" s="1385">
        <f t="shared" si="13"/>
        <v>111</v>
      </c>
      <c r="R45" s="1386" t="s">
        <v>5</v>
      </c>
      <c r="S45" s="1387">
        <f t="shared" si="9"/>
        <v>100</v>
      </c>
      <c r="T45" s="1386" t="s">
        <v>5</v>
      </c>
      <c r="U45" s="1387">
        <f t="shared" si="10"/>
        <v>100</v>
      </c>
      <c r="V45" s="1386" t="s">
        <v>5</v>
      </c>
      <c r="W45" s="1387">
        <f t="shared" si="11"/>
        <v>100</v>
      </c>
      <c r="X45" s="1380"/>
      <c r="Y45" s="3910"/>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10"/>
      <c r="Q46" s="1385">
        <f t="shared" si="13"/>
        <v>111</v>
      </c>
      <c r="R46" s="1386" t="s">
        <v>5</v>
      </c>
      <c r="S46" s="1387">
        <f t="shared" si="9"/>
        <v>100</v>
      </c>
      <c r="T46" s="1386" t="s">
        <v>5</v>
      </c>
      <c r="U46" s="1387">
        <f t="shared" si="10"/>
        <v>100</v>
      </c>
      <c r="V46" s="1386" t="s">
        <v>5</v>
      </c>
      <c r="W46" s="1387">
        <f t="shared" si="11"/>
        <v>100</v>
      </c>
      <c r="X46" s="1380"/>
      <c r="Y46" s="3910"/>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10"/>
      <c r="Q47" s="1385">
        <f t="shared" si="13"/>
        <v>111</v>
      </c>
      <c r="R47" s="1390" t="s">
        <v>5</v>
      </c>
      <c r="S47" s="1391">
        <f t="shared" si="9"/>
        <v>100</v>
      </c>
      <c r="T47" s="1390" t="s">
        <v>5</v>
      </c>
      <c r="U47" s="1391">
        <f t="shared" si="10"/>
        <v>100</v>
      </c>
      <c r="V47" s="1390" t="s">
        <v>5</v>
      </c>
      <c r="W47" s="1391">
        <f t="shared" si="11"/>
        <v>100</v>
      </c>
      <c r="X47" s="1392"/>
      <c r="Y47" s="3910"/>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905" t="str">
        <f>A48</f>
        <v>成交单价</v>
      </c>
      <c r="Q48" s="3905"/>
      <c r="R48" s="3921">
        <f>E48</f>
        <v>0</v>
      </c>
      <c r="S48" s="3921"/>
      <c r="T48" s="3921">
        <f>G48</f>
        <v>0</v>
      </c>
      <c r="U48" s="3921"/>
      <c r="V48" s="3921">
        <f>I48</f>
        <v>0</v>
      </c>
      <c r="W48" s="3921"/>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05" t="str">
        <f>A49</f>
        <v>比较价格（元/平方米）</v>
      </c>
      <c r="Q49" s="3905"/>
      <c r="R49" s="3929" t="e">
        <f>ROUND(PRODUCT(R48,AA9:AA47),0)</f>
        <v>#DIV/0!</v>
      </c>
      <c r="S49" s="3929"/>
      <c r="T49" s="3929" t="e">
        <f>ROUND(PRODUCT(T48,AB9:AB47),0)</f>
        <v>#DIV/0!</v>
      </c>
      <c r="U49" s="3929"/>
      <c r="V49" s="3929" t="e">
        <f>ROUND(PRODUCT(V48,AC9:AC47),0)</f>
        <v>#DIV/0!</v>
      </c>
      <c r="W49" s="3929"/>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11" t="str">
        <f>A50</f>
        <v>估价对象XX用房的比较价格（楼面单价，元/平方米）</v>
      </c>
      <c r="Q50" s="3912"/>
      <c r="R50" s="3928" t="e">
        <f>ROUND(IF(D49="简单平均",AVERAGE(R49:W49),R49*F49+T49*H49+V49*J49),0)</f>
        <v>#DIV/0!</v>
      </c>
      <c r="S50" s="3928"/>
      <c r="T50" s="3928"/>
      <c r="U50" s="3928"/>
      <c r="V50" s="3928"/>
      <c r="W50" s="3928"/>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90" t="s">
        <v>1639</v>
      </c>
      <c r="H57" s="3891"/>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1993.1</v>
      </c>
      <c r="F58" s="604" t="e">
        <f t="shared" ref="F58:F66" si="14">ROUND(B58*E58/10000,0)</f>
        <v>#DIV/0!</v>
      </c>
      <c r="G58" s="3892"/>
      <c r="H58" s="3893"/>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SUMIF(修正!$A$59:$A$70,H59,修正!B59:B70)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SUMIF(修正!$A$59:$A$70,H60,修正!C59:C70)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SUMIF(修正!$A$59:$A$70,H61,修正!D59:D70)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SUMIF(修正!$A$59:$A$70,H62,修正!E59:E70)</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SUMIF(修正!$A$59:$A$70,H63,修正!F59:F70)</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SUMIF(修正!$A$59:$A$70,H64,修正!G59:G70)</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SUMIF(修正!$A$59:$A$70,H65,修正!G59:G70)</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SUMIF(修正!$A$59:$A$70,H66,修正!G59:G70)</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13878.77</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2025-7-1</v>
      </c>
      <c r="D69" s="2279">
        <f>EDATE(C69,-3)</f>
        <v>45748</v>
      </c>
      <c r="E69" s="2279">
        <f t="shared" ref="E69:N69" si="17">EDATE(D69,-3)</f>
        <v>45658</v>
      </c>
      <c r="F69" s="2279">
        <f t="shared" si="17"/>
        <v>45566</v>
      </c>
      <c r="G69" s="2279">
        <f t="shared" si="17"/>
        <v>45474</v>
      </c>
      <c r="H69" s="2279">
        <f t="shared" si="17"/>
        <v>45383</v>
      </c>
      <c r="I69" s="2279">
        <f t="shared" si="17"/>
        <v>45292</v>
      </c>
      <c r="J69" s="2279">
        <f t="shared" si="17"/>
        <v>45200</v>
      </c>
      <c r="K69" s="2279">
        <f t="shared" si="17"/>
        <v>45108</v>
      </c>
      <c r="L69" s="2279">
        <f t="shared" si="17"/>
        <v>45017</v>
      </c>
      <c r="M69" s="2279">
        <f t="shared" si="17"/>
        <v>44927</v>
      </c>
      <c r="N69" s="2279">
        <f t="shared" si="17"/>
        <v>44835</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2025-3</v>
      </c>
      <c r="D71" s="2281" t="str">
        <f>YEAR(D69)&amp;"-"&amp;ROUNDUP(MONTH(D69)/3,0)</f>
        <v>2025-2</v>
      </c>
      <c r="E71" s="2281" t="str">
        <f t="shared" ref="E71:N71" si="18">YEAR(E69)&amp;"-"&amp;ROUNDUP(MONTH(E69)/3,0)</f>
        <v>2025-1</v>
      </c>
      <c r="F71" s="2281" t="str">
        <f t="shared" si="18"/>
        <v>2024-4</v>
      </c>
      <c r="G71" s="2281" t="str">
        <f t="shared" si="18"/>
        <v>2024-3</v>
      </c>
      <c r="H71" s="2281" t="str">
        <f t="shared" si="18"/>
        <v>2024-2</v>
      </c>
      <c r="I71" s="2281" t="str">
        <f t="shared" si="18"/>
        <v>2024-1</v>
      </c>
      <c r="J71" s="2281" t="str">
        <f t="shared" si="18"/>
        <v>2023-4</v>
      </c>
      <c r="K71" s="2281" t="str">
        <f t="shared" si="18"/>
        <v>2023-3</v>
      </c>
      <c r="L71" s="2281" t="str">
        <f t="shared" si="18"/>
        <v>2023-2</v>
      </c>
      <c r="M71" s="2281" t="str">
        <f t="shared" si="18"/>
        <v>2023-1</v>
      </c>
      <c r="N71" s="2281" t="str">
        <f t="shared" si="18"/>
        <v>2022-4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F261"/>
  <sheetViews>
    <sheetView view="pageBreakPreview" topLeftCell="A19" zoomScale="80" zoomScaleNormal="50" zoomScaleSheetLayoutView="80" workbookViewId="0">
      <selection activeCell="E25" sqref="E25"/>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5.88671875" style="1198" customWidth="1"/>
    <col min="6" max="6" width="12.21875" style="1198" customWidth="1"/>
    <col min="7" max="7" width="16.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9077</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f>ROUND(B2*10000/'数据-汇总表'!E3,0)</f>
        <v>45542</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6540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436</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913" t="s">
        <v>471</v>
      </c>
      <c r="D6" s="3914"/>
      <c r="E6" s="3935" t="s">
        <v>472</v>
      </c>
      <c r="F6" s="3936"/>
      <c r="G6" s="3913" t="s">
        <v>473</v>
      </c>
      <c r="H6" s="3914"/>
      <c r="I6" s="3913" t="s">
        <v>474</v>
      </c>
      <c r="J6" s="3914"/>
      <c r="K6" s="484" t="s">
        <v>475</v>
      </c>
      <c r="L6" s="1856"/>
      <c r="M6" s="1857"/>
      <c r="N6" s="1857"/>
      <c r="O6" s="1857"/>
      <c r="P6" s="3915" t="s">
        <v>476</v>
      </c>
      <c r="Q6" s="3916"/>
      <c r="R6" s="3899" t="s">
        <v>472</v>
      </c>
      <c r="S6" s="3900"/>
      <c r="T6" s="3899" t="s">
        <v>473</v>
      </c>
      <c r="U6" s="3900"/>
      <c r="V6" s="3921" t="s">
        <v>474</v>
      </c>
      <c r="W6" s="3921"/>
      <c r="X6" s="1380"/>
      <c r="Y6" s="3899" t="s">
        <v>476</v>
      </c>
      <c r="Z6" s="3900"/>
      <c r="AA6" s="3894" t="s">
        <v>472</v>
      </c>
      <c r="AB6" s="3895" t="s">
        <v>473</v>
      </c>
      <c r="AC6" s="3894" t="s">
        <v>474</v>
      </c>
    </row>
    <row r="7" spans="1:29">
      <c r="A7" s="485"/>
      <c r="B7" s="486"/>
      <c r="C7" s="3939" t="s">
        <v>3339</v>
      </c>
      <c r="D7" s="3925"/>
      <c r="E7" s="3937" t="s">
        <v>3340</v>
      </c>
      <c r="F7" s="3938"/>
      <c r="G7" s="3939" t="s">
        <v>3341</v>
      </c>
      <c r="H7" s="3925"/>
      <c r="I7" s="3939" t="s">
        <v>3342</v>
      </c>
      <c r="J7" s="3925"/>
      <c r="K7" s="484"/>
      <c r="L7" s="1856"/>
      <c r="M7" s="1857"/>
      <c r="N7" s="1857"/>
      <c r="O7" s="1857"/>
      <c r="P7" s="3917"/>
      <c r="Q7" s="3918"/>
      <c r="R7" s="3901"/>
      <c r="S7" s="3902"/>
      <c r="T7" s="3901"/>
      <c r="U7" s="3902"/>
      <c r="V7" s="3921"/>
      <c r="W7" s="3921"/>
      <c r="X7" s="1380"/>
      <c r="Y7" s="3901"/>
      <c r="Z7" s="3902"/>
      <c r="AA7" s="3895"/>
      <c r="AB7" s="3895"/>
      <c r="AC7" s="3895"/>
    </row>
    <row r="8" spans="1:29" ht="15" thickBot="1">
      <c r="A8" s="487"/>
      <c r="B8" s="488"/>
      <c r="C8" s="3922" t="s">
        <v>2196</v>
      </c>
      <c r="D8" s="3923"/>
      <c r="E8" s="3940" t="s">
        <v>2196</v>
      </c>
      <c r="F8" s="3941"/>
      <c r="G8" s="3922" t="s">
        <v>2196</v>
      </c>
      <c r="H8" s="3923"/>
      <c r="I8" s="3922" t="s">
        <v>2196</v>
      </c>
      <c r="J8" s="3923"/>
      <c r="K8" s="484" t="s">
        <v>477</v>
      </c>
      <c r="L8" s="1856"/>
      <c r="M8" s="1857"/>
      <c r="N8" s="1857"/>
      <c r="O8" s="1857"/>
      <c r="P8" s="3919"/>
      <c r="Q8" s="3920"/>
      <c r="R8" s="3901"/>
      <c r="S8" s="3902"/>
      <c r="T8" s="3903"/>
      <c r="U8" s="3904"/>
      <c r="V8" s="3921"/>
      <c r="W8" s="3921"/>
      <c r="X8" s="1380"/>
      <c r="Y8" s="3903"/>
      <c r="Z8" s="3904"/>
      <c r="AA8" s="3896"/>
      <c r="AB8" s="3896"/>
      <c r="AC8" s="3896"/>
    </row>
    <row r="9" spans="1:29" s="1118" customFormat="1" ht="15" thickBot="1">
      <c r="A9" s="2392"/>
      <c r="B9" s="2399" t="s">
        <v>478</v>
      </c>
      <c r="C9" s="489">
        <f>'数据-取费表'!B2</f>
        <v>45839</v>
      </c>
      <c r="D9" s="490">
        <v>100</v>
      </c>
      <c r="E9" s="491">
        <v>45744</v>
      </c>
      <c r="F9" s="492">
        <f>SUMIF(66:66,YEAR(E9)&amp;"-"&amp;INT((MONTH(E9)+2)/3),67:67)</f>
        <v>101.98</v>
      </c>
      <c r="G9" s="493">
        <v>45247</v>
      </c>
      <c r="H9" s="490">
        <f>SUMIF(66:66,YEAR(G9)&amp;"-"&amp;INT((MONTH(G9)+2)/3),67:67)</f>
        <v>104.81</v>
      </c>
      <c r="I9" s="493">
        <v>43349</v>
      </c>
      <c r="J9" s="490">
        <f>SUMIF(66:66,YEAR(I9)&amp;"-"&amp;INT((MONTH(I9)+2)/3),67:67)</f>
        <v>92.15</v>
      </c>
      <c r="K9" s="494"/>
      <c r="L9" s="1858"/>
      <c r="M9" s="1859"/>
      <c r="N9" s="1859"/>
      <c r="O9" s="1859"/>
      <c r="P9" s="3897" t="s">
        <v>479</v>
      </c>
      <c r="Q9" s="3906"/>
      <c r="R9" s="1381" t="s">
        <v>5</v>
      </c>
      <c r="S9" s="1382">
        <f t="shared" ref="S9:S17" si="0">F9</f>
        <v>101.98</v>
      </c>
      <c r="T9" s="1381" t="s">
        <v>5</v>
      </c>
      <c r="U9" s="1382">
        <f t="shared" ref="U9:U17" si="1">H9</f>
        <v>104.81</v>
      </c>
      <c r="V9" s="1381" t="s">
        <v>5</v>
      </c>
      <c r="W9" s="1382">
        <f t="shared" ref="W9:W17" si="2">J9</f>
        <v>92.15</v>
      </c>
      <c r="X9" s="1383"/>
      <c r="Y9" s="3897" t="s">
        <v>479</v>
      </c>
      <c r="Z9" s="3898"/>
      <c r="AA9" s="1384">
        <f>D9/F9</f>
        <v>0.98058442831927828</v>
      </c>
      <c r="AB9" s="1384">
        <f>D9/H9</f>
        <v>0.95410743249689911</v>
      </c>
      <c r="AC9" s="1384">
        <f>D9/J9</f>
        <v>1.0851871947911014</v>
      </c>
    </row>
    <row r="10" spans="1:29" s="1118" customFormat="1" ht="15" thickBot="1">
      <c r="A10" s="2393"/>
      <c r="B10" s="2400" t="s">
        <v>480</v>
      </c>
      <c r="C10" s="495" t="s">
        <v>481</v>
      </c>
      <c r="D10" s="490">
        <v>100</v>
      </c>
      <c r="E10" s="495" t="s">
        <v>3343</v>
      </c>
      <c r="F10" s="492">
        <f>SUMIF(69:69,E10,70:70)-SUMIF(69:69,C10,70:70)+100</f>
        <v>100</v>
      </c>
      <c r="G10" s="495" t="s">
        <v>3343</v>
      </c>
      <c r="H10" s="490">
        <f>SUMIF(69:69,G10,70:70)-SUMIF(69:69,C10,70:70)+100</f>
        <v>100</v>
      </c>
      <c r="I10" s="495" t="s">
        <v>3343</v>
      </c>
      <c r="J10" s="490">
        <f>SUMIF(69:69,I10,70:70)-SUMIF(69:69,C10,70:70)+100</f>
        <v>100</v>
      </c>
      <c r="K10" s="494"/>
      <c r="L10" s="1858"/>
      <c r="M10" s="1859"/>
      <c r="N10" s="1859"/>
      <c r="O10" s="1859"/>
      <c r="P10" s="3897" t="s">
        <v>482</v>
      </c>
      <c r="Q10" s="3898"/>
      <c r="R10" s="1381" t="s">
        <v>5</v>
      </c>
      <c r="S10" s="1382">
        <f t="shared" si="0"/>
        <v>100</v>
      </c>
      <c r="T10" s="1381" t="s">
        <v>5</v>
      </c>
      <c r="U10" s="1382">
        <f t="shared" si="1"/>
        <v>100</v>
      </c>
      <c r="V10" s="1381" t="s">
        <v>5</v>
      </c>
      <c r="W10" s="1382">
        <f t="shared" si="2"/>
        <v>100</v>
      </c>
      <c r="X10" s="1383"/>
      <c r="Y10" s="3897" t="s">
        <v>482</v>
      </c>
      <c r="Z10" s="3898"/>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5" t="s">
        <v>484</v>
      </c>
      <c r="Q11" s="1050" t="str">
        <f t="shared" ref="Q11:Q17" si="6">B11</f>
        <v>用途</v>
      </c>
      <c r="R11" s="1381" t="s">
        <v>5</v>
      </c>
      <c r="S11" s="1382">
        <f t="shared" si="0"/>
        <v>100</v>
      </c>
      <c r="T11" s="1381" t="s">
        <v>5</v>
      </c>
      <c r="U11" s="1382">
        <f t="shared" si="1"/>
        <v>100</v>
      </c>
      <c r="V11" s="1381" t="s">
        <v>5</v>
      </c>
      <c r="W11" s="1382">
        <f t="shared" si="2"/>
        <v>100</v>
      </c>
      <c r="X11" s="1383"/>
      <c r="Y11" s="3851"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5"/>
      <c r="Q12" s="1050" t="str">
        <f t="shared" si="6"/>
        <v>土地使用年限（年）</v>
      </c>
      <c r="R12" s="1381" t="s">
        <v>5</v>
      </c>
      <c r="S12" s="1382">
        <f t="shared" si="0"/>
        <v>100</v>
      </c>
      <c r="T12" s="1381" t="s">
        <v>5</v>
      </c>
      <c r="U12" s="1382">
        <f t="shared" si="1"/>
        <v>100</v>
      </c>
      <c r="V12" s="1381" t="s">
        <v>5</v>
      </c>
      <c r="W12" s="1382">
        <f t="shared" si="2"/>
        <v>100</v>
      </c>
      <c r="X12" s="1383"/>
      <c r="Y12" s="3851"/>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v>1</v>
      </c>
      <c r="L13" s="1863"/>
      <c r="M13" s="1857"/>
      <c r="N13" s="1857"/>
      <c r="O13" s="1864"/>
      <c r="P13" s="3905"/>
      <c r="Q13" s="1050" t="str">
        <f t="shared" si="6"/>
        <v>容积率</v>
      </c>
      <c r="R13" s="1381" t="s">
        <v>5</v>
      </c>
      <c r="S13" s="1382">
        <f t="shared" si="0"/>
        <v>100</v>
      </c>
      <c r="T13" s="1381" t="s">
        <v>5</v>
      </c>
      <c r="U13" s="1382">
        <f t="shared" si="1"/>
        <v>100</v>
      </c>
      <c r="V13" s="1381" t="s">
        <v>5</v>
      </c>
      <c r="W13" s="1382">
        <f t="shared" si="2"/>
        <v>100</v>
      </c>
      <c r="X13" s="1383"/>
      <c r="Y13" s="3851"/>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5"/>
      <c r="Q14" s="1050">
        <f t="shared" si="6"/>
        <v>111</v>
      </c>
      <c r="R14" s="1381" t="s">
        <v>5</v>
      </c>
      <c r="S14" s="1382">
        <f t="shared" si="0"/>
        <v>100</v>
      </c>
      <c r="T14" s="1381" t="s">
        <v>5</v>
      </c>
      <c r="U14" s="1382">
        <f t="shared" si="1"/>
        <v>100</v>
      </c>
      <c r="V14" s="1381" t="s">
        <v>5</v>
      </c>
      <c r="W14" s="1382">
        <f t="shared" si="2"/>
        <v>100</v>
      </c>
      <c r="X14" s="1383"/>
      <c r="Y14" s="385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5"/>
      <c r="Q15" s="1050">
        <f t="shared" si="6"/>
        <v>111</v>
      </c>
      <c r="R15" s="1381" t="s">
        <v>5</v>
      </c>
      <c r="S15" s="1382">
        <f t="shared" si="0"/>
        <v>100</v>
      </c>
      <c r="T15" s="1381" t="s">
        <v>5</v>
      </c>
      <c r="U15" s="1382">
        <f t="shared" si="1"/>
        <v>100</v>
      </c>
      <c r="V15" s="1381" t="s">
        <v>5</v>
      </c>
      <c r="W15" s="1382">
        <f t="shared" si="2"/>
        <v>100</v>
      </c>
      <c r="X15" s="1383"/>
      <c r="Y15" s="3851"/>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5"/>
      <c r="Q16" s="1050">
        <f t="shared" si="6"/>
        <v>111</v>
      </c>
      <c r="R16" s="1381" t="s">
        <v>5</v>
      </c>
      <c r="S16" s="1382">
        <f t="shared" si="0"/>
        <v>100</v>
      </c>
      <c r="T16" s="1381" t="s">
        <v>5</v>
      </c>
      <c r="U16" s="1382">
        <f t="shared" si="1"/>
        <v>100</v>
      </c>
      <c r="V16" s="1381" t="s">
        <v>5</v>
      </c>
      <c r="W16" s="1382">
        <f t="shared" si="2"/>
        <v>100</v>
      </c>
      <c r="X16" s="1383"/>
      <c r="Y16" s="3851"/>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2</v>
      </c>
      <c r="L17" s="1865"/>
      <c r="M17" s="1857"/>
      <c r="N17" s="1857"/>
      <c r="O17" s="1864"/>
      <c r="P17" s="3907" t="s">
        <v>489</v>
      </c>
      <c r="Q17" s="1385" t="str">
        <f t="shared" si="6"/>
        <v>产业集聚程度</v>
      </c>
      <c r="R17" s="1386" t="s">
        <v>5</v>
      </c>
      <c r="S17" s="1387">
        <f t="shared" si="0"/>
        <v>100</v>
      </c>
      <c r="T17" s="1386" t="s">
        <v>5</v>
      </c>
      <c r="U17" s="1387">
        <f t="shared" si="1"/>
        <v>100</v>
      </c>
      <c r="V17" s="1386" t="s">
        <v>5</v>
      </c>
      <c r="W17" s="1387">
        <f t="shared" si="2"/>
        <v>100</v>
      </c>
      <c r="X17" s="1380"/>
      <c r="Y17" s="3907" t="s">
        <v>489</v>
      </c>
      <c r="Z17" s="1388" t="str">
        <f t="shared" si="7"/>
        <v>产业集聚程度</v>
      </c>
      <c r="AA17" s="1389">
        <f t="shared" si="3"/>
        <v>1</v>
      </c>
      <c r="AB17" s="1389">
        <f t="shared" si="4"/>
        <v>1</v>
      </c>
      <c r="AC17" s="1389">
        <f t="shared" si="5"/>
        <v>1</v>
      </c>
    </row>
    <row r="18" spans="1:29" ht="15">
      <c r="A18" s="502"/>
      <c r="B18" s="832"/>
      <c r="C18" s="546" t="s">
        <v>3336</v>
      </c>
      <c r="D18" s="525"/>
      <c r="E18" s="524" t="s">
        <v>3336</v>
      </c>
      <c r="F18" s="525"/>
      <c r="G18" s="524" t="s">
        <v>3336</v>
      </c>
      <c r="H18" s="529"/>
      <c r="I18" s="524" t="s">
        <v>3336</v>
      </c>
      <c r="J18" s="525"/>
      <c r="K18" s="501"/>
      <c r="L18" s="1865"/>
      <c r="M18" s="1857"/>
      <c r="N18" s="1857"/>
      <c r="O18" s="1864"/>
      <c r="P18" s="3908"/>
      <c r="Q18" s="1385"/>
      <c r="R18" s="1386"/>
      <c r="S18" s="1387"/>
      <c r="T18" s="1386"/>
      <c r="U18" s="1387"/>
      <c r="V18" s="1386"/>
      <c r="W18" s="1387"/>
      <c r="X18" s="1380"/>
      <c r="Y18" s="3908"/>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5"/>
      <c r="M19" s="1857"/>
      <c r="N19" s="1857"/>
      <c r="O19" s="1864"/>
      <c r="P19" s="3908"/>
      <c r="Q19" s="1385" t="str">
        <f>B19</f>
        <v>交通便捷度</v>
      </c>
      <c r="R19" s="1386" t="s">
        <v>5</v>
      </c>
      <c r="S19" s="1387">
        <f>F19</f>
        <v>100</v>
      </c>
      <c r="T19" s="1386" t="s">
        <v>5</v>
      </c>
      <c r="U19" s="1387">
        <f>H19</f>
        <v>100</v>
      </c>
      <c r="V19" s="1386" t="s">
        <v>5</v>
      </c>
      <c r="W19" s="1387">
        <f>J19</f>
        <v>100</v>
      </c>
      <c r="X19" s="1380"/>
      <c r="Y19" s="3908"/>
      <c r="Z19" s="1388" t="str">
        <f>Q19</f>
        <v>交通便捷度</v>
      </c>
      <c r="AA19" s="1389">
        <f t="shared" si="3"/>
        <v>1</v>
      </c>
      <c r="AB19" s="1389">
        <f t="shared" si="4"/>
        <v>1</v>
      </c>
      <c r="AC19" s="1389">
        <f t="shared" si="5"/>
        <v>1</v>
      </c>
    </row>
    <row r="20" spans="1:29" ht="15">
      <c r="A20" s="502"/>
      <c r="B20" s="885"/>
      <c r="C20" s="546" t="s">
        <v>3345</v>
      </c>
      <c r="D20" s="525"/>
      <c r="E20" s="526" t="s">
        <v>3345</v>
      </c>
      <c r="F20" s="525"/>
      <c r="G20" s="526" t="s">
        <v>3345</v>
      </c>
      <c r="H20" s="525"/>
      <c r="I20" s="528" t="s">
        <v>3345</v>
      </c>
      <c r="J20" s="525"/>
      <c r="K20" s="501"/>
      <c r="L20" s="1865"/>
      <c r="M20" s="1857"/>
      <c r="N20" s="1857"/>
      <c r="O20" s="1864"/>
      <c r="P20" s="3908"/>
      <c r="Q20" s="1385"/>
      <c r="R20" s="1386"/>
      <c r="S20" s="1387"/>
      <c r="T20" s="1386"/>
      <c r="U20" s="1387"/>
      <c r="V20" s="1386"/>
      <c r="W20" s="1387"/>
      <c r="X20" s="1380"/>
      <c r="Y20" s="3908"/>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v>2</v>
      </c>
      <c r="L21" s="1865"/>
      <c r="M21" s="1857"/>
      <c r="N21" s="1857"/>
      <c r="O21" s="1864"/>
      <c r="P21" s="3908"/>
      <c r="Q21" s="1385" t="str">
        <f t="shared" ref="Q21:Q35" si="8">B21</f>
        <v>区域土地利用方向</v>
      </c>
      <c r="R21" s="1386" t="s">
        <v>5</v>
      </c>
      <c r="S21" s="1387">
        <f>F21</f>
        <v>100</v>
      </c>
      <c r="T21" s="1386" t="s">
        <v>5</v>
      </c>
      <c r="U21" s="1387">
        <f>H21</f>
        <v>100</v>
      </c>
      <c r="V21" s="1386" t="s">
        <v>5</v>
      </c>
      <c r="W21" s="1387">
        <f>J21</f>
        <v>100</v>
      </c>
      <c r="X21" s="1380"/>
      <c r="Y21" s="3908"/>
      <c r="Z21" s="1388" t="str">
        <f>Q21</f>
        <v>区域土地利用方向</v>
      </c>
      <c r="AA21" s="1389">
        <f t="shared" si="3"/>
        <v>1</v>
      </c>
      <c r="AB21" s="1389">
        <f t="shared" si="4"/>
        <v>1</v>
      </c>
      <c r="AC21" s="1389">
        <f t="shared" si="5"/>
        <v>1</v>
      </c>
    </row>
    <row r="22" spans="1:29" ht="15">
      <c r="A22" s="485"/>
      <c r="B22" s="565"/>
      <c r="C22" s="546" t="s">
        <v>3336</v>
      </c>
      <c r="D22" s="525"/>
      <c r="E22" s="526" t="s">
        <v>3336</v>
      </c>
      <c r="F22" s="527"/>
      <c r="G22" s="528" t="s">
        <v>3336</v>
      </c>
      <c r="H22" s="527"/>
      <c r="I22" s="528" t="s">
        <v>3336</v>
      </c>
      <c r="J22" s="527"/>
      <c r="K22" s="1208"/>
      <c r="L22" s="1865"/>
      <c r="M22" s="1857"/>
      <c r="N22" s="1857"/>
      <c r="O22" s="1864"/>
      <c r="P22" s="3908"/>
      <c r="Q22" s="1385"/>
      <c r="R22" s="1386"/>
      <c r="S22" s="1387"/>
      <c r="T22" s="1386"/>
      <c r="U22" s="1387"/>
      <c r="V22" s="1386"/>
      <c r="W22" s="1387"/>
      <c r="X22" s="1380"/>
      <c r="Y22" s="3908"/>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98</v>
      </c>
      <c r="I23" s="534"/>
      <c r="J23" s="529">
        <f>SUMIF(90:90,I24,91:91)-SUMIF(90:90,C24,91:91)+100</f>
        <v>98</v>
      </c>
      <c r="K23" s="505">
        <v>2</v>
      </c>
      <c r="L23" s="1865"/>
      <c r="M23" s="1857"/>
      <c r="N23" s="1857"/>
      <c r="O23" s="1864"/>
      <c r="P23" s="3908"/>
      <c r="Q23" s="1385" t="str">
        <f t="shared" si="8"/>
        <v>环境状况</v>
      </c>
      <c r="R23" s="1386" t="s">
        <v>5</v>
      </c>
      <c r="S23" s="1387">
        <f>F23</f>
        <v>100</v>
      </c>
      <c r="T23" s="1386" t="s">
        <v>5</v>
      </c>
      <c r="U23" s="1387">
        <f>H23</f>
        <v>98</v>
      </c>
      <c r="V23" s="1386" t="s">
        <v>5</v>
      </c>
      <c r="W23" s="1387">
        <f>J23</f>
        <v>98</v>
      </c>
      <c r="X23" s="1380"/>
      <c r="Y23" s="3908"/>
      <c r="Z23" s="1388" t="str">
        <f>Q23</f>
        <v>环境状况</v>
      </c>
      <c r="AA23" s="1389">
        <f t="shared" si="3"/>
        <v>1</v>
      </c>
      <c r="AB23" s="1389">
        <f t="shared" si="4"/>
        <v>1.0204081632653061</v>
      </c>
      <c r="AC23" s="1389">
        <f t="shared" si="5"/>
        <v>1.0204081632653061</v>
      </c>
    </row>
    <row r="24" spans="1:29" ht="15">
      <c r="A24" s="485"/>
      <c r="B24" s="565"/>
      <c r="C24" s="546" t="s">
        <v>3345</v>
      </c>
      <c r="D24" s="525"/>
      <c r="E24" s="524" t="s">
        <v>3345</v>
      </c>
      <c r="F24" s="525"/>
      <c r="G24" s="524" t="s">
        <v>3336</v>
      </c>
      <c r="H24" s="525"/>
      <c r="I24" s="546" t="s">
        <v>3336</v>
      </c>
      <c r="J24" s="525"/>
      <c r="K24" s="501"/>
      <c r="L24" s="1865"/>
      <c r="M24" s="1857"/>
      <c r="N24" s="1857"/>
      <c r="O24" s="1864"/>
      <c r="P24" s="3908"/>
      <c r="Q24" s="1385"/>
      <c r="R24" s="1386"/>
      <c r="S24" s="1387"/>
      <c r="T24" s="1386"/>
      <c r="U24" s="1387"/>
      <c r="V24" s="1386"/>
      <c r="W24" s="1387"/>
      <c r="X24" s="1380"/>
      <c r="Y24" s="3908"/>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102</v>
      </c>
      <c r="G25" s="532"/>
      <c r="H25" s="529">
        <f>SUMIF(92:92,G26,93:93)-SUMIF(92:92,C26,93:93)+100</f>
        <v>100</v>
      </c>
      <c r="I25" s="534"/>
      <c r="J25" s="529">
        <f>SUMIF(92:92,I26,93:93)-SUMIF(92:92,C26,93:93)+100</f>
        <v>100</v>
      </c>
      <c r="K25" s="505">
        <v>2</v>
      </c>
      <c r="L25" s="1858"/>
      <c r="M25" s="1859"/>
      <c r="N25" s="1859"/>
      <c r="O25" s="1860"/>
      <c r="P25" s="3908"/>
      <c r="Q25" s="1050" t="str">
        <f t="shared" si="8"/>
        <v>公共配套设施</v>
      </c>
      <c r="R25" s="1381" t="s">
        <v>5</v>
      </c>
      <c r="S25" s="1382">
        <f>F25</f>
        <v>102</v>
      </c>
      <c r="T25" s="1381" t="s">
        <v>5</v>
      </c>
      <c r="U25" s="1382">
        <f>H25</f>
        <v>100</v>
      </c>
      <c r="V25" s="1381" t="s">
        <v>5</v>
      </c>
      <c r="W25" s="1382">
        <f>J25</f>
        <v>100</v>
      </c>
      <c r="X25" s="1383"/>
      <c r="Y25" s="3908"/>
      <c r="Z25" s="1049" t="str">
        <f>Q25</f>
        <v>公共配套设施</v>
      </c>
      <c r="AA25" s="1389">
        <f>D25/F25</f>
        <v>0.98039215686274506</v>
      </c>
      <c r="AB25" s="1389">
        <f>D25/H25</f>
        <v>1</v>
      </c>
      <c r="AC25" s="1389">
        <f>D25/J25</f>
        <v>1</v>
      </c>
    </row>
    <row r="26" spans="1:29" s="1118" customFormat="1" ht="15">
      <c r="A26" s="547"/>
      <c r="B26" s="565"/>
      <c r="C26" s="2200" t="s">
        <v>3336</v>
      </c>
      <c r="D26" s="525"/>
      <c r="E26" s="524" t="s">
        <v>3345</v>
      </c>
      <c r="F26" s="525"/>
      <c r="G26" s="524" t="s">
        <v>3336</v>
      </c>
      <c r="H26" s="525"/>
      <c r="I26" s="546" t="s">
        <v>3336</v>
      </c>
      <c r="J26" s="525"/>
      <c r="K26" s="501"/>
      <c r="L26" s="1858"/>
      <c r="M26" s="1859"/>
      <c r="N26" s="1859"/>
      <c r="O26" s="1860"/>
      <c r="P26" s="3908"/>
      <c r="Q26" s="1050"/>
      <c r="R26" s="1381"/>
      <c r="S26" s="1382"/>
      <c r="T26" s="1381"/>
      <c r="U26" s="1382"/>
      <c r="V26" s="1381"/>
      <c r="W26" s="1382"/>
      <c r="X26" s="1383"/>
      <c r="Y26" s="3908"/>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8"/>
      <c r="M27" s="1859"/>
      <c r="N27" s="1859"/>
      <c r="O27" s="1860"/>
      <c r="P27" s="3908"/>
      <c r="Q27" s="2192" t="str">
        <f>B27</f>
        <v>基础设施水平</v>
      </c>
      <c r="R27" s="1381" t="s">
        <v>5</v>
      </c>
      <c r="S27" s="1382">
        <f>F27</f>
        <v>100</v>
      </c>
      <c r="T27" s="1381" t="s">
        <v>5</v>
      </c>
      <c r="U27" s="1382">
        <f>H27</f>
        <v>100</v>
      </c>
      <c r="V27" s="1381" t="s">
        <v>5</v>
      </c>
      <c r="W27" s="1382">
        <f>J27</f>
        <v>100</v>
      </c>
      <c r="X27" s="1383"/>
      <c r="Y27" s="3908"/>
      <c r="Z27" s="2191" t="str">
        <f>Q27</f>
        <v>基础设施水平</v>
      </c>
      <c r="AA27" s="1389">
        <f>D27/F27</f>
        <v>1</v>
      </c>
      <c r="AB27" s="1389">
        <f>D27/H27</f>
        <v>1</v>
      </c>
      <c r="AC27" s="1389">
        <f>D27/J27</f>
        <v>1</v>
      </c>
    </row>
    <row r="28" spans="1:29" s="1118" customFormat="1" ht="15">
      <c r="A28" s="547"/>
      <c r="B28" s="565"/>
      <c r="C28" s="2200" t="s">
        <v>3344</v>
      </c>
      <c r="D28" s="525"/>
      <c r="E28" s="549" t="s">
        <v>3344</v>
      </c>
      <c r="F28" s="525"/>
      <c r="G28" s="549" t="s">
        <v>3344</v>
      </c>
      <c r="H28" s="525"/>
      <c r="I28" s="549" t="s">
        <v>3344</v>
      </c>
      <c r="J28" s="525"/>
      <c r="K28" s="501"/>
      <c r="L28" s="1858"/>
      <c r="M28" s="1859"/>
      <c r="N28" s="1859"/>
      <c r="O28" s="1860"/>
      <c r="P28" s="3908"/>
      <c r="Q28" s="2192"/>
      <c r="R28" s="1381"/>
      <c r="S28" s="1382"/>
      <c r="T28" s="1381"/>
      <c r="U28" s="1382"/>
      <c r="V28" s="1381"/>
      <c r="W28" s="1382"/>
      <c r="X28" s="1383"/>
      <c r="Y28" s="3908"/>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0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8"/>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8"/>
      <c r="Q30" s="1385" t="str">
        <f t="shared" si="8"/>
        <v>毗邻道路的类型与等级</v>
      </c>
      <c r="R30" s="1386" t="s">
        <v>5</v>
      </c>
      <c r="S30" s="1387">
        <f t="shared" si="9"/>
        <v>100</v>
      </c>
      <c r="T30" s="1386" t="s">
        <v>5</v>
      </c>
      <c r="U30" s="1387">
        <f t="shared" si="10"/>
        <v>100</v>
      </c>
      <c r="V30" s="1386" t="s">
        <v>5</v>
      </c>
      <c r="W30" s="1387">
        <f t="shared" si="11"/>
        <v>100</v>
      </c>
      <c r="X30" s="1380"/>
      <c r="Y30" s="390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08"/>
      <c r="Q31" s="1385"/>
      <c r="R31" s="1386"/>
      <c r="S31" s="1387"/>
      <c r="T31" s="1386"/>
      <c r="U31" s="1387"/>
      <c r="V31" s="1386"/>
      <c r="W31" s="1387"/>
      <c r="X31" s="1380"/>
      <c r="Y31" s="3908"/>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08"/>
      <c r="Q32" s="1385" t="str">
        <f t="shared" si="8"/>
        <v>土地级别</v>
      </c>
      <c r="R32" s="1386" t="s">
        <v>5</v>
      </c>
      <c r="S32" s="1387">
        <f t="shared" si="9"/>
        <v>100</v>
      </c>
      <c r="T32" s="1386" t="s">
        <v>5</v>
      </c>
      <c r="U32" s="1387">
        <f t="shared" si="10"/>
        <v>100</v>
      </c>
      <c r="V32" s="1386" t="s">
        <v>5</v>
      </c>
      <c r="W32" s="1387">
        <f t="shared" si="11"/>
        <v>100</v>
      </c>
      <c r="X32" s="1380"/>
      <c r="Y32" s="390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8"/>
      <c r="Q33" s="1385">
        <f t="shared" si="8"/>
        <v>111</v>
      </c>
      <c r="R33" s="1386" t="s">
        <v>5</v>
      </c>
      <c r="S33" s="1387">
        <f t="shared" si="9"/>
        <v>100</v>
      </c>
      <c r="T33" s="1386" t="s">
        <v>5</v>
      </c>
      <c r="U33" s="1387">
        <f t="shared" si="10"/>
        <v>100</v>
      </c>
      <c r="V33" s="1386" t="s">
        <v>5</v>
      </c>
      <c r="W33" s="1387">
        <f t="shared" si="11"/>
        <v>100</v>
      </c>
      <c r="X33" s="1380"/>
      <c r="Y33" s="390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9" t="s">
        <v>499</v>
      </c>
      <c r="Q34" s="1385">
        <f t="shared" si="8"/>
        <v>111</v>
      </c>
      <c r="R34" s="1386" t="s">
        <v>5</v>
      </c>
      <c r="S34" s="1387">
        <f t="shared" si="9"/>
        <v>100</v>
      </c>
      <c r="T34" s="1386" t="s">
        <v>5</v>
      </c>
      <c r="U34" s="1387">
        <f t="shared" si="10"/>
        <v>100</v>
      </c>
      <c r="V34" s="1386" t="s">
        <v>5</v>
      </c>
      <c r="W34" s="1387">
        <f t="shared" si="11"/>
        <v>100</v>
      </c>
      <c r="X34" s="1380"/>
      <c r="Y34" s="3910"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10"/>
      <c r="Q35" s="1385">
        <f t="shared" si="8"/>
        <v>111</v>
      </c>
      <c r="R35" s="1390" t="s">
        <v>5</v>
      </c>
      <c r="S35" s="1391">
        <f t="shared" si="9"/>
        <v>100</v>
      </c>
      <c r="T35" s="1390" t="s">
        <v>5</v>
      </c>
      <c r="U35" s="1391">
        <f t="shared" si="10"/>
        <v>100</v>
      </c>
      <c r="V35" s="1390" t="s">
        <v>5</v>
      </c>
      <c r="W35" s="1391">
        <f t="shared" si="11"/>
        <v>100</v>
      </c>
      <c r="X35" s="1392"/>
      <c r="Y35" s="3910"/>
      <c r="Z35" s="1393">
        <f t="shared" si="12"/>
        <v>111</v>
      </c>
      <c r="AA35" s="1389">
        <f t="shared" si="3"/>
        <v>1</v>
      </c>
      <c r="AB35" s="1389">
        <f t="shared" si="4"/>
        <v>1</v>
      </c>
      <c r="AC35" s="1389">
        <f t="shared" si="5"/>
        <v>1</v>
      </c>
    </row>
    <row r="36" spans="1:29" ht="15">
      <c r="A36" s="2387" t="s">
        <v>2037</v>
      </c>
      <c r="B36" s="565" t="s">
        <v>501</v>
      </c>
      <c r="C36" s="566">
        <f>'数据-汇总表'!D19</f>
        <v>13878.77</v>
      </c>
      <c r="D36" s="567">
        <v>100</v>
      </c>
      <c r="E36" s="566">
        <v>10738</v>
      </c>
      <c r="F36" s="567">
        <f>LOOKUP(E36,109:109,110:110)-LOOKUP(C36,109:109,110:110)+100</f>
        <v>100</v>
      </c>
      <c r="G36" s="566">
        <v>22121.8</v>
      </c>
      <c r="H36" s="567">
        <f>LOOKUP(G36,109:109,110:110)-LOOKUP(C36,109:109,110:110)+100</f>
        <v>100</v>
      </c>
      <c r="I36" s="568">
        <v>30040.799999999999</v>
      </c>
      <c r="J36" s="567">
        <f>LOOKUP(I36,109:109,110:110)-LOOKUP(C36,109:109,110:110)+100</f>
        <v>100</v>
      </c>
      <c r="K36" s="551"/>
      <c r="L36" s="1865"/>
      <c r="M36" s="1857"/>
      <c r="N36" s="1857"/>
      <c r="O36" s="1864"/>
      <c r="P36" s="3910"/>
      <c r="Q36" s="1385" t="str">
        <f>B36</f>
        <v>宗地面积</v>
      </c>
      <c r="R36" s="1386" t="s">
        <v>5</v>
      </c>
      <c r="S36" s="1387">
        <f t="shared" si="9"/>
        <v>100</v>
      </c>
      <c r="T36" s="1386" t="s">
        <v>5</v>
      </c>
      <c r="U36" s="1387">
        <f t="shared" si="10"/>
        <v>100</v>
      </c>
      <c r="V36" s="1386" t="s">
        <v>5</v>
      </c>
      <c r="W36" s="1387">
        <f t="shared" si="11"/>
        <v>100</v>
      </c>
      <c r="X36" s="1380"/>
      <c r="Y36" s="3910"/>
      <c r="Z36" s="1388" t="str">
        <f t="shared" si="12"/>
        <v>宗地面积</v>
      </c>
      <c r="AA36" s="1389">
        <f t="shared" si="3"/>
        <v>1</v>
      </c>
      <c r="AB36" s="1389">
        <f t="shared" si="4"/>
        <v>1</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10"/>
      <c r="Q37" s="1385" t="str">
        <f t="shared" ref="Q37:Q42" si="13">B37</f>
        <v>宗地形状</v>
      </c>
      <c r="R37" s="1386" t="s">
        <v>5</v>
      </c>
      <c r="S37" s="1387">
        <f t="shared" si="9"/>
        <v>100</v>
      </c>
      <c r="T37" s="1386" t="s">
        <v>5</v>
      </c>
      <c r="U37" s="1387">
        <f t="shared" si="10"/>
        <v>100</v>
      </c>
      <c r="V37" s="1386" t="s">
        <v>5</v>
      </c>
      <c r="W37" s="1387">
        <f t="shared" si="11"/>
        <v>100</v>
      </c>
      <c r="X37" s="1380"/>
      <c r="Y37" s="3910"/>
      <c r="Z37" s="1388" t="str">
        <f t="shared" si="12"/>
        <v>宗地形状</v>
      </c>
      <c r="AA37" s="1389">
        <f t="shared" si="3"/>
        <v>1</v>
      </c>
      <c r="AB37" s="1389">
        <f t="shared" si="4"/>
        <v>1</v>
      </c>
      <c r="AC37" s="1389">
        <f t="shared" si="5"/>
        <v>1</v>
      </c>
    </row>
    <row r="38" spans="1:29" s="1118" customFormat="1" ht="15">
      <c r="A38" s="570"/>
      <c r="B38" s="1651" t="s">
        <v>1776</v>
      </c>
      <c r="C38" s="571" t="s">
        <v>3350</v>
      </c>
      <c r="D38" s="246">
        <v>100</v>
      </c>
      <c r="E38" s="571" t="s">
        <v>3346</v>
      </c>
      <c r="F38" s="510">
        <f>SUMIF(113:113,E38,114:114)-SUMIF(113:113,C38,114:114)+100</f>
        <v>103</v>
      </c>
      <c r="G38" s="571" t="s">
        <v>3346</v>
      </c>
      <c r="H38" s="510">
        <f>SUMIF(113:113,G38,114:114)-SUMIF(113:113,C38,114:114)+100</f>
        <v>103</v>
      </c>
      <c r="I38" s="571" t="s">
        <v>3346</v>
      </c>
      <c r="J38" s="510">
        <f>SUMIF(113:113,I38,114:114)-SUMIF(113:113,C38,114:114)+100</f>
        <v>103</v>
      </c>
      <c r="K38" s="554">
        <v>1</v>
      </c>
      <c r="L38" s="1858"/>
      <c r="M38" s="1859"/>
      <c r="N38" s="1859"/>
      <c r="O38" s="1860"/>
      <c r="P38" s="3910"/>
      <c r="Q38" s="1385" t="str">
        <f t="shared" si="13"/>
        <v>宗地开发程度</v>
      </c>
      <c r="R38" s="1381" t="s">
        <v>5</v>
      </c>
      <c r="S38" s="1382">
        <f t="shared" si="9"/>
        <v>103</v>
      </c>
      <c r="T38" s="1381" t="s">
        <v>5</v>
      </c>
      <c r="U38" s="1382">
        <f t="shared" si="10"/>
        <v>103</v>
      </c>
      <c r="V38" s="1381" t="s">
        <v>5</v>
      </c>
      <c r="W38" s="1382">
        <f t="shared" si="11"/>
        <v>103</v>
      </c>
      <c r="X38" s="1383"/>
      <c r="Y38" s="3910"/>
      <c r="Z38" s="1049" t="str">
        <f t="shared" si="12"/>
        <v>宗地开发程度</v>
      </c>
      <c r="AA38" s="1384">
        <f t="shared" si="3"/>
        <v>0.970873786407767</v>
      </c>
      <c r="AB38" s="1384">
        <f t="shared" si="4"/>
        <v>0.970873786407767</v>
      </c>
      <c r="AC38" s="1384">
        <f t="shared" si="5"/>
        <v>0.970873786407767</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10" t="s">
        <v>549</v>
      </c>
      <c r="Q39" s="1385" t="str">
        <f t="shared" si="13"/>
        <v>工程地质条件</v>
      </c>
      <c r="R39" s="1386" t="s">
        <v>5</v>
      </c>
      <c r="S39" s="1387">
        <f t="shared" si="9"/>
        <v>100</v>
      </c>
      <c r="T39" s="1386" t="s">
        <v>5</v>
      </c>
      <c r="U39" s="1387">
        <f t="shared" si="10"/>
        <v>100</v>
      </c>
      <c r="V39" s="1386" t="s">
        <v>5</v>
      </c>
      <c r="W39" s="1387">
        <f t="shared" si="11"/>
        <v>100</v>
      </c>
      <c r="X39" s="1380"/>
      <c r="Y39" s="3910"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10"/>
      <c r="Q40" s="1385">
        <f t="shared" si="13"/>
        <v>111</v>
      </c>
      <c r="R40" s="1386" t="s">
        <v>5</v>
      </c>
      <c r="S40" s="1387">
        <f t="shared" si="9"/>
        <v>100</v>
      </c>
      <c r="T40" s="1386" t="s">
        <v>5</v>
      </c>
      <c r="U40" s="1387">
        <f t="shared" si="10"/>
        <v>100</v>
      </c>
      <c r="V40" s="1386" t="s">
        <v>5</v>
      </c>
      <c r="W40" s="1387">
        <f t="shared" si="11"/>
        <v>100</v>
      </c>
      <c r="X40" s="1380"/>
      <c r="Y40" s="391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10"/>
      <c r="Q41" s="1385">
        <f t="shared" si="13"/>
        <v>111</v>
      </c>
      <c r="R41" s="1386" t="s">
        <v>5</v>
      </c>
      <c r="S41" s="1387">
        <f t="shared" si="9"/>
        <v>100</v>
      </c>
      <c r="T41" s="1386" t="s">
        <v>5</v>
      </c>
      <c r="U41" s="1387">
        <f t="shared" si="10"/>
        <v>100</v>
      </c>
      <c r="V41" s="1386" t="s">
        <v>5</v>
      </c>
      <c r="W41" s="1387">
        <f t="shared" si="11"/>
        <v>100</v>
      </c>
      <c r="X41" s="1380"/>
      <c r="Y41" s="3910"/>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10"/>
      <c r="Q42" s="1385">
        <f t="shared" si="13"/>
        <v>111</v>
      </c>
      <c r="R42" s="1390" t="s">
        <v>5</v>
      </c>
      <c r="S42" s="1391">
        <f t="shared" si="9"/>
        <v>100</v>
      </c>
      <c r="T42" s="1390" t="s">
        <v>5</v>
      </c>
      <c r="U42" s="1391">
        <f t="shared" si="10"/>
        <v>100</v>
      </c>
      <c r="V42" s="1390" t="s">
        <v>5</v>
      </c>
      <c r="W42" s="1391">
        <f t="shared" si="11"/>
        <v>100</v>
      </c>
      <c r="X42" s="1392"/>
      <c r="Y42" s="3910"/>
      <c r="Z42" s="1393">
        <f t="shared" si="12"/>
        <v>111</v>
      </c>
      <c r="AA42" s="1389">
        <f t="shared" si="3"/>
        <v>1</v>
      </c>
      <c r="AB42" s="1389">
        <f t="shared" si="4"/>
        <v>1</v>
      </c>
      <c r="AC42" s="1389">
        <f t="shared" si="5"/>
        <v>1</v>
      </c>
    </row>
    <row r="43" spans="1:29" ht="14.4">
      <c r="A43" s="577" t="s">
        <v>505</v>
      </c>
      <c r="B43" s="578" t="s">
        <v>2197</v>
      </c>
      <c r="C43" s="579" t="s">
        <v>0</v>
      </c>
      <c r="D43" s="580"/>
      <c r="E43" s="581">
        <v>8816</v>
      </c>
      <c r="F43" s="582"/>
      <c r="G43" s="583">
        <v>4477</v>
      </c>
      <c r="H43" s="584"/>
      <c r="I43" s="581">
        <v>6661</v>
      </c>
      <c r="J43" s="584"/>
      <c r="K43" s="1201"/>
      <c r="L43" s="1867"/>
      <c r="M43" s="1857"/>
      <c r="N43" s="1857"/>
      <c r="O43" s="1868"/>
      <c r="P43" s="3905" t="str">
        <f>A43</f>
        <v>成交单价</v>
      </c>
      <c r="Q43" s="3905"/>
      <c r="R43" s="3921">
        <f>E43</f>
        <v>8816</v>
      </c>
      <c r="S43" s="3921"/>
      <c r="T43" s="3921">
        <f>G43</f>
        <v>4477</v>
      </c>
      <c r="U43" s="3921"/>
      <c r="V43" s="3921">
        <f>I43</f>
        <v>6661</v>
      </c>
      <c r="W43" s="3921"/>
      <c r="X43" s="1375"/>
      <c r="Y43" s="1394"/>
      <c r="Z43" s="1375"/>
      <c r="AA43" s="1375"/>
      <c r="AB43" s="1375"/>
      <c r="AC43" s="1375"/>
    </row>
    <row r="44" spans="1:29" ht="15" thickBot="1">
      <c r="A44" s="585" t="s">
        <v>1975</v>
      </c>
      <c r="B44" s="586"/>
      <c r="C44" s="587">
        <f>R45</f>
        <v>6540</v>
      </c>
      <c r="D44" s="2757" t="s">
        <v>2261</v>
      </c>
      <c r="E44" s="587">
        <f>R44</f>
        <v>8228</v>
      </c>
      <c r="F44" s="2758"/>
      <c r="G44" s="588">
        <f>T44</f>
        <v>4232</v>
      </c>
      <c r="H44" s="2758"/>
      <c r="I44" s="587">
        <f>V44</f>
        <v>7161</v>
      </c>
      <c r="J44" s="2758"/>
      <c r="K44" s="2759">
        <f>F44+H44+J44</f>
        <v>0</v>
      </c>
      <c r="L44" s="1867"/>
      <c r="M44" s="1857"/>
      <c r="N44" s="1857"/>
      <c r="O44" s="1868"/>
      <c r="P44" s="3905" t="str">
        <f>A44</f>
        <v>比较价格（元/平方米）</v>
      </c>
      <c r="Q44" s="3905"/>
      <c r="R44" s="3929">
        <f>ROUND(PRODUCT(R43,AA9:AA42),0)</f>
        <v>8228</v>
      </c>
      <c r="S44" s="3929"/>
      <c r="T44" s="3929">
        <f>ROUND(PRODUCT(T43,AB9:AB42),0)</f>
        <v>4232</v>
      </c>
      <c r="U44" s="3929"/>
      <c r="V44" s="3929">
        <f>ROUND(PRODUCT(V43,AC9:AC42),0)</f>
        <v>7161</v>
      </c>
      <c r="W44" s="3929"/>
      <c r="X44" s="1375"/>
      <c r="Y44" s="1375"/>
      <c r="Z44" s="1375"/>
      <c r="AA44" s="1375"/>
      <c r="AB44" s="1375"/>
      <c r="AC44" s="1375"/>
    </row>
    <row r="45" spans="1:29" ht="15" thickBot="1">
      <c r="A45" s="589" t="s">
        <v>2198</v>
      </c>
      <c r="B45" s="590"/>
      <c r="C45" s="591">
        <f>R45</f>
        <v>6540</v>
      </c>
      <c r="D45" s="591"/>
      <c r="E45" s="591"/>
      <c r="F45" s="591"/>
      <c r="G45" s="591"/>
      <c r="H45" s="591"/>
      <c r="I45" s="591"/>
      <c r="J45" s="591"/>
      <c r="K45" s="1202"/>
      <c r="L45" s="1867"/>
      <c r="M45" s="1857"/>
      <c r="N45" s="1857"/>
      <c r="O45" s="1868"/>
      <c r="P45" s="3911" t="str">
        <f>A45</f>
        <v>估价对象XX用房的比较价格（楼面单价，元/平方米）</v>
      </c>
      <c r="Q45" s="3912"/>
      <c r="R45" s="3934">
        <f>ROUND(IF(D44="简单平均",AVERAGE(R44:W44),R44*F44+T44*H44+V44*J44),0)</f>
        <v>6540</v>
      </c>
      <c r="S45" s="3934"/>
      <c r="T45" s="3934"/>
      <c r="U45" s="3934"/>
      <c r="V45" s="3934"/>
      <c r="W45" s="3934"/>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7.1463296062226567E-2</v>
      </c>
      <c r="F48" s="595" t="str">
        <f>IF(OR(E48&gt;=0.3,E48&lt;=-0.3),"超过30%","")</f>
        <v/>
      </c>
      <c r="G48" s="594">
        <f>IF(G43&lt;G44,G44/G43-1,G43/G44-1)</f>
        <v>5.7892249527410122E-2</v>
      </c>
      <c r="H48" s="595" t="str">
        <f>IF(OR(G48&gt;=0.3,G48&lt;=-0.3),"超过30%","")</f>
        <v/>
      </c>
      <c r="I48" s="594">
        <f>IF(I43&lt;I44,I44/I43-1,I43/I44-1)</f>
        <v>7.5063804233598486E-2</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32" ht="13.5" customHeight="1">
      <c r="A49" s="2957"/>
      <c r="B49" s="2957"/>
      <c r="C49" s="592" t="s">
        <v>507</v>
      </c>
      <c r="D49" s="596"/>
      <c r="E49" s="594">
        <f>IF(E44&lt;G44,G44/E44-1,E44/G44-1)</f>
        <v>0.94423440453686203</v>
      </c>
      <c r="F49" s="595" t="str">
        <f>IF(OR(E49&gt;=0.2,E49&lt;=-0.2),"超过20%","")</f>
        <v>超过20%</v>
      </c>
      <c r="G49" s="594">
        <f>IF(G44&lt;I44,I44/G44-1,G44/I44-1)</f>
        <v>0.69210775047258988</v>
      </c>
      <c r="H49" s="595" t="str">
        <f>IF(OR(G49&gt;=0.2,G49&lt;=-0.2),"超过20%","")</f>
        <v>超过20%</v>
      </c>
      <c r="I49" s="594">
        <f>IF(I44&lt;E44,E44/I44-1,I44/E44-1)</f>
        <v>0.14900153609831035</v>
      </c>
      <c r="J49" s="595" t="str">
        <f>IF(OR(I49&gt;=0.2,I49&lt;=-0.2),"超过20%","")</f>
        <v/>
      </c>
      <c r="K49" s="2960"/>
      <c r="L49" s="1872"/>
      <c r="M49" s="1868"/>
      <c r="N49" s="1868"/>
      <c r="O49" s="1868"/>
      <c r="P49" s="1868"/>
      <c r="Q49" s="1868"/>
      <c r="R49" s="1868"/>
      <c r="S49" s="1868"/>
      <c r="T49" s="1868"/>
      <c r="U49" s="1868"/>
      <c r="V49" s="1868"/>
      <c r="W49" s="1868"/>
      <c r="X49" s="1868"/>
      <c r="Y49" s="1868"/>
      <c r="Z49" s="1868"/>
      <c r="AA49" s="1868"/>
      <c r="AB49" s="1868"/>
      <c r="AC49" s="1868"/>
    </row>
    <row r="50" spans="1:32" s="1205" customFormat="1" ht="13.5" customHeight="1">
      <c r="A50" s="2958"/>
      <c r="B50" s="2958"/>
      <c r="C50" s="592" t="s">
        <v>508</v>
      </c>
      <c r="D50" s="596"/>
      <c r="E50" s="594">
        <f>IF(E43&lt;G43,G43/E43-1,E43/G43-1)</f>
        <v>0.96917578735760546</v>
      </c>
      <c r="F50" s="595" t="str">
        <f>IF(OR(E50&gt;=0.3,E50&lt;=-0.3),"超过30%","")</f>
        <v>超过30%</v>
      </c>
      <c r="G50" s="594">
        <f>IF(G43&lt;I43,I43/G43-1,G43/I43-1)</f>
        <v>0.48782666964485144</v>
      </c>
      <c r="H50" s="595" t="str">
        <f>IF(OR(G50&gt;=0.3,G50&lt;=-0.3),"超过30%","")</f>
        <v>超过30%</v>
      </c>
      <c r="I50" s="594">
        <f>IF(I43&lt;E43,E43/I43-1,I43/E43-1)</f>
        <v>0.32352499624680986</v>
      </c>
      <c r="J50" s="595" t="str">
        <f>IF(OR(I50&gt;=0.3,I50&lt;=-0.3),"超过30%","")</f>
        <v>超过30%</v>
      </c>
      <c r="K50" s="2961"/>
      <c r="L50" s="1875"/>
      <c r="M50" s="1869"/>
      <c r="N50" s="1869"/>
      <c r="O50" s="1869"/>
      <c r="P50" s="1869"/>
      <c r="Q50" s="1869"/>
      <c r="R50" s="1869"/>
      <c r="S50" s="1869"/>
      <c r="T50" s="1869"/>
      <c r="U50" s="1869"/>
      <c r="V50" s="1869"/>
      <c r="W50" s="1869"/>
      <c r="X50" s="1869"/>
      <c r="Y50" s="1869"/>
      <c r="Z50" s="1869"/>
      <c r="AA50" s="1869"/>
      <c r="AB50" s="1869"/>
      <c r="AC50" s="1869"/>
    </row>
    <row r="51" spans="1:32"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32" ht="28.8">
      <c r="A52" s="597" t="s">
        <v>509</v>
      </c>
      <c r="B52" s="598" t="s">
        <v>510</v>
      </c>
      <c r="C52" s="1376" t="s">
        <v>1253</v>
      </c>
      <c r="D52" s="1946" t="s">
        <v>1650</v>
      </c>
      <c r="E52" s="599" t="s">
        <v>511</v>
      </c>
      <c r="F52" s="1707" t="s">
        <v>512</v>
      </c>
      <c r="G52" s="3930" t="s">
        <v>1642</v>
      </c>
      <c r="H52" s="3931"/>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32" s="1206" customFormat="1" ht="13.2">
      <c r="A53" s="601" t="s">
        <v>513</v>
      </c>
      <c r="B53" s="602">
        <f>C45</f>
        <v>6540</v>
      </c>
      <c r="C53" s="603">
        <v>1</v>
      </c>
      <c r="D53" s="1947">
        <v>1</v>
      </c>
      <c r="E53" s="603">
        <f>'数据-汇总表'!E8+'数据-汇总表'!E9</f>
        <v>1993.1</v>
      </c>
      <c r="F53" s="1706">
        <f t="shared" ref="F53:F61" si="14">ROUND(B53*E53/10000,0)</f>
        <v>1303</v>
      </c>
      <c r="G53" s="3932"/>
      <c r="H53" s="3933"/>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32"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32"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32" s="1206" customFormat="1" ht="13.2">
      <c r="A56" s="605" t="s">
        <v>516</v>
      </c>
      <c r="B56" s="606">
        <f t="shared" si="16"/>
        <v>0</v>
      </c>
      <c r="C56" s="365">
        <f t="shared" si="15"/>
        <v>0</v>
      </c>
      <c r="D56" s="1948">
        <v>0.25</v>
      </c>
      <c r="E56" s="607"/>
      <c r="F56" s="1706">
        <f t="shared" si="14"/>
        <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32"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32"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32"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SUMIF(修正!$A$59:$A$70,H59,修正!G59:G70)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32"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32"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32" s="1206" customFormat="1" thickBot="1">
      <c r="A62" s="610" t="s">
        <v>521</v>
      </c>
      <c r="B62" s="611" t="s">
        <v>11</v>
      </c>
      <c r="C62" s="611" t="s">
        <v>12</v>
      </c>
      <c r="D62" s="611" t="s">
        <v>1651</v>
      </c>
      <c r="E62" s="611">
        <f>IF(B43="楼面地价",SUM(E53:E61),'数据-汇总表'!D3)</f>
        <v>13878.77</v>
      </c>
      <c r="F62" s="612">
        <f>IF(B43="楼面地价",SUM(F53:F61),ROUND(C45*E62/10000,0))</f>
        <v>9077</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32">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32">
      <c r="A64" s="1868"/>
      <c r="B64" s="1870"/>
      <c r="C64" s="2280" t="str">
        <f>YEAR(C9)&amp;"-"&amp;MONTH(C9)&amp;"-1"</f>
        <v>2025-7-1</v>
      </c>
      <c r="D64" s="2279">
        <f>EDATE(C64,-3)</f>
        <v>45748</v>
      </c>
      <c r="E64" s="2279">
        <f t="shared" ref="E64:N64" si="17">EDATE(D64,-3)</f>
        <v>45658</v>
      </c>
      <c r="F64" s="2279">
        <f t="shared" si="17"/>
        <v>45566</v>
      </c>
      <c r="G64" s="2279">
        <f t="shared" si="17"/>
        <v>45474</v>
      </c>
      <c r="H64" s="2279">
        <f t="shared" si="17"/>
        <v>45383</v>
      </c>
      <c r="I64" s="2279">
        <f t="shared" si="17"/>
        <v>45292</v>
      </c>
      <c r="J64" s="2279">
        <f t="shared" si="17"/>
        <v>45200</v>
      </c>
      <c r="K64" s="2279">
        <f t="shared" si="17"/>
        <v>45108</v>
      </c>
      <c r="L64" s="2279">
        <f t="shared" si="17"/>
        <v>45017</v>
      </c>
      <c r="M64" s="2279">
        <f t="shared" si="17"/>
        <v>44927</v>
      </c>
      <c r="N64" s="2279">
        <f t="shared" si="17"/>
        <v>44835</v>
      </c>
      <c r="O64" s="1870">
        <f t="shared" ref="O64" si="18">EDATE(N64,-3)</f>
        <v>44743</v>
      </c>
      <c r="P64" s="1870">
        <f t="shared" ref="P64" si="19">EDATE(O64,-3)</f>
        <v>44652</v>
      </c>
      <c r="Q64" s="1870">
        <f t="shared" ref="Q64" si="20">EDATE(P64,-3)</f>
        <v>44562</v>
      </c>
      <c r="R64" s="1870">
        <f t="shared" ref="R64" si="21">EDATE(Q64,-3)</f>
        <v>44470</v>
      </c>
      <c r="S64" s="1870">
        <f t="shared" ref="S64" si="22">EDATE(R64,-3)</f>
        <v>44378</v>
      </c>
      <c r="T64" s="1870">
        <f t="shared" ref="T64" si="23">EDATE(S64,-3)</f>
        <v>44287</v>
      </c>
      <c r="U64" s="1870">
        <f t="shared" ref="U64" si="24">EDATE(T64,-3)</f>
        <v>44197</v>
      </c>
      <c r="V64" s="1870">
        <f t="shared" ref="V64" si="25">EDATE(U64,-3)</f>
        <v>44105</v>
      </c>
      <c r="W64" s="1870">
        <f t="shared" ref="W64" si="26">EDATE(V64,-3)</f>
        <v>44013</v>
      </c>
      <c r="X64" s="1870">
        <f t="shared" ref="X64" si="27">EDATE(W64,-3)</f>
        <v>43922</v>
      </c>
      <c r="Y64" s="1870">
        <f t="shared" ref="Y64" si="28">EDATE(X64,-3)</f>
        <v>43831</v>
      </c>
      <c r="Z64" s="1870">
        <f t="shared" ref="Z64" si="29">EDATE(Y64,-3)</f>
        <v>43739</v>
      </c>
      <c r="AA64" s="1870">
        <f t="shared" ref="AA64" si="30">EDATE(Z64,-3)</f>
        <v>43647</v>
      </c>
      <c r="AB64" s="1870">
        <f t="shared" ref="AB64" si="31">EDATE(AA64,-3)</f>
        <v>43556</v>
      </c>
      <c r="AC64" s="1870">
        <f t="shared" ref="AC64" si="32">EDATE(AB64,-3)</f>
        <v>43466</v>
      </c>
      <c r="AD64" s="1870">
        <f t="shared" ref="AD64" si="33">EDATE(AC64,-3)</f>
        <v>43374</v>
      </c>
      <c r="AE64" s="1870">
        <f t="shared" ref="AE64" si="34">EDATE(AD64,-3)</f>
        <v>43282</v>
      </c>
      <c r="AF64" s="1870">
        <f t="shared" ref="AF64" si="35">EDATE(AE64,-3)</f>
        <v>43191</v>
      </c>
    </row>
    <row r="65" spans="1:32"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32" s="1207" customFormat="1" ht="41.4">
      <c r="A66" s="2185" t="s">
        <v>1816</v>
      </c>
      <c r="B66" s="614"/>
      <c r="C66" s="2276" t="str">
        <f>YEAR(C64)&amp;"-"&amp;ROUNDUP(MONTH(C64)/3,0)</f>
        <v>2025-3</v>
      </c>
      <c r="D66" s="2281" t="str">
        <f t="shared" ref="D66:AF66" si="36">YEAR(D64)&amp;"-"&amp;ROUNDUP(MONTH(D64)/3,0)</f>
        <v>2025-2</v>
      </c>
      <c r="E66" s="2281" t="str">
        <f t="shared" si="36"/>
        <v>2025-1</v>
      </c>
      <c r="F66" s="2281" t="str">
        <f t="shared" si="36"/>
        <v>2024-4</v>
      </c>
      <c r="G66" s="2281" t="str">
        <f t="shared" si="36"/>
        <v>2024-3</v>
      </c>
      <c r="H66" s="2281" t="str">
        <f t="shared" si="36"/>
        <v>2024-2</v>
      </c>
      <c r="I66" s="2281" t="str">
        <f t="shared" si="36"/>
        <v>2024-1</v>
      </c>
      <c r="J66" s="2281" t="str">
        <f t="shared" si="36"/>
        <v>2023-4</v>
      </c>
      <c r="K66" s="2281" t="str">
        <f t="shared" si="36"/>
        <v>2023-3</v>
      </c>
      <c r="L66" s="2281" t="str">
        <f t="shared" si="36"/>
        <v>2023-2</v>
      </c>
      <c r="M66" s="2281" t="str">
        <f t="shared" si="36"/>
        <v>2023-1</v>
      </c>
      <c r="N66" s="2281" t="str">
        <f t="shared" si="36"/>
        <v>2022-4</v>
      </c>
      <c r="O66" s="3697" t="str">
        <f t="shared" si="36"/>
        <v>2022-3</v>
      </c>
      <c r="P66" s="3697" t="str">
        <f t="shared" si="36"/>
        <v>2022-2</v>
      </c>
      <c r="Q66" s="3697" t="str">
        <f t="shared" si="36"/>
        <v>2022-1</v>
      </c>
      <c r="R66" s="3697" t="str">
        <f t="shared" si="36"/>
        <v>2021-4</v>
      </c>
      <c r="S66" s="3697" t="str">
        <f t="shared" si="36"/>
        <v>2021-3</v>
      </c>
      <c r="T66" s="3697" t="str">
        <f t="shared" si="36"/>
        <v>2021-2</v>
      </c>
      <c r="U66" s="3697" t="str">
        <f t="shared" si="36"/>
        <v>2021-1</v>
      </c>
      <c r="V66" s="3697" t="str">
        <f t="shared" si="36"/>
        <v>2020-4</v>
      </c>
      <c r="W66" s="3697" t="str">
        <f t="shared" si="36"/>
        <v>2020-3</v>
      </c>
      <c r="X66" s="3697" t="str">
        <f t="shared" si="36"/>
        <v>2020-2</v>
      </c>
      <c r="Y66" s="3697" t="str">
        <f t="shared" si="36"/>
        <v>2020-1</v>
      </c>
      <c r="Z66" s="3697" t="str">
        <f t="shared" si="36"/>
        <v>2019-4</v>
      </c>
      <c r="AA66" s="3697" t="str">
        <f t="shared" si="36"/>
        <v>2019-3</v>
      </c>
      <c r="AB66" s="3697" t="str">
        <f t="shared" si="36"/>
        <v>2019-2</v>
      </c>
      <c r="AC66" s="3697" t="str">
        <f t="shared" si="36"/>
        <v>2019-1</v>
      </c>
      <c r="AD66" s="3697" t="str">
        <f t="shared" si="36"/>
        <v>2018-4</v>
      </c>
      <c r="AE66" s="3697" t="str">
        <f t="shared" si="36"/>
        <v>2018-3</v>
      </c>
      <c r="AF66" s="3697" t="str">
        <f t="shared" si="36"/>
        <v>2018-2</v>
      </c>
    </row>
    <row r="67" spans="1:32" s="1118" customFormat="1" ht="27.75" customHeight="1">
      <c r="A67" s="2278" t="s">
        <v>1931</v>
      </c>
      <c r="B67" s="465" t="str">
        <f>"北京市平均增长率"&amp;TEXT(基准地价!P28,"0.00%")</f>
        <v>北京市平均增长率0.00%</v>
      </c>
      <c r="C67" s="857">
        <v>100</v>
      </c>
      <c r="D67" s="698">
        <f>ROUND(C67/(1+D68),2)</f>
        <v>101.06</v>
      </c>
      <c r="E67" s="698">
        <f t="shared" ref="E67:AF67" si="37">ROUND(D67/(1+E68),2)</f>
        <v>101.98</v>
      </c>
      <c r="F67" s="698">
        <f t="shared" si="37"/>
        <v>102.75</v>
      </c>
      <c r="G67" s="698">
        <f t="shared" si="37"/>
        <v>103.03</v>
      </c>
      <c r="H67" s="698">
        <f t="shared" si="37"/>
        <v>104.47</v>
      </c>
      <c r="I67" s="698">
        <f t="shared" si="37"/>
        <v>104.64</v>
      </c>
      <c r="J67" s="698">
        <f t="shared" si="37"/>
        <v>104.81</v>
      </c>
      <c r="K67" s="698">
        <f t="shared" si="37"/>
        <v>104.49</v>
      </c>
      <c r="L67" s="698">
        <f t="shared" si="37"/>
        <v>104</v>
      </c>
      <c r="M67" s="698">
        <f t="shared" si="37"/>
        <v>103.41</v>
      </c>
      <c r="N67" s="698">
        <f t="shared" si="37"/>
        <v>103.3</v>
      </c>
      <c r="O67" s="698">
        <f t="shared" si="37"/>
        <v>103.06</v>
      </c>
      <c r="P67" s="698">
        <f t="shared" si="37"/>
        <v>103.05</v>
      </c>
      <c r="Q67" s="698">
        <f t="shared" si="37"/>
        <v>102.67</v>
      </c>
      <c r="R67" s="698">
        <f t="shared" si="37"/>
        <v>102.6</v>
      </c>
      <c r="S67" s="698">
        <f t="shared" si="37"/>
        <v>102.35</v>
      </c>
      <c r="T67" s="698">
        <f t="shared" si="37"/>
        <v>101.93</v>
      </c>
      <c r="U67" s="698">
        <f t="shared" si="37"/>
        <v>102.19</v>
      </c>
      <c r="V67" s="698">
        <f t="shared" si="37"/>
        <v>99.51</v>
      </c>
      <c r="W67" s="698">
        <f t="shared" si="37"/>
        <v>99.44</v>
      </c>
      <c r="X67" s="698">
        <f t="shared" si="37"/>
        <v>98.97</v>
      </c>
      <c r="Y67" s="698">
        <f t="shared" si="37"/>
        <v>98.7</v>
      </c>
      <c r="Z67" s="698">
        <f t="shared" si="37"/>
        <v>98.23</v>
      </c>
      <c r="AA67" s="698">
        <f t="shared" si="37"/>
        <v>97.23</v>
      </c>
      <c r="AB67" s="698">
        <f t="shared" si="37"/>
        <v>96.03</v>
      </c>
      <c r="AC67" s="698">
        <f t="shared" si="37"/>
        <v>94.96</v>
      </c>
      <c r="AD67" s="698">
        <f t="shared" si="37"/>
        <v>93.75</v>
      </c>
      <c r="AE67" s="698">
        <f t="shared" si="37"/>
        <v>92.15</v>
      </c>
      <c r="AF67" s="698">
        <f t="shared" si="37"/>
        <v>89.96</v>
      </c>
    </row>
    <row r="68" spans="1:32" s="1118" customFormat="1" ht="15" thickBot="1">
      <c r="A68" s="621" t="s">
        <v>523</v>
      </c>
      <c r="B68" s="622"/>
      <c r="C68" s="2272">
        <v>1</v>
      </c>
      <c r="D68" s="3699">
        <v>-1.0500000000000001E-2</v>
      </c>
      <c r="E68" s="3699">
        <v>-8.9999999999999993E-3</v>
      </c>
      <c r="F68" s="3699">
        <v>-7.4999999999999997E-3</v>
      </c>
      <c r="G68" s="3699">
        <v>-2.7000000000000001E-3</v>
      </c>
      <c r="H68" s="3699">
        <v>-1.38E-2</v>
      </c>
      <c r="I68" s="3699">
        <v>-1.6000000000000001E-3</v>
      </c>
      <c r="J68" s="3699">
        <v>-1.6000000000000001E-3</v>
      </c>
      <c r="K68" s="3699">
        <v>3.0999999999999999E-3</v>
      </c>
      <c r="L68" s="3699">
        <v>4.7000000000000002E-3</v>
      </c>
      <c r="M68" s="3699">
        <v>5.7000000000000002E-3</v>
      </c>
      <c r="N68" s="3699">
        <v>1.1000000000000001E-3</v>
      </c>
      <c r="O68" s="3699">
        <v>2.3E-3</v>
      </c>
      <c r="P68" s="3699">
        <v>1E-4</v>
      </c>
      <c r="Q68" s="3699">
        <v>3.7000000000000002E-3</v>
      </c>
      <c r="R68" s="3699">
        <v>6.9999999999999999E-4</v>
      </c>
      <c r="S68" s="3699">
        <v>2.3999999999999998E-3</v>
      </c>
      <c r="T68" s="3699">
        <v>4.1000000000000003E-3</v>
      </c>
      <c r="U68" s="3699">
        <v>-2.5000000000000001E-3</v>
      </c>
      <c r="V68" s="3699">
        <v>2.69E-2</v>
      </c>
      <c r="W68" s="3699">
        <v>6.9999999999999999E-4</v>
      </c>
      <c r="X68" s="3699">
        <v>4.7000000000000002E-3</v>
      </c>
      <c r="Y68" s="3699">
        <v>2.7000000000000001E-3</v>
      </c>
      <c r="Z68" s="3699">
        <v>4.7999999999999996E-3</v>
      </c>
      <c r="AA68" s="3699">
        <v>1.03E-2</v>
      </c>
      <c r="AB68" s="3699">
        <v>1.2500000000000001E-2</v>
      </c>
      <c r="AC68" s="3699">
        <v>1.1299999999999999E-2</v>
      </c>
      <c r="AD68" s="3700">
        <v>1.29E-2</v>
      </c>
      <c r="AE68" s="3700">
        <v>1.7399999999999999E-2</v>
      </c>
      <c r="AF68" s="3700">
        <v>2.4400000000000002E-2</v>
      </c>
    </row>
    <row r="69" spans="1:32"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32"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32"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32"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32"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32"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32" ht="15" thickTop="1">
      <c r="A75" s="637"/>
      <c r="B75" s="649" t="s">
        <v>487</v>
      </c>
      <c r="C75" s="650" t="str">
        <f>C76&amp;"（含）"&amp;"-"&amp;D76</f>
        <v>0（含）-2</v>
      </c>
      <c r="D75" s="650" t="str">
        <f t="shared" ref="D75:L75" si="38">D76&amp;"（含）"&amp;"-"&amp;E76</f>
        <v>2（含）-</v>
      </c>
      <c r="E75" s="650" t="str">
        <f t="shared" si="38"/>
        <v>（含）-</v>
      </c>
      <c r="F75" s="650" t="str">
        <f t="shared" si="38"/>
        <v>（含）-</v>
      </c>
      <c r="G75" s="650" t="str">
        <f t="shared" si="38"/>
        <v>（含）-</v>
      </c>
      <c r="H75" s="650" t="str">
        <f t="shared" si="38"/>
        <v>（含）-</v>
      </c>
      <c r="I75" s="650" t="str">
        <f t="shared" si="38"/>
        <v>（含）-</v>
      </c>
      <c r="J75" s="650" t="str">
        <f t="shared" si="38"/>
        <v>（含）-</v>
      </c>
      <c r="K75" s="650" t="str">
        <f t="shared" si="38"/>
        <v>（含）-</v>
      </c>
      <c r="L75" s="650" t="str">
        <f t="shared" si="38"/>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32">
      <c r="A76" s="637"/>
      <c r="B76" s="651"/>
      <c r="C76" s="511">
        <v>0</v>
      </c>
      <c r="D76" s="511">
        <v>2</v>
      </c>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32" ht="14.4" thickBot="1">
      <c r="A77" s="637"/>
      <c r="B77" s="638"/>
      <c r="C77" s="647">
        <v>100</v>
      </c>
      <c r="D77" s="647">
        <f t="shared" ref="D77:M77" si="39">IF($B$43="单位面积地价",C77+$K13,C77-$K13)</f>
        <v>99</v>
      </c>
      <c r="E77" s="647">
        <f t="shared" si="39"/>
        <v>98</v>
      </c>
      <c r="F77" s="647">
        <f t="shared" si="39"/>
        <v>97</v>
      </c>
      <c r="G77" s="647">
        <f t="shared" si="39"/>
        <v>96</v>
      </c>
      <c r="H77" s="647">
        <f t="shared" si="39"/>
        <v>95</v>
      </c>
      <c r="I77" s="647">
        <f t="shared" si="39"/>
        <v>94</v>
      </c>
      <c r="J77" s="647">
        <f t="shared" si="39"/>
        <v>93</v>
      </c>
      <c r="K77" s="647">
        <f t="shared" si="39"/>
        <v>92</v>
      </c>
      <c r="L77" s="647">
        <f t="shared" si="39"/>
        <v>91</v>
      </c>
      <c r="M77" s="647">
        <f t="shared" si="39"/>
        <v>90</v>
      </c>
      <c r="N77" s="2973"/>
      <c r="O77" s="1888"/>
      <c r="P77" s="1887"/>
      <c r="Q77" s="1880"/>
      <c r="R77" s="1868"/>
      <c r="S77" s="1868"/>
      <c r="T77" s="1868"/>
      <c r="U77" s="1868"/>
      <c r="V77" s="1868"/>
      <c r="W77" s="1868"/>
      <c r="X77" s="1868"/>
      <c r="Y77" s="1868"/>
      <c r="Z77" s="1868"/>
      <c r="AA77" s="1868"/>
      <c r="AB77" s="1868"/>
      <c r="AC77" s="1868"/>
    </row>
    <row r="78" spans="1:32"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32"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32"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98</v>
      </c>
      <c r="E85" s="647">
        <f>D85-$K17</f>
        <v>96</v>
      </c>
      <c r="F85" s="647">
        <f>E85-$K17</f>
        <v>94</v>
      </c>
      <c r="G85" s="647">
        <f>F85-$K17</f>
        <v>92</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98</v>
      </c>
      <c r="E87" s="647">
        <f>D87-$K19</f>
        <v>96</v>
      </c>
      <c r="F87" s="647">
        <f>E87-$K19</f>
        <v>94</v>
      </c>
      <c r="G87" s="647">
        <f>F87-$K19</f>
        <v>92</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98</v>
      </c>
      <c r="E89" s="647">
        <f>D89-$K21</f>
        <v>96</v>
      </c>
      <c r="F89" s="647">
        <f>E89-$K21</f>
        <v>94</v>
      </c>
      <c r="G89" s="647">
        <f>F89-$K21</f>
        <v>92</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98</v>
      </c>
      <c r="E91" s="647">
        <f>D91-$K23</f>
        <v>96</v>
      </c>
      <c r="F91" s="647">
        <f>E91-$K23</f>
        <v>94</v>
      </c>
      <c r="G91" s="647">
        <f>F91-$K23</f>
        <v>92</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99</v>
      </c>
      <c r="E95" s="647">
        <f>D95-$K27</f>
        <v>98</v>
      </c>
      <c r="F95" s="647">
        <f>E95-$K27</f>
        <v>97</v>
      </c>
      <c r="G95" s="647">
        <f>F95-$K27</f>
        <v>96</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40">C97-$K29</f>
        <v>100</v>
      </c>
      <c r="E97" s="647">
        <f t="shared" si="40"/>
        <v>100</v>
      </c>
      <c r="F97" s="647">
        <f t="shared" si="40"/>
        <v>100</v>
      </c>
      <c r="G97" s="647">
        <f t="shared" si="40"/>
        <v>100</v>
      </c>
      <c r="H97" s="647">
        <f t="shared" si="40"/>
        <v>100</v>
      </c>
      <c r="I97" s="647">
        <f t="shared" si="40"/>
        <v>100</v>
      </c>
      <c r="J97" s="647">
        <f t="shared" si="40"/>
        <v>100</v>
      </c>
      <c r="K97" s="647">
        <f t="shared" si="40"/>
        <v>100</v>
      </c>
      <c r="L97" s="647">
        <f t="shared" si="40"/>
        <v>100</v>
      </c>
      <c r="M97" s="647">
        <f t="shared" si="40"/>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41">C99-$K30</f>
        <v>100</v>
      </c>
      <c r="E99" s="647">
        <f t="shared" si="41"/>
        <v>100</v>
      </c>
      <c r="F99" s="647">
        <f t="shared" si="41"/>
        <v>100</v>
      </c>
      <c r="G99" s="647">
        <f t="shared" si="41"/>
        <v>100</v>
      </c>
      <c r="H99" s="647">
        <f t="shared" si="41"/>
        <v>100</v>
      </c>
      <c r="I99" s="647">
        <f t="shared" si="41"/>
        <v>100</v>
      </c>
      <c r="J99" s="647">
        <f t="shared" si="41"/>
        <v>100</v>
      </c>
      <c r="K99" s="647">
        <f t="shared" si="41"/>
        <v>100</v>
      </c>
      <c r="L99" s="647">
        <f t="shared" si="41"/>
        <v>100</v>
      </c>
      <c r="M99" s="647">
        <f t="shared" si="41"/>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42">C101-$K32</f>
        <v>100</v>
      </c>
      <c r="E101" s="647">
        <f t="shared" si="42"/>
        <v>100</v>
      </c>
      <c r="F101" s="647">
        <f t="shared" si="42"/>
        <v>100</v>
      </c>
      <c r="G101" s="647">
        <f t="shared" si="42"/>
        <v>100</v>
      </c>
      <c r="H101" s="647">
        <f t="shared" si="42"/>
        <v>100</v>
      </c>
      <c r="I101" s="647">
        <f t="shared" si="42"/>
        <v>100</v>
      </c>
      <c r="J101" s="647">
        <f t="shared" si="42"/>
        <v>100</v>
      </c>
      <c r="K101" s="647">
        <f t="shared" si="42"/>
        <v>100</v>
      </c>
      <c r="L101" s="647">
        <f t="shared" si="42"/>
        <v>100</v>
      </c>
      <c r="M101" s="647">
        <f t="shared" si="42"/>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43">C109&amp;"(含)"&amp;"-"&amp;D109</f>
        <v>0(含)-50000</v>
      </c>
      <c r="D108" s="672" t="str">
        <f t="shared" si="43"/>
        <v>50000(含)-</v>
      </c>
      <c r="E108" s="672" t="str">
        <f t="shared" si="43"/>
        <v>(含)-</v>
      </c>
      <c r="F108" s="672" t="str">
        <f t="shared" si="43"/>
        <v>(含)-</v>
      </c>
      <c r="G108" s="672" t="str">
        <f t="shared" si="43"/>
        <v>(含)-</v>
      </c>
      <c r="H108" s="672" t="str">
        <f t="shared" si="43"/>
        <v>(含)-</v>
      </c>
      <c r="I108" s="672" t="str">
        <f t="shared" si="43"/>
        <v>(含)-</v>
      </c>
      <c r="J108" s="672" t="str">
        <f t="shared" si="43"/>
        <v>(含)-</v>
      </c>
      <c r="K108" s="2537" t="str">
        <f t="shared" si="43"/>
        <v>(含)-</v>
      </c>
      <c r="L108" s="2538" t="str">
        <f t="shared" si="43"/>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44">C112-$K37</f>
        <v>100</v>
      </c>
      <c r="E112" s="647">
        <f t="shared" si="44"/>
        <v>100</v>
      </c>
      <c r="F112" s="647">
        <f t="shared" si="44"/>
        <v>100</v>
      </c>
      <c r="G112" s="647">
        <f t="shared" si="44"/>
        <v>100</v>
      </c>
      <c r="H112" s="647">
        <f t="shared" si="44"/>
        <v>100</v>
      </c>
      <c r="I112" s="647">
        <f t="shared" si="44"/>
        <v>100</v>
      </c>
      <c r="J112" s="647">
        <f t="shared" si="44"/>
        <v>100</v>
      </c>
      <c r="K112" s="647">
        <f t="shared" si="44"/>
        <v>100</v>
      </c>
      <c r="L112" s="647">
        <f t="shared" si="44"/>
        <v>100</v>
      </c>
      <c r="M112" s="648">
        <f t="shared" si="44"/>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3347</v>
      </c>
      <c r="D113" s="1233" t="s">
        <v>3348</v>
      </c>
      <c r="E113" s="1233" t="s">
        <v>3349</v>
      </c>
      <c r="F113" s="1233" t="s">
        <v>3351</v>
      </c>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45">C114-$K38</f>
        <v>99</v>
      </c>
      <c r="E114" s="647">
        <f t="shared" si="45"/>
        <v>98</v>
      </c>
      <c r="F114" s="647">
        <f t="shared" si="45"/>
        <v>97</v>
      </c>
      <c r="G114" s="647">
        <f t="shared" si="45"/>
        <v>96</v>
      </c>
      <c r="H114" s="647">
        <f t="shared" si="45"/>
        <v>95</v>
      </c>
      <c r="I114" s="647">
        <f t="shared" si="45"/>
        <v>94</v>
      </c>
      <c r="J114" s="647">
        <f t="shared" si="45"/>
        <v>93</v>
      </c>
      <c r="K114" s="647">
        <f t="shared" si="45"/>
        <v>92</v>
      </c>
      <c r="L114" s="647">
        <f t="shared" si="45"/>
        <v>91</v>
      </c>
      <c r="M114" s="648">
        <f t="shared" si="45"/>
        <v>90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98" t="s">
        <v>3352</v>
      </c>
      <c r="D115" s="3698" t="s">
        <v>3353</v>
      </c>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46">C116-$K39</f>
        <v>100</v>
      </c>
      <c r="E116" s="647">
        <f t="shared" si="46"/>
        <v>100</v>
      </c>
      <c r="F116" s="647">
        <f t="shared" si="46"/>
        <v>100</v>
      </c>
      <c r="G116" s="647">
        <f t="shared" si="46"/>
        <v>100</v>
      </c>
      <c r="H116" s="647">
        <f t="shared" si="46"/>
        <v>100</v>
      </c>
      <c r="I116" s="647">
        <f t="shared" si="46"/>
        <v>100</v>
      </c>
      <c r="J116" s="647">
        <f t="shared" si="46"/>
        <v>100</v>
      </c>
      <c r="K116" s="647">
        <f t="shared" si="46"/>
        <v>100</v>
      </c>
      <c r="L116" s="647">
        <f t="shared" si="46"/>
        <v>100</v>
      </c>
      <c r="M116" s="648">
        <f t="shared" si="46"/>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algorithmName="SHA-512" hashValue="fkJK8EEd6kL+tEGJiQiyvpIrPMus9W5AsXR1uFQiy1B2vapYaNyQD/VIyzmd/RkR2fE6/u+99FmoOnAkSB9d1g==" saltValue="0D0Ym6S6Y0kelzPGmVPeLw==" spinCount="100000"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0" zoomScale="90" zoomScaleNormal="60" zoomScaleSheetLayoutView="90" workbookViewId="0">
      <selection activeCell="E109" sqref="E109"/>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13878.77</v>
      </c>
      <c r="E1" s="1261" t="s">
        <v>1779</v>
      </c>
      <c r="F1" s="2105">
        <f>'数据-汇总表'!D6</f>
        <v>13878.77</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8885</v>
      </c>
      <c r="C2" s="1262" t="s">
        <v>849</v>
      </c>
      <c r="D2" s="1263" t="s">
        <v>850</v>
      </c>
      <c r="E2" s="1264" t="s">
        <v>905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8570</v>
      </c>
      <c r="U2" s="2406"/>
      <c r="V2" s="2416">
        <f>ROUND(T2*U2/10000,0)</f>
        <v>0</v>
      </c>
      <c r="W2" s="1911"/>
      <c r="X2" s="1911"/>
      <c r="Y2" s="1911"/>
      <c r="Z2" s="1911"/>
      <c r="AA2" s="1911"/>
      <c r="AB2" s="1911"/>
      <c r="AC2" s="1912"/>
    </row>
    <row r="3" spans="1:39" ht="15.6">
      <c r="A3" s="1266" t="s">
        <v>1220</v>
      </c>
      <c r="B3" s="991">
        <f>ROUND(B2*10000/D1,0)</f>
        <v>6402</v>
      </c>
      <c r="C3" s="1262" t="s">
        <v>855</v>
      </c>
      <c r="D3" s="1263" t="s">
        <v>856</v>
      </c>
      <c r="E3" s="1267" t="s">
        <v>2508</v>
      </c>
      <c r="F3" s="1268" t="s">
        <v>3334</v>
      </c>
      <c r="G3" s="992">
        <f>IF(F3="宗地容积率",'数据-汇总表'!I4,IF(F3="估价对象容积率",'数据-汇总表'!I6,'数据-汇总表'!I7))</f>
        <v>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6755</v>
      </c>
      <c r="U3" s="2406"/>
      <c r="V3" s="2416">
        <f t="shared" ref="V3:V16" si="1">ROUND(T3*U3/10000,0)</f>
        <v>0</v>
      </c>
      <c r="W3" s="1911"/>
      <c r="X3" s="1911"/>
      <c r="Y3" s="1911"/>
      <c r="Z3" s="1911"/>
      <c r="AA3" s="1911"/>
      <c r="AB3" s="1911"/>
      <c r="AC3" s="1912"/>
    </row>
    <row r="4" spans="1:39" ht="31.2">
      <c r="A4" s="1647" t="s">
        <v>1638</v>
      </c>
      <c r="B4" s="2106">
        <f>ROUND(B2*10000/F1,0)</f>
        <v>6402</v>
      </c>
      <c r="C4" s="1650" t="s">
        <v>1613</v>
      </c>
      <c r="D4" s="1650">
        <f>ROUND(B2/(F1/666.67),0)</f>
        <v>427</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5709</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3453</v>
      </c>
      <c r="D5" s="2548">
        <f>ROUND(C6*C17+C20,0)</f>
        <v>3453</v>
      </c>
      <c r="E5" s="2548"/>
      <c r="F5" s="1271"/>
      <c r="G5" s="1272"/>
      <c r="H5" s="1272"/>
      <c r="I5" s="1272"/>
      <c r="J5" s="1273"/>
      <c r="K5" s="2977"/>
      <c r="L5" s="1641" t="s">
        <v>1601</v>
      </c>
      <c r="M5" s="1642">
        <f>SUMPRODUCT((区片价!B87:B126=I2)*(区片价!C3:G3=E2)*(区片价!C87:G126))</f>
        <v>3530</v>
      </c>
      <c r="N5" s="1643">
        <f>SUMPRODUCT((因素修正幅度!B87:B126=I2)*(因素修正幅度!C3:G3=E2)*(因素修正幅度!C87:G126))</f>
        <v>0.1</v>
      </c>
      <c r="O5" s="2977"/>
      <c r="P5" s="2980"/>
      <c r="Q5" s="1911"/>
      <c r="R5" s="2416">
        <v>4</v>
      </c>
      <c r="S5" s="2416">
        <f>ROUND(SUMPRODUCT((B107:B111=R5)*(C106:N106=G2)*(C107:N111)),4)</f>
        <v>0.88239999999999996</v>
      </c>
      <c r="T5" s="2416">
        <f t="shared" si="0"/>
        <v>5035</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3530</v>
      </c>
      <c r="D6" s="3522" t="s">
        <v>1228</v>
      </c>
      <c r="E6" s="1277"/>
      <c r="F6" s="1277"/>
      <c r="G6" s="3523"/>
      <c r="H6" s="3523"/>
      <c r="I6" s="3523"/>
      <c r="J6" s="3524"/>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4839</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3190</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五级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50" t="s">
        <v>2060</v>
      </c>
      <c r="X8" s="3951"/>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49"/>
      <c r="X9" s="2411" t="s">
        <v>3213</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49"/>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3191</v>
      </c>
      <c r="B12" s="3506" t="s">
        <v>3192</v>
      </c>
      <c r="C12" s="3512">
        <v>1.02</v>
      </c>
      <c r="D12" s="3507" t="s">
        <v>3193</v>
      </c>
      <c r="E12" s="3508" t="s">
        <v>3194</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3195</v>
      </c>
      <c r="B13" s="1283" t="s">
        <v>874</v>
      </c>
      <c r="C13" s="3526">
        <f>ROUND(C16*D16*E16*F16*G16*H16*I16*J16,4)</f>
        <v>0</v>
      </c>
      <c r="D13" s="3544" t="s">
        <v>3196</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3197</v>
      </c>
      <c r="F14" s="3548" t="s">
        <v>1178</v>
      </c>
      <c r="G14" s="3548" t="s">
        <v>1178</v>
      </c>
      <c r="H14" s="3549" t="s">
        <v>1178</v>
      </c>
      <c r="I14" s="3550" t="s">
        <v>1178</v>
      </c>
      <c r="J14" s="3550"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3198</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3199</v>
      </c>
      <c r="B17" s="3556" t="s">
        <v>3200</v>
      </c>
      <c r="C17" s="3564">
        <f>ROUND(IF(OR(E2="工业",E2="公共服务"),1,IF(AND(E18=0,E19=0),1,IF(AND(E18=J24,E19=G19),0.8,IF(E19=0,1+E17*(-0.2),1+E17*G17*(-0.2))))),4)</f>
        <v>1</v>
      </c>
      <c r="D17" s="3557" t="s">
        <v>3201</v>
      </c>
      <c r="E17" s="3564">
        <f>ROUND(G18/I18,2)</f>
        <v>0</v>
      </c>
      <c r="F17" s="3557" t="s">
        <v>3204</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3202</v>
      </c>
      <c r="E18" s="3563"/>
      <c r="F18" s="3560" t="s">
        <v>3205</v>
      </c>
      <c r="G18" s="3562">
        <f>ROUND(1-(1/(POWER(1+G24,E18))),4)</f>
        <v>0</v>
      </c>
      <c r="H18" s="3560" t="s">
        <v>3207</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3203</v>
      </c>
      <c r="E19" s="3565"/>
      <c r="F19" s="3561" t="s">
        <v>3206</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43" t="s">
        <v>1370</v>
      </c>
      <c r="B20" s="1278" t="s">
        <v>875</v>
      </c>
      <c r="C20" s="998">
        <f>ROUND(IF(F21="与级别开发程度一致",0,(G21-E21)/C21),0)</f>
        <v>-77</v>
      </c>
      <c r="D20" s="3955" t="s">
        <v>879</v>
      </c>
      <c r="E20" s="3956"/>
      <c r="F20" s="3955" t="s">
        <v>876</v>
      </c>
      <c r="G20" s="3956"/>
      <c r="H20" s="1291" t="s">
        <v>2768</v>
      </c>
      <c r="I20" s="1291" t="s">
        <v>2765</v>
      </c>
      <c r="J20" s="1291" t="s">
        <v>2764</v>
      </c>
      <c r="K20" s="1291" t="s">
        <v>2766</v>
      </c>
      <c r="L20" s="1291" t="s">
        <v>2771</v>
      </c>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44"/>
      <c r="B21" s="2607" t="s">
        <v>878</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3335</v>
      </c>
      <c r="G21" s="2599">
        <f>SUM(H21:O21)</f>
        <v>200</v>
      </c>
      <c r="H21" s="997">
        <f>SUMPRODUCT((七通一平=H20)*(修正!B1:M1=G2)*(修正!B8:M16))</f>
        <v>40</v>
      </c>
      <c r="I21" s="997">
        <f>SUMPRODUCT((七通一平=I20)*(修正!B1:M1=G2)*(修正!B8:M16))</f>
        <v>60</v>
      </c>
      <c r="J21" s="997">
        <f>SUMPRODUCT((七通一平=J20)*(修正!B1:M1=G2)*(修正!B8:M16))</f>
        <v>70</v>
      </c>
      <c r="K21" s="997">
        <f>SUMPRODUCT((七通一平=K20)*(修正!B1:M1=G2)*(修正!B8:M16))</f>
        <v>15</v>
      </c>
      <c r="L21" s="997">
        <f>SUMPRODUCT((七通一平=L20)*(修正!B1:M1=G2)*(修正!B8:M16))</f>
        <v>15</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SUMIF(修正!C20:C53,E3,修正!E20:E53)</f>
        <v>1.5</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1.0891</v>
      </c>
      <c r="D23" s="1297" t="s">
        <v>882</v>
      </c>
      <c r="E23" s="1000">
        <v>44197</v>
      </c>
      <c r="F23" s="1297" t="s">
        <v>883</v>
      </c>
      <c r="G23" s="1001">
        <f>'数据-取费表'!B2</f>
        <v>45839</v>
      </c>
      <c r="H23" s="1298" t="s">
        <v>2247</v>
      </c>
      <c r="I23" s="2266" t="str">
        <f>IF(H23="季度增幅（自定义）",SUMIF(N25:N28,E2,O25:O28),"")</f>
        <v/>
      </c>
      <c r="J23" s="3566" t="s">
        <v>3256</v>
      </c>
      <c r="K23" s="2977"/>
      <c r="L23" s="2511" t="s">
        <v>2116</v>
      </c>
      <c r="M23" s="2512">
        <f>ROUND(SUMIF(地价!B2:F2,E2,地价!B41:F41),0)</f>
        <v>230</v>
      </c>
      <c r="N23" s="2268" t="s">
        <v>1211</v>
      </c>
      <c r="O23" s="2267">
        <f>ROUNDDOWN(DATEDIF(E23,G23,"M")/3,0)</f>
        <v>18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存贷款利率!E28/100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1.1220000000000001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3208</v>
      </c>
      <c r="D26" s="1002">
        <f>IF(E26=G26,F26,IF(G3&lt;10,ROUND(F26+(H26-F26)*(G3-E26)/(G26-E26),4),"——"))</f>
        <v>1.1220000000000001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567" t="s">
        <v>3209</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1.0115000000000001</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8885</v>
      </c>
      <c r="D30" s="1312"/>
      <c r="E30" s="1290"/>
      <c r="F30" s="1313"/>
      <c r="G30" s="1290"/>
      <c r="H30" s="1290"/>
      <c r="I30" s="1290"/>
      <c r="J30" s="1314"/>
      <c r="K30" s="2978"/>
      <c r="L30" s="1407" t="s">
        <v>833</v>
      </c>
      <c r="M30" s="1279" t="s">
        <v>907</v>
      </c>
      <c r="N30" s="1279" t="s">
        <v>908</v>
      </c>
      <c r="O30" s="1279" t="s">
        <v>835</v>
      </c>
      <c r="P30" s="1299" t="s">
        <v>909</v>
      </c>
      <c r="Q30" s="1299" t="s">
        <v>3235</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6402</v>
      </c>
      <c r="D33" s="1326">
        <f>'数据-基础表'!A3</f>
        <v>13878.77</v>
      </c>
      <c r="E33" s="1635">
        <f>ROUND(C33*D33/10000,0)</f>
        <v>8885</v>
      </c>
      <c r="F33" s="3568" t="s">
        <v>3210</v>
      </c>
      <c r="G33" s="1327"/>
      <c r="H33" s="1327"/>
      <c r="I33" s="1327"/>
      <c r="J33" s="1328"/>
      <c r="K33" s="2985"/>
      <c r="L33" s="3638" t="s">
        <v>3236</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960</v>
      </c>
      <c r="D34" s="1331"/>
      <c r="E34" s="1635">
        <f>ROUND(IF(B25="楼层修正",SUM(V2:V16)*#REF!,C34*D34/10000),0)</f>
        <v>0</v>
      </c>
      <c r="F34" s="3569" t="s">
        <v>3211</v>
      </c>
      <c r="G34" s="1332"/>
      <c r="H34" s="1332"/>
      <c r="I34" s="1332"/>
      <c r="J34" s="1333"/>
      <c r="K34" s="2978"/>
      <c r="L34" s="3638" t="s">
        <v>3237</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3238</v>
      </c>
      <c r="L36" s="3642">
        <f ca="1">'数据-取费表'!B40</f>
        <v>3.0599999999999999E-2</v>
      </c>
      <c r="M36" s="3643">
        <f ca="1">ROUND($L$36*(1+M31),3)</f>
        <v>3.7999999999999999E-2</v>
      </c>
      <c r="N36" s="3643">
        <f ca="1">ROUND($L$36*(1+N31),3)</f>
        <v>3.6999999999999998E-2</v>
      </c>
      <c r="O36" s="3643">
        <f ca="1">ROUND($L$36*(1+O31),3)</f>
        <v>3.5000000000000003E-2</v>
      </c>
      <c r="P36" s="3643">
        <f ca="1">ROUND($L$36*(1+P31),3)</f>
        <v>3.4000000000000002E-2</v>
      </c>
      <c r="Q36" s="3643">
        <f ca="1">ROUND($L$36*(1+Q31),3)</f>
        <v>3.5000000000000003E-2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47"/>
      <c r="B37" s="1344" t="s">
        <v>923</v>
      </c>
      <c r="C37" s="1005">
        <f>ROUND(D5*C22*C23*C24*C28*F37,0)</f>
        <v>3424</v>
      </c>
      <c r="D37" s="1356"/>
      <c r="E37" s="996">
        <f>ROUND(C37*D37/10000,0)</f>
        <v>0</v>
      </c>
      <c r="F37" s="996">
        <f>SUMIF(修正!A59:A70,G2,修正!B59:B70)</f>
        <v>0.6</v>
      </c>
      <c r="G37" s="996">
        <f>ROUND(IF(E2="工业",C37*$M$42,C37*$M$41),0)</f>
        <v>514</v>
      </c>
      <c r="H37" s="996">
        <f>D37</f>
        <v>0</v>
      </c>
      <c r="I37" s="996">
        <f>ROUND(G37*H37/10000,0)</f>
        <v>0</v>
      </c>
      <c r="J37" s="3947"/>
      <c r="K37" s="3641" t="s">
        <v>3239</v>
      </c>
      <c r="L37" s="3642">
        <f ca="1">L36+K38</f>
        <v>3.56E-2</v>
      </c>
      <c r="M37" s="3643">
        <f ca="1">ROUND($L$37*(1+M31),3)</f>
        <v>4.4999999999999998E-2</v>
      </c>
      <c r="N37" s="3643">
        <f t="shared" ref="N37:Q37" ca="1" si="3">ROUND($L$37*(1+N31),3)</f>
        <v>4.2999999999999997E-2</v>
      </c>
      <c r="O37" s="3643">
        <f t="shared" ca="1" si="3"/>
        <v>4.1000000000000002E-2</v>
      </c>
      <c r="P37" s="3643">
        <f t="shared" ca="1" si="3"/>
        <v>3.9E-2</v>
      </c>
      <c r="Q37" s="3643">
        <f t="shared" ca="1" si="3"/>
        <v>4.1000000000000002E-2</v>
      </c>
      <c r="R37" s="1912"/>
      <c r="S37" s="1912"/>
      <c r="T37" s="1912"/>
      <c r="U37" s="1912"/>
      <c r="V37" s="1912"/>
      <c r="W37" s="1911"/>
      <c r="X37" s="1911"/>
      <c r="Y37" s="1911"/>
      <c r="Z37" s="1911"/>
      <c r="AA37" s="1911"/>
      <c r="AB37" s="1911"/>
      <c r="AC37" s="1912"/>
    </row>
    <row r="38" spans="1:44" ht="13.2">
      <c r="A38" s="3948"/>
      <c r="B38" s="1288" t="s">
        <v>924</v>
      </c>
      <c r="C38" s="1005">
        <f>ROUND(D5*C22*C23*C24*C28*F38,0)</f>
        <v>1712</v>
      </c>
      <c r="D38" s="1356"/>
      <c r="E38" s="996">
        <f t="shared" ref="E38:E42" si="4">ROUND(C38*D38/10000,0)</f>
        <v>0</v>
      </c>
      <c r="F38" s="996">
        <f>SUMIF(修正!A59:A70,G2,修正!C59:C70)</f>
        <v>0.3</v>
      </c>
      <c r="G38" s="996">
        <f>ROUND(IF(E2="工业",C38*$M$42,C38*$M$41),0)</f>
        <v>257</v>
      </c>
      <c r="H38" s="996">
        <f t="shared" ref="H38:H42" si="5">D38</f>
        <v>0</v>
      </c>
      <c r="I38" s="996">
        <f t="shared" ref="I38:I42" si="6">ROUND(G38*H38/10000,0)</f>
        <v>0</v>
      </c>
      <c r="J38" s="3948"/>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948"/>
      <c r="B39" s="3570" t="s">
        <v>3212</v>
      </c>
      <c r="C39" s="1005">
        <f>ROUND(D5*C22*C23*C24*C28*F39,0)</f>
        <v>1426</v>
      </c>
      <c r="D39" s="1356"/>
      <c r="E39" s="996">
        <f t="shared" si="4"/>
        <v>0</v>
      </c>
      <c r="F39" s="996">
        <f>SUMIF(修正!A59:A70,G2,修正!D59:D70)</f>
        <v>0.25</v>
      </c>
      <c r="G39" s="996">
        <f>ROUND(IF(E2="工业",C39*$M$42,C39*$M$41),0)</f>
        <v>214</v>
      </c>
      <c r="H39" s="996">
        <f t="shared" si="5"/>
        <v>0</v>
      </c>
      <c r="I39" s="996">
        <f t="shared" si="6"/>
        <v>0</v>
      </c>
      <c r="J39" s="3948"/>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1426</v>
      </c>
      <c r="D40" s="1356"/>
      <c r="E40" s="996">
        <f t="shared" si="4"/>
        <v>0</v>
      </c>
      <c r="F40" s="1005">
        <f>SUMIF(修正!A59:A70,G2,修正!E59:E70)</f>
        <v>0.25</v>
      </c>
      <c r="G40" s="996">
        <f>ROUND(IF(E2="工业",C40*$M$42,C40*$M$41),0)</f>
        <v>214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SUMIF(修正!A59:A70,G2,修正!F59:F70)</f>
        <v>0.25</v>
      </c>
      <c r="G41" s="996">
        <f>ROUND(IF(E2="工业",C41*$M$42,C41*$M$41),0)</f>
        <v>0</v>
      </c>
      <c r="H41" s="996">
        <f t="shared" si="5"/>
        <v>0</v>
      </c>
      <c r="I41" s="996">
        <f t="shared" si="6"/>
        <v>0</v>
      </c>
      <c r="J41" s="1345"/>
      <c r="K41" s="1911"/>
      <c r="L41" s="3644" t="s">
        <v>3240</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SUMIF(修正!A59:A70,G2,修正!G59:G70)</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hidden="1">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hidden="1">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hidden="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hidden="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hidden="1">
      <c r="A52" s="3571" t="s">
        <v>3214</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hidden="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hidden="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hidden="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hidden="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hidden="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hidden="1">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hidden="1">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hidden="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hidden="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hidden="1">
      <c r="A63" s="3571" t="s">
        <v>3214</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hidden="1">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hidden="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hidden="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hidden="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hidden="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hidden="1">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hidden="1">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hidden="1">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48" hidden="1">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48" hidden="1">
      <c r="A74" s="3571" t="s">
        <v>3214</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3.8" hidden="1">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hidden="1">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hidden="1">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36" hidden="1">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36" hidden="1">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36.6" hidden="1"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4.4">
      <c r="A81" s="3584" t="s">
        <v>958</v>
      </c>
      <c r="B81" s="3648">
        <f>1+E83</f>
        <v>1.0115000000000001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t="s">
        <v>3336</v>
      </c>
      <c r="D83" s="3598">
        <f t="shared" ref="D83:D90" si="22">SUMIF($J$82:$N$82,C83,J83:N83)</f>
        <v>0</v>
      </c>
      <c r="E83" s="3599">
        <f>ROUND(SUM(D83:D90),4)</f>
        <v>1.15E-2</v>
      </c>
      <c r="F83" s="3600">
        <f>IF(E2="工业",SUMIF(L1:L12,G2,N1:N12),"——")</f>
        <v>0.1</v>
      </c>
      <c r="G83" s="3601">
        <v>1.2999999999999999E-2</v>
      </c>
      <c r="H83" s="3602">
        <f t="shared" ref="H83:H90" si="23">IFERROR(ROUNDDOWN($F$83*I83/2,4),"——")</f>
        <v>1.2999999999999999E-2</v>
      </c>
      <c r="I83" s="3576">
        <v>0.26</v>
      </c>
      <c r="J83" s="3603">
        <f t="shared" ref="J83:J90" si="24">K83+$G83</f>
        <v>2.5999999999999999E-2</v>
      </c>
      <c r="K83" s="3603">
        <f t="shared" ref="K83:K90" si="25">$L83+$G83</f>
        <v>1.2999999999999999E-2</v>
      </c>
      <c r="L83" s="3603">
        <v>0</v>
      </c>
      <c r="M83" s="3603">
        <f t="shared" ref="M83:N90" si="26">L83-$G83</f>
        <v>-1.2999999999999999E-2</v>
      </c>
      <c r="N83" s="3603">
        <f t="shared" si="26"/>
        <v>-2.5999999999999999E-2</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t="s">
        <v>3345</v>
      </c>
      <c r="D84" s="3598">
        <f t="shared" si="22"/>
        <v>1.4999999999999999E-2</v>
      </c>
      <c r="E84" s="3604"/>
      <c r="F84" s="3600"/>
      <c r="G84" s="3601">
        <v>1.4999999999999999E-2</v>
      </c>
      <c r="H84" s="3602">
        <f t="shared" si="23"/>
        <v>1.4999999999999999E-2</v>
      </c>
      <c r="I84" s="3576">
        <v>0.3</v>
      </c>
      <c r="J84" s="3603">
        <f t="shared" si="24"/>
        <v>0.03</v>
      </c>
      <c r="K84" s="3603">
        <f t="shared" si="25"/>
        <v>1.4999999999999999E-2</v>
      </c>
      <c r="L84" s="3603">
        <v>0</v>
      </c>
      <c r="M84" s="3603">
        <f t="shared" si="26"/>
        <v>-1.4999999999999999E-2</v>
      </c>
      <c r="N84" s="3603">
        <f t="shared" si="26"/>
        <v>-0.03</v>
      </c>
      <c r="AE84" s="3583"/>
      <c r="AF84" s="3583"/>
      <c r="AG84" s="3583"/>
      <c r="AH84" s="3583"/>
      <c r="AI84" s="3583"/>
      <c r="AJ84" s="3583"/>
    </row>
    <row r="85" spans="1:36" s="1348" customFormat="1" ht="24">
      <c r="A85" s="3589" t="s">
        <v>944</v>
      </c>
      <c r="B85" s="3590">
        <f>估价对象房地状况!G17</f>
        <v>0</v>
      </c>
      <c r="C85" s="3597" t="s">
        <v>3336</v>
      </c>
      <c r="D85" s="3598">
        <f t="shared" si="22"/>
        <v>0</v>
      </c>
      <c r="E85" s="3604"/>
      <c r="F85" s="3600"/>
      <c r="G85" s="3601">
        <v>5.0000000000000001E-3</v>
      </c>
      <c r="H85" s="3602">
        <f t="shared" si="23"/>
        <v>5.0000000000000001E-3</v>
      </c>
      <c r="I85" s="3576">
        <v>0.1</v>
      </c>
      <c r="J85" s="3603">
        <f t="shared" si="24"/>
        <v>0.01</v>
      </c>
      <c r="K85" s="3603">
        <f t="shared" si="25"/>
        <v>5.0000000000000001E-3</v>
      </c>
      <c r="L85" s="3603">
        <v>0</v>
      </c>
      <c r="M85" s="3603">
        <f t="shared" si="26"/>
        <v>-5.0000000000000001E-3</v>
      </c>
      <c r="N85" s="3603">
        <f t="shared" si="26"/>
        <v>-0.01</v>
      </c>
      <c r="AE85" s="3583"/>
      <c r="AF85" s="3583"/>
      <c r="AG85" s="3583"/>
      <c r="AH85" s="3583"/>
      <c r="AI85" s="3583"/>
      <c r="AJ85" s="3583"/>
    </row>
    <row r="86" spans="1:36" s="1348" customFormat="1" ht="13.8">
      <c r="A86" s="3589" t="s">
        <v>956</v>
      </c>
      <c r="B86" s="3590">
        <f>估价对象房地状况!G22</f>
        <v>0</v>
      </c>
      <c r="C86" s="3597" t="s">
        <v>3336</v>
      </c>
      <c r="D86" s="3598">
        <f t="shared" si="22"/>
        <v>0</v>
      </c>
      <c r="E86" s="3604"/>
      <c r="F86" s="3600"/>
      <c r="G86" s="3601">
        <v>2.5000000000000001E-3</v>
      </c>
      <c r="H86" s="3602">
        <f t="shared" si="23"/>
        <v>2.5000000000000001E-3</v>
      </c>
      <c r="I86" s="3576">
        <v>0.05</v>
      </c>
      <c r="J86" s="3603">
        <f t="shared" si="24"/>
        <v>5.0000000000000001E-3</v>
      </c>
      <c r="K86" s="3603">
        <f t="shared" si="25"/>
        <v>2.5000000000000001E-3</v>
      </c>
      <c r="L86" s="3603">
        <v>0</v>
      </c>
      <c r="M86" s="3603">
        <f t="shared" si="26"/>
        <v>-2.5000000000000001E-3</v>
      </c>
      <c r="N86" s="3603">
        <f t="shared" si="26"/>
        <v>-5.0000000000000001E-3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3336</v>
      </c>
      <c r="D87" s="3598">
        <f t="shared" si="22"/>
        <v>0</v>
      </c>
      <c r="E87" s="3604"/>
      <c r="F87" s="3600"/>
      <c r="G87" s="3601">
        <v>3.0000000000000001E-3</v>
      </c>
      <c r="H87" s="3602">
        <f t="shared" si="23"/>
        <v>3.0000000000000001E-3</v>
      </c>
      <c r="I87" s="3576">
        <v>0.06</v>
      </c>
      <c r="J87" s="3603">
        <f t="shared" si="24"/>
        <v>6.0000000000000001E-3</v>
      </c>
      <c r="K87" s="3603">
        <f t="shared" si="25"/>
        <v>3.0000000000000001E-3</v>
      </c>
      <c r="L87" s="3603">
        <v>0</v>
      </c>
      <c r="M87" s="3603">
        <f t="shared" si="26"/>
        <v>-3.0000000000000001E-3</v>
      </c>
      <c r="N87" s="3603">
        <f t="shared" si="26"/>
        <v>-6.0000000000000001E-3</v>
      </c>
      <c r="AE87" s="3583"/>
      <c r="AF87" s="3583"/>
      <c r="AG87" s="3583"/>
      <c r="AH87" s="3583"/>
      <c r="AI87" s="3583"/>
      <c r="AJ87" s="3583"/>
    </row>
    <row r="88" spans="1:36" s="1348" customFormat="1" ht="24">
      <c r="A88" s="3589" t="s">
        <v>949</v>
      </c>
      <c r="B88" s="3608" t="str">
        <f>估价对象房地状况!G20</f>
        <v>估价对象所在区域基础设施水平</v>
      </c>
      <c r="C88" s="3597" t="s">
        <v>3337</v>
      </c>
      <c r="D88" s="3598">
        <f t="shared" si="22"/>
        <v>-6.0000000000000001E-3</v>
      </c>
      <c r="E88" s="3604"/>
      <c r="F88" s="3600"/>
      <c r="G88" s="3601">
        <v>6.0000000000000001E-3</v>
      </c>
      <c r="H88" s="3602">
        <f t="shared" si="23"/>
        <v>6.0000000000000001E-3</v>
      </c>
      <c r="I88" s="3576">
        <v>0.12</v>
      </c>
      <c r="J88" s="3603">
        <f t="shared" si="24"/>
        <v>1.2E-2</v>
      </c>
      <c r="K88" s="3603">
        <f t="shared" si="25"/>
        <v>6.0000000000000001E-3</v>
      </c>
      <c r="L88" s="3603">
        <v>0</v>
      </c>
      <c r="M88" s="3603">
        <f t="shared" si="26"/>
        <v>-6.0000000000000001E-3</v>
      </c>
      <c r="N88" s="3603">
        <f t="shared" si="26"/>
        <v>-1.2E-2</v>
      </c>
      <c r="AE88" s="3583"/>
      <c r="AF88" s="3583"/>
      <c r="AG88" s="3583"/>
      <c r="AH88" s="3583"/>
      <c r="AI88" s="3583"/>
      <c r="AJ88" s="3583"/>
    </row>
    <row r="89" spans="1:36" s="1348" customFormat="1" ht="36">
      <c r="A89" s="3589" t="s">
        <v>947</v>
      </c>
      <c r="B89" s="3606" t="s">
        <v>2199</v>
      </c>
      <c r="C89" s="3597" t="s">
        <v>3336</v>
      </c>
      <c r="D89" s="3598">
        <f t="shared" si="22"/>
        <v>0</v>
      </c>
      <c r="E89" s="3604"/>
      <c r="F89" s="3600"/>
      <c r="G89" s="3601">
        <v>3.0000000000000001E-3</v>
      </c>
      <c r="H89" s="3602">
        <f t="shared" si="23"/>
        <v>3.0000000000000001E-3</v>
      </c>
      <c r="I89" s="3576">
        <v>0.06</v>
      </c>
      <c r="J89" s="3603">
        <f t="shared" si="24"/>
        <v>6.0000000000000001E-3</v>
      </c>
      <c r="K89" s="3603">
        <f t="shared" si="25"/>
        <v>3.0000000000000001E-3</v>
      </c>
      <c r="L89" s="3603">
        <v>0</v>
      </c>
      <c r="M89" s="3603">
        <f t="shared" si="26"/>
        <v>-3.0000000000000001E-3</v>
      </c>
      <c r="N89" s="3603">
        <f t="shared" si="26"/>
        <v>-6.0000000000000001E-3</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t="s">
        <v>3345</v>
      </c>
      <c r="D90" s="3598">
        <f t="shared" si="22"/>
        <v>2.5000000000000001E-3</v>
      </c>
      <c r="E90" s="3611"/>
      <c r="F90" s="3600"/>
      <c r="G90" s="3601">
        <v>2.5000000000000001E-3</v>
      </c>
      <c r="H90" s="3602">
        <f t="shared" si="23"/>
        <v>2.5000000000000001E-3</v>
      </c>
      <c r="I90" s="3578">
        <v>0.05</v>
      </c>
      <c r="J90" s="3603">
        <f t="shared" si="24"/>
        <v>5.0000000000000001E-3</v>
      </c>
      <c r="K90" s="3603">
        <f t="shared" si="25"/>
        <v>2.5000000000000001E-3</v>
      </c>
      <c r="L90" s="3603">
        <v>0</v>
      </c>
      <c r="M90" s="3603">
        <f t="shared" si="26"/>
        <v>-2.5000000000000001E-3</v>
      </c>
      <c r="N90" s="3603">
        <f t="shared" si="26"/>
        <v>-5.0000000000000001E-3</v>
      </c>
      <c r="AE90" s="3583"/>
      <c r="AF90" s="3583"/>
      <c r="AG90" s="3583"/>
      <c r="AH90" s="3583"/>
      <c r="AI90" s="3583"/>
      <c r="AJ90" s="3583"/>
    </row>
    <row r="91" spans="1:36" s="1348" customFormat="1" ht="14.4" hidden="1">
      <c r="A91" s="3572" t="s">
        <v>3223</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hidden="1">
      <c r="A92" s="3573" t="s">
        <v>3224</v>
      </c>
      <c r="B92" s="3573"/>
      <c r="C92" s="3573" t="s">
        <v>3229</v>
      </c>
      <c r="D92" s="3573" t="s">
        <v>3216</v>
      </c>
      <c r="E92" s="3630" t="s">
        <v>3217</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hidden="1">
      <c r="A93" s="3628" t="s">
        <v>3225</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48" hidden="1">
      <c r="A94" s="3573" t="s">
        <v>3226</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48" hidden="1">
      <c r="A95" s="3628" t="s">
        <v>3214</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7.200000000000003" hidden="1">
      <c r="A96" s="3573" t="s">
        <v>3218</v>
      </c>
      <c r="B96" s="3577" t="s">
        <v>3219</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hidden="1">
      <c r="A97" s="3573" t="s">
        <v>3220</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36" hidden="1">
      <c r="A98" s="3573" t="s">
        <v>3227</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hidden="1">
      <c r="A99" s="3573" t="s">
        <v>3228</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hidden="1">
      <c r="A100" s="3573" t="s">
        <v>3221</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36.6" hidden="1" thickBot="1">
      <c r="A101" s="3573" t="s">
        <v>3222</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45" t="s">
        <v>1172</v>
      </c>
      <c r="B104" s="3945"/>
      <c r="C104" s="3945"/>
      <c r="D104" s="3945"/>
      <c r="E104" s="3945"/>
      <c r="F104" s="3945"/>
      <c r="G104" s="3945"/>
      <c r="H104" s="3945"/>
      <c r="I104" s="3945"/>
      <c r="J104" s="3945"/>
      <c r="K104" s="2103"/>
      <c r="L104" s="2103"/>
      <c r="M104" s="2103"/>
      <c r="N104" s="2103"/>
    </row>
    <row r="105" spans="1:36">
      <c r="A105" s="3946" t="s">
        <v>1161</v>
      </c>
      <c r="B105" s="3946" t="s">
        <v>1173</v>
      </c>
      <c r="C105" s="1041" t="s">
        <v>1174</v>
      </c>
      <c r="D105" s="1042"/>
      <c r="E105" s="1042"/>
      <c r="F105" s="1042"/>
      <c r="G105" s="1042"/>
      <c r="H105" s="1042"/>
      <c r="I105" s="1042"/>
      <c r="J105" s="1043"/>
      <c r="K105" s="1035"/>
      <c r="L105" s="1035"/>
      <c r="M105" s="1035"/>
      <c r="N105" s="1035"/>
    </row>
    <row r="106" spans="1:36">
      <c r="A106" s="3946"/>
      <c r="B106" s="3946"/>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2"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3"/>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3"/>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3"/>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3"/>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3"/>
      <c r="B112" s="1044" t="s">
        <v>3230</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4"/>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42" t="s">
        <v>1175</v>
      </c>
      <c r="B114" s="3942"/>
      <c r="C114" s="3942"/>
      <c r="D114" s="3942"/>
      <c r="E114" s="3942"/>
      <c r="F114" s="3942"/>
      <c r="G114" s="3942"/>
      <c r="H114" s="3942"/>
      <c r="I114" s="3942"/>
      <c r="J114" s="3942"/>
      <c r="K114" s="2101"/>
      <c r="L114" s="2101"/>
      <c r="M114" s="2101"/>
      <c r="N114" s="2101"/>
    </row>
    <row r="116" spans="1:14" ht="12.6" thickBot="1"/>
    <row r="117" spans="1:14" ht="25.8" thickBot="1">
      <c r="A117" s="976" t="s">
        <v>831</v>
      </c>
      <c r="B117" s="2104">
        <f>G3</f>
        <v>1</v>
      </c>
      <c r="C117" s="977" t="s">
        <v>832</v>
      </c>
      <c r="D117" s="978" t="e">
        <f>SUMPRODUCT((A118:A122=F116)*(B117:M117=H116)*B118:M122)</f>
        <v>#VALUE!</v>
      </c>
      <c r="E117" s="979" t="s">
        <v>833</v>
      </c>
      <c r="F117" s="980" t="str">
        <f>E2</f>
        <v>工业</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3231</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5">I119</f>
        <v>0.8306</v>
      </c>
      <c r="K119" s="3574">
        <f t="shared" si="35"/>
        <v>0.8306</v>
      </c>
      <c r="L119" s="3574">
        <f t="shared" si="35"/>
        <v>0.8306</v>
      </c>
      <c r="M119" s="3635">
        <f t="shared" si="35"/>
        <v>0.8306</v>
      </c>
    </row>
    <row r="120" spans="1:14" ht="13.2">
      <c r="A120" s="3632" t="s">
        <v>3232</v>
      </c>
      <c r="B120" s="3574">
        <f>ROUND(0.993-0.0112*B117,4)</f>
        <v>0.98180000000000001</v>
      </c>
      <c r="C120" s="3574">
        <f>B120</f>
        <v>0.98180000000000001</v>
      </c>
      <c r="D120" s="3574">
        <f>ROUND(0.9415-0.0142*B117,4)</f>
        <v>0.92730000000000001</v>
      </c>
      <c r="E120" s="3574">
        <f t="shared" ref="E120:H121" si="36">D120</f>
        <v>0.92730000000000001</v>
      </c>
      <c r="F120" s="3574">
        <f t="shared" si="36"/>
        <v>0.92730000000000001</v>
      </c>
      <c r="G120" s="3574">
        <f t="shared" si="36"/>
        <v>0.92730000000000001</v>
      </c>
      <c r="H120" s="3574">
        <f t="shared" si="36"/>
        <v>0.92730000000000001</v>
      </c>
      <c r="I120" s="3574">
        <f>ROUND(0.838-0.0182*B117,4)</f>
        <v>0.81979999999999997</v>
      </c>
      <c r="J120" s="3574">
        <f t="shared" si="35"/>
        <v>0.81979999999999997</v>
      </c>
      <c r="K120" s="3574">
        <f t="shared" si="35"/>
        <v>0.81979999999999997</v>
      </c>
      <c r="L120" s="3574">
        <f t="shared" si="35"/>
        <v>0.81979999999999997</v>
      </c>
      <c r="M120" s="3635">
        <f t="shared" si="35"/>
        <v>0.81979999999999997</v>
      </c>
    </row>
    <row r="121" spans="1:14" ht="13.2">
      <c r="A121" s="3632" t="s">
        <v>3233</v>
      </c>
      <c r="B121" s="3574">
        <f>ROUND(0.9448-0.0115*B117,4)</f>
        <v>0.93330000000000002</v>
      </c>
      <c r="C121" s="3574">
        <f>B121</f>
        <v>0.93330000000000002</v>
      </c>
      <c r="D121" s="3574">
        <f>ROUND(0.937-0.0145*B117,4)</f>
        <v>0.92249999999999999</v>
      </c>
      <c r="E121" s="3574">
        <f t="shared" si="36"/>
        <v>0.92249999999999999</v>
      </c>
      <c r="F121" s="3574">
        <f t="shared" si="36"/>
        <v>0.92249999999999999</v>
      </c>
      <c r="G121" s="3574">
        <f t="shared" si="36"/>
        <v>0.92249999999999999</v>
      </c>
      <c r="H121" s="3574">
        <f t="shared" si="36"/>
        <v>0.92249999999999999</v>
      </c>
      <c r="I121" s="3574">
        <f>ROUND(0.7965-0.0185*B117,4)</f>
        <v>0.77800000000000002</v>
      </c>
      <c r="J121" s="3574">
        <f t="shared" si="35"/>
        <v>0.77800000000000002</v>
      </c>
      <c r="K121" s="3574">
        <f t="shared" si="35"/>
        <v>0.77800000000000002</v>
      </c>
      <c r="L121" s="3574">
        <f t="shared" si="35"/>
        <v>0.77800000000000002</v>
      </c>
      <c r="M121" s="3635">
        <f t="shared" si="35"/>
        <v>0.77800000000000002</v>
      </c>
    </row>
    <row r="122" spans="1:14" ht="13.8" thickBot="1">
      <c r="A122" s="3633" t="s">
        <v>3234</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5"/>
        <v>0.57150000000000001</v>
      </c>
      <c r="K122" s="3636">
        <f t="shared" si="35"/>
        <v>0.57150000000000001</v>
      </c>
      <c r="L122" s="3636">
        <f t="shared" si="35"/>
        <v>0.57150000000000001</v>
      </c>
      <c r="M122" s="3637">
        <f t="shared" si="35"/>
        <v>0.57150000000000001</v>
      </c>
    </row>
    <row r="123" spans="1:14" ht="13.2">
      <c r="A123" s="3634" t="s">
        <v>3215</v>
      </c>
      <c r="B123" s="3574">
        <f>ROUND(0.9404-0.0106*B117,4)</f>
        <v>0.92979999999999996</v>
      </c>
      <c r="C123" s="3574">
        <f>B123</f>
        <v>0.92979999999999996</v>
      </c>
      <c r="D123" s="3574">
        <f>ROUND(0.8955-0.0135*B117,4)</f>
        <v>0.88200000000000001</v>
      </c>
      <c r="E123" s="3574">
        <f t="shared" ref="E123:H123" si="37">D123</f>
        <v>0.88200000000000001</v>
      </c>
      <c r="F123" s="3574">
        <f t="shared" si="37"/>
        <v>0.88200000000000001</v>
      </c>
      <c r="G123" s="3574">
        <f t="shared" si="37"/>
        <v>0.88200000000000001</v>
      </c>
      <c r="H123" s="3574">
        <f t="shared" si="37"/>
        <v>0.88200000000000001</v>
      </c>
      <c r="I123" s="3574">
        <f>ROUND(0.7632-0.0166*B117,4)</f>
        <v>0.74660000000000004</v>
      </c>
      <c r="J123" s="3574">
        <f t="shared" si="35"/>
        <v>0.74660000000000004</v>
      </c>
      <c r="K123" s="3574">
        <f t="shared" si="35"/>
        <v>0.74660000000000004</v>
      </c>
      <c r="L123" s="3574">
        <f t="shared" si="35"/>
        <v>0.74660000000000004</v>
      </c>
      <c r="M123" s="3635">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8"/>
    <col min="2" max="9" width="13.88671875" style="1025"/>
    <col min="10" max="16384" width="13.88671875" style="1008"/>
  </cols>
  <sheetData>
    <row r="1" spans="1:13" ht="1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2763</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2764</v>
      </c>
      <c r="B8" s="3251">
        <v>80</v>
      </c>
      <c r="C8" s="3251">
        <v>80</v>
      </c>
      <c r="D8" s="3251">
        <v>70</v>
      </c>
      <c r="E8" s="3251">
        <v>70</v>
      </c>
      <c r="F8" s="3251">
        <v>70</v>
      </c>
      <c r="G8" s="3251">
        <v>70</v>
      </c>
      <c r="H8" s="3251">
        <v>70</v>
      </c>
      <c r="I8" s="3251">
        <v>60</v>
      </c>
      <c r="J8" s="3251">
        <v>60</v>
      </c>
      <c r="K8" s="3251">
        <v>60</v>
      </c>
      <c r="L8" s="3251">
        <v>60</v>
      </c>
      <c r="M8" s="3252">
        <v>60</v>
      </c>
    </row>
    <row r="9" spans="1:13">
      <c r="A9" s="1009" t="s">
        <v>2765</v>
      </c>
      <c r="B9" s="3253">
        <v>70</v>
      </c>
      <c r="C9" s="3253">
        <v>70</v>
      </c>
      <c r="D9" s="3253">
        <v>60</v>
      </c>
      <c r="E9" s="3253">
        <v>60</v>
      </c>
      <c r="F9" s="3253">
        <v>60</v>
      </c>
      <c r="G9" s="3253">
        <v>60</v>
      </c>
      <c r="H9" s="3253">
        <v>60</v>
      </c>
      <c r="I9" s="3253">
        <v>50</v>
      </c>
      <c r="J9" s="3253">
        <v>50</v>
      </c>
      <c r="K9" s="3253">
        <v>50</v>
      </c>
      <c r="L9" s="3253">
        <v>50</v>
      </c>
      <c r="M9" s="3254">
        <v>50</v>
      </c>
    </row>
    <row r="10" spans="1:13">
      <c r="A10" s="1009" t="s">
        <v>2766</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2767</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2768</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2769</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2770</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2771</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2772</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2455</v>
      </c>
      <c r="B19" s="3257" t="s">
        <v>2456</v>
      </c>
      <c r="C19" s="3257" t="s">
        <v>2457</v>
      </c>
      <c r="D19" s="3684"/>
      <c r="E19" s="3255" t="s">
        <v>2458</v>
      </c>
      <c r="F19" s="1033"/>
      <c r="G19" s="1033"/>
    </row>
    <row r="20" spans="1:13" s="1408" customFormat="1">
      <c r="A20" s="3961" t="s">
        <v>2449</v>
      </c>
      <c r="B20" s="3966" t="s">
        <v>2459</v>
      </c>
      <c r="C20" s="3688" t="s">
        <v>2460</v>
      </c>
      <c r="D20" s="3688"/>
      <c r="E20" s="3261">
        <v>1</v>
      </c>
      <c r="F20" s="3262" t="s">
        <v>2461</v>
      </c>
      <c r="G20" s="1035"/>
      <c r="H20" s="1025"/>
      <c r="I20" s="1025"/>
    </row>
    <row r="21" spans="1:13" s="1408" customFormat="1">
      <c r="A21" s="3962"/>
      <c r="B21" s="3957"/>
      <c r="C21" s="3681" t="s">
        <v>2462</v>
      </c>
      <c r="D21" s="3681"/>
      <c r="E21" s="3265">
        <v>1</v>
      </c>
      <c r="F21" s="3262" t="s">
        <v>2463</v>
      </c>
      <c r="G21" s="1035"/>
      <c r="H21" s="1025"/>
      <c r="I21" s="1025"/>
    </row>
    <row r="22" spans="1:13" s="1408" customFormat="1">
      <c r="A22" s="3962"/>
      <c r="B22" s="3957"/>
      <c r="C22" s="3681" t="s">
        <v>2464</v>
      </c>
      <c r="D22" s="3681"/>
      <c r="E22" s="3265">
        <v>0.9</v>
      </c>
      <c r="F22" s="3262" t="s">
        <v>2465</v>
      </c>
      <c r="G22" s="1035"/>
      <c r="H22" s="1025"/>
      <c r="I22" s="1025"/>
    </row>
    <row r="23" spans="1:13" s="1408" customFormat="1">
      <c r="A23" s="3962"/>
      <c r="B23" s="3957"/>
      <c r="C23" s="3681" t="s">
        <v>2466</v>
      </c>
      <c r="D23" s="3681"/>
      <c r="E23" s="3265">
        <v>0.9</v>
      </c>
      <c r="F23" s="3262" t="s">
        <v>2467</v>
      </c>
      <c r="G23" s="1035"/>
      <c r="H23" s="1025"/>
      <c r="I23" s="1025"/>
    </row>
    <row r="24" spans="1:13" s="1408" customFormat="1">
      <c r="A24" s="3962"/>
      <c r="B24" s="3957"/>
      <c r="C24" s="3681" t="s">
        <v>2468</v>
      </c>
      <c r="D24" s="3681"/>
      <c r="E24" s="3265">
        <v>0.8</v>
      </c>
      <c r="F24" s="3262" t="s">
        <v>2469</v>
      </c>
      <c r="G24" s="1035"/>
      <c r="H24" s="1025"/>
      <c r="I24" s="1025"/>
    </row>
    <row r="25" spans="1:13" s="1408" customFormat="1">
      <c r="A25" s="3962"/>
      <c r="B25" s="3957"/>
      <c r="C25" s="3681" t="s">
        <v>2470</v>
      </c>
      <c r="D25" s="3681"/>
      <c r="E25" s="3265">
        <v>0.8</v>
      </c>
      <c r="F25" s="3262"/>
      <c r="G25" s="1035"/>
      <c r="H25" s="1025"/>
      <c r="I25" s="1025"/>
    </row>
    <row r="26" spans="1:13" s="1408" customFormat="1">
      <c r="A26" s="3962"/>
      <c r="B26" s="3957"/>
      <c r="C26" s="3681" t="s">
        <v>3317</v>
      </c>
      <c r="D26" s="3681"/>
      <c r="E26" s="3265">
        <v>0.43</v>
      </c>
      <c r="F26" s="3262"/>
      <c r="G26" s="1035"/>
      <c r="H26" s="1025"/>
      <c r="I26" s="1025"/>
    </row>
    <row r="27" spans="1:13" s="1408" customFormat="1" ht="15" thickBot="1">
      <c r="A27" s="3963"/>
      <c r="B27" s="3967"/>
      <c r="C27" s="3689" t="s">
        <v>3319</v>
      </c>
      <c r="D27" s="3689"/>
      <c r="E27" s="3268">
        <f>E26*0.9</f>
        <v>0.38700000000000001</v>
      </c>
      <c r="F27" s="3262" t="s">
        <v>2471</v>
      </c>
      <c r="G27" s="1035"/>
      <c r="H27" s="1025"/>
      <c r="I27" s="1025"/>
    </row>
    <row r="28" spans="1:13" s="1408" customFormat="1" ht="15" thickBot="1">
      <c r="A28" s="3683" t="s">
        <v>2450</v>
      </c>
      <c r="B28" s="3682" t="s">
        <v>2459</v>
      </c>
      <c r="C28" s="3685" t="s">
        <v>2472</v>
      </c>
      <c r="D28" s="3686"/>
      <c r="E28" s="3687">
        <v>1</v>
      </c>
      <c r="F28" s="3262" t="s">
        <v>2473</v>
      </c>
      <c r="G28" s="1035"/>
      <c r="H28" s="1025"/>
      <c r="I28" s="1025"/>
    </row>
    <row r="29" spans="1:13" s="1408" customFormat="1">
      <c r="A29" s="3968" t="s">
        <v>2454</v>
      </c>
      <c r="B29" s="3964" t="s">
        <v>2454</v>
      </c>
      <c r="C29" s="3259" t="s">
        <v>2474</v>
      </c>
      <c r="D29" s="3260"/>
      <c r="E29" s="3261">
        <v>1</v>
      </c>
      <c r="F29" s="3262" t="s">
        <v>2475</v>
      </c>
      <c r="G29" s="1035"/>
      <c r="H29" s="1025"/>
      <c r="I29" s="1025"/>
    </row>
    <row r="30" spans="1:13" s="1408" customFormat="1">
      <c r="A30" s="3969"/>
      <c r="B30" s="3960"/>
      <c r="C30" s="3263" t="s">
        <v>2476</v>
      </c>
      <c r="D30" s="3264"/>
      <c r="E30" s="3265">
        <v>1</v>
      </c>
      <c r="F30" s="3262" t="s">
        <v>2477</v>
      </c>
      <c r="G30" s="1035"/>
      <c r="H30" s="1025"/>
      <c r="I30" s="1025"/>
    </row>
    <row r="31" spans="1:13" s="1408" customFormat="1">
      <c r="A31" s="3969"/>
      <c r="B31" s="3960"/>
      <c r="C31" s="3263" t="s">
        <v>2478</v>
      </c>
      <c r="D31" s="3264"/>
      <c r="E31" s="3265">
        <v>0.8</v>
      </c>
      <c r="F31" s="3262" t="s">
        <v>2479</v>
      </c>
      <c r="G31" s="1035"/>
      <c r="H31" s="1025"/>
      <c r="I31" s="1025"/>
    </row>
    <row r="32" spans="1:13" s="1408" customFormat="1">
      <c r="A32" s="3969"/>
      <c r="B32" s="3960"/>
      <c r="C32" s="3263" t="s">
        <v>2480</v>
      </c>
      <c r="D32" s="3264"/>
      <c r="E32" s="3265">
        <v>0.8</v>
      </c>
      <c r="F32" s="3262" t="s">
        <v>2481</v>
      </c>
      <c r="G32" s="1035"/>
      <c r="H32" s="1025"/>
      <c r="I32" s="1025"/>
    </row>
    <row r="33" spans="1:9" s="1408" customFormat="1">
      <c r="A33" s="3969"/>
      <c r="B33" s="3960"/>
      <c r="C33" s="3263" t="s">
        <v>2482</v>
      </c>
      <c r="D33" s="3264"/>
      <c r="E33" s="3265">
        <v>0.8</v>
      </c>
      <c r="F33" s="3262" t="s">
        <v>2483</v>
      </c>
      <c r="G33" s="1035"/>
      <c r="H33" s="1025"/>
      <c r="I33" s="1025"/>
    </row>
    <row r="34" spans="1:9" s="1408" customFormat="1">
      <c r="A34" s="3969"/>
      <c r="B34" s="3960"/>
      <c r="C34" s="3263" t="s">
        <v>2484</v>
      </c>
      <c r="D34" s="3264"/>
      <c r="E34" s="3265">
        <v>0.7</v>
      </c>
      <c r="F34" s="3262" t="s">
        <v>2485</v>
      </c>
      <c r="G34" s="1035"/>
      <c r="H34" s="1025"/>
      <c r="I34" s="1025"/>
    </row>
    <row r="35" spans="1:9" s="1408" customFormat="1">
      <c r="A35" s="3969"/>
      <c r="B35" s="3960"/>
      <c r="C35" s="3263" t="s">
        <v>2486</v>
      </c>
      <c r="D35" s="3264"/>
      <c r="E35" s="3265">
        <v>0.8</v>
      </c>
      <c r="F35" s="3262" t="s">
        <v>2487</v>
      </c>
      <c r="G35" s="1035"/>
      <c r="H35" s="1025"/>
      <c r="I35" s="1025"/>
    </row>
    <row r="36" spans="1:9" s="1408" customFormat="1">
      <c r="A36" s="3969"/>
      <c r="B36" s="3960"/>
      <c r="C36" s="3263" t="s">
        <v>2488</v>
      </c>
      <c r="D36" s="3264"/>
      <c r="E36" s="3265">
        <v>0.6</v>
      </c>
      <c r="F36" s="3262" t="s">
        <v>2489</v>
      </c>
      <c r="G36" s="1035"/>
      <c r="H36" s="1025"/>
      <c r="I36" s="1025"/>
    </row>
    <row r="37" spans="1:9" s="1408" customFormat="1">
      <c r="A37" s="3969"/>
      <c r="B37" s="3960"/>
      <c r="C37" s="3263" t="s">
        <v>2490</v>
      </c>
      <c r="D37" s="3264"/>
      <c r="E37" s="3265">
        <v>0.2</v>
      </c>
      <c r="F37" s="3262" t="s">
        <v>2491</v>
      </c>
      <c r="G37" s="1035"/>
      <c r="H37" s="1025"/>
      <c r="I37" s="1025"/>
    </row>
    <row r="38" spans="1:9" s="1408" customFormat="1">
      <c r="A38" s="3969"/>
      <c r="B38" s="3960"/>
      <c r="C38" s="3263" t="s">
        <v>2492</v>
      </c>
      <c r="D38" s="3264"/>
      <c r="E38" s="3265">
        <v>0.2</v>
      </c>
      <c r="F38" s="3262" t="s">
        <v>2493</v>
      </c>
      <c r="G38" s="1035"/>
      <c r="H38" s="1025"/>
      <c r="I38" s="1025"/>
    </row>
    <row r="39" spans="1:9" s="1408" customFormat="1">
      <c r="A39" s="3969"/>
      <c r="B39" s="3958" t="s">
        <v>2494</v>
      </c>
      <c r="C39" s="3263" t="s">
        <v>2495</v>
      </c>
      <c r="D39" s="3264"/>
      <c r="E39" s="3265">
        <v>0.6</v>
      </c>
      <c r="F39" s="3262" t="s">
        <v>2496</v>
      </c>
      <c r="G39" s="1035"/>
      <c r="H39" s="1025"/>
      <c r="I39" s="1025"/>
    </row>
    <row r="40" spans="1:9" s="1408" customFormat="1">
      <c r="A40" s="3969"/>
      <c r="B40" s="3960"/>
      <c r="C40" s="3263" t="s">
        <v>2497</v>
      </c>
      <c r="D40" s="3264"/>
      <c r="E40" s="3265">
        <v>0.6</v>
      </c>
      <c r="F40" s="3262" t="s">
        <v>2498</v>
      </c>
      <c r="G40" s="1035"/>
      <c r="H40" s="1025"/>
      <c r="I40" s="1025"/>
    </row>
    <row r="41" spans="1:9" s="1408" customFormat="1" ht="15" thickBot="1">
      <c r="A41" s="3970"/>
      <c r="B41" s="3965"/>
      <c r="C41" s="3266" t="s">
        <v>2499</v>
      </c>
      <c r="D41" s="3267"/>
      <c r="E41" s="3268">
        <v>0.6</v>
      </c>
      <c r="F41" s="3262" t="s">
        <v>2500</v>
      </c>
      <c r="G41" s="1035"/>
      <c r="H41" s="1025"/>
      <c r="I41" s="1025"/>
    </row>
    <row r="42" spans="1:9" s="1408" customFormat="1" ht="15" thickBot="1">
      <c r="A42" s="3269" t="s">
        <v>2451</v>
      </c>
      <c r="B42" s="3270" t="s">
        <v>2451</v>
      </c>
      <c r="C42" s="3271" t="s">
        <v>2501</v>
      </c>
      <c r="D42" s="3272"/>
      <c r="E42" s="3273">
        <v>1</v>
      </c>
      <c r="F42" s="3262" t="s">
        <v>2502</v>
      </c>
      <c r="G42" s="1035"/>
      <c r="H42" s="1025"/>
      <c r="I42" s="1025"/>
    </row>
    <row r="43" spans="1:9" s="1408" customFormat="1">
      <c r="A43" s="3961" t="s">
        <v>2452</v>
      </c>
      <c r="B43" s="3964" t="s">
        <v>2503</v>
      </c>
      <c r="C43" s="3259" t="s">
        <v>2504</v>
      </c>
      <c r="D43" s="3260"/>
      <c r="E43" s="3261">
        <v>1</v>
      </c>
      <c r="F43" s="3262" t="s">
        <v>2505</v>
      </c>
      <c r="G43" s="1035"/>
      <c r="H43" s="1025"/>
      <c r="I43" s="1025"/>
    </row>
    <row r="44" spans="1:9" s="1408" customFormat="1">
      <c r="A44" s="3962"/>
      <c r="B44" s="3960"/>
      <c r="C44" s="3263" t="s">
        <v>2506</v>
      </c>
      <c r="D44" s="3264"/>
      <c r="E44" s="3265">
        <v>1</v>
      </c>
      <c r="F44" s="3262" t="s">
        <v>2507</v>
      </c>
      <c r="G44" s="1035"/>
      <c r="H44" s="1025"/>
      <c r="I44" s="1025"/>
    </row>
    <row r="45" spans="1:9" s="1408" customFormat="1">
      <c r="A45" s="3962"/>
      <c r="B45" s="3959"/>
      <c r="C45" s="3263" t="s">
        <v>2508</v>
      </c>
      <c r="D45" s="3264"/>
      <c r="E45" s="3265">
        <v>1.5</v>
      </c>
      <c r="F45" s="3262" t="s">
        <v>2509</v>
      </c>
      <c r="G45" s="1035"/>
      <c r="H45" s="1025"/>
      <c r="I45" s="1025"/>
    </row>
    <row r="46" spans="1:9" s="1408" customFormat="1">
      <c r="A46" s="3962"/>
      <c r="B46" s="3274" t="s">
        <v>2454</v>
      </c>
      <c r="C46" s="3263" t="s">
        <v>2453</v>
      </c>
      <c r="D46" s="3264"/>
      <c r="E46" s="3265">
        <v>2</v>
      </c>
      <c r="F46" s="3262" t="s">
        <v>2510</v>
      </c>
      <c r="G46" s="1035"/>
      <c r="H46" s="1025"/>
      <c r="I46" s="1025"/>
    </row>
    <row r="47" spans="1:9" s="1408" customFormat="1">
      <c r="A47" s="3962"/>
      <c r="B47" s="3958" t="s">
        <v>2511</v>
      </c>
      <c r="C47" s="3263" t="s">
        <v>2512</v>
      </c>
      <c r="D47" s="3264"/>
      <c r="E47" s="3265">
        <v>1</v>
      </c>
      <c r="F47" s="3262" t="s">
        <v>2513</v>
      </c>
      <c r="G47" s="1035"/>
      <c r="H47" s="1025"/>
      <c r="I47" s="1025"/>
    </row>
    <row r="48" spans="1:9" s="1408" customFormat="1">
      <c r="A48" s="3962"/>
      <c r="B48" s="3960"/>
      <c r="C48" s="3263" t="s">
        <v>2514</v>
      </c>
      <c r="D48" s="3264"/>
      <c r="E48" s="3265">
        <v>1</v>
      </c>
      <c r="F48" s="3262" t="s">
        <v>2515</v>
      </c>
      <c r="G48" s="1035"/>
      <c r="H48" s="1025"/>
      <c r="I48" s="1025"/>
    </row>
    <row r="49" spans="1:9" s="1408" customFormat="1">
      <c r="A49" s="3962"/>
      <c r="B49" s="3960"/>
      <c r="C49" s="3263" t="s">
        <v>2516</v>
      </c>
      <c r="D49" s="3264"/>
      <c r="E49" s="3265">
        <v>1</v>
      </c>
      <c r="F49" s="3262" t="s">
        <v>2517</v>
      </c>
      <c r="G49" s="1035"/>
      <c r="H49" s="1025"/>
      <c r="I49" s="1025"/>
    </row>
    <row r="50" spans="1:9" s="1408" customFormat="1">
      <c r="A50" s="3962"/>
      <c r="B50" s="3960"/>
      <c r="C50" s="3263" t="s">
        <v>2518</v>
      </c>
      <c r="D50" s="3264"/>
      <c r="E50" s="3265">
        <v>1</v>
      </c>
      <c r="F50" s="3262" t="s">
        <v>2519</v>
      </c>
      <c r="G50" s="1035"/>
      <c r="H50" s="1025"/>
      <c r="I50" s="1025"/>
    </row>
    <row r="51" spans="1:9" s="1408" customFormat="1">
      <c r="A51" s="3962"/>
      <c r="B51" s="3960"/>
      <c r="C51" s="3263" t="s">
        <v>2520</v>
      </c>
      <c r="D51" s="3264"/>
      <c r="E51" s="3265">
        <v>1</v>
      </c>
      <c r="F51" s="3262" t="s">
        <v>2521</v>
      </c>
      <c r="G51" s="1035"/>
      <c r="H51" s="1025"/>
      <c r="I51" s="1025"/>
    </row>
    <row r="52" spans="1:9" s="1408" customFormat="1">
      <c r="A52" s="3962"/>
      <c r="B52" s="3960"/>
      <c r="C52" s="3263" t="s">
        <v>2522</v>
      </c>
      <c r="D52" s="3264"/>
      <c r="E52" s="3265">
        <v>1</v>
      </c>
      <c r="F52" s="3262" t="s">
        <v>2523</v>
      </c>
      <c r="G52" s="1035"/>
      <c r="H52" s="1025"/>
      <c r="I52" s="1025"/>
    </row>
    <row r="53" spans="1:9" s="1408" customFormat="1" ht="15" thickBot="1">
      <c r="A53" s="3963"/>
      <c r="B53" s="3965"/>
      <c r="C53" s="3266" t="s">
        <v>2524</v>
      </c>
      <c r="D53" s="3267"/>
      <c r="E53" s="3268">
        <v>1</v>
      </c>
      <c r="F53" s="3262" t="s">
        <v>2525</v>
      </c>
      <c r="G53" s="1035"/>
      <c r="H53" s="1025"/>
      <c r="I53" s="1025"/>
    </row>
    <row r="54" spans="1:9" s="1408" customFormat="1">
      <c r="A54" s="1409"/>
      <c r="B54" s="1409"/>
      <c r="C54" s="1409"/>
      <c r="D54" s="1409"/>
      <c r="E54" s="1409"/>
      <c r="F54" s="1034"/>
      <c r="G54" s="1034"/>
      <c r="H54" s="1025"/>
      <c r="I54" s="1025"/>
    </row>
    <row r="56" spans="1:9">
      <c r="A56" s="1036"/>
      <c r="B56" s="1010" t="s">
        <v>1162</v>
      </c>
      <c r="C56" s="1010" t="s">
        <v>1162</v>
      </c>
      <c r="D56" s="1010" t="s">
        <v>1162</v>
      </c>
      <c r="E56" s="1052" t="s">
        <v>1162</v>
      </c>
      <c r="F56" s="1052" t="s">
        <v>1163</v>
      </c>
      <c r="G56" s="1052" t="s">
        <v>1162</v>
      </c>
      <c r="I56" s="1008"/>
    </row>
    <row r="57" spans="1:9">
      <c r="A57" s="1037"/>
      <c r="B57" s="1052" t="s">
        <v>929</v>
      </c>
      <c r="C57" s="1052" t="s">
        <v>929</v>
      </c>
      <c r="D57" s="1052" t="s">
        <v>929</v>
      </c>
      <c r="E57" s="1010" t="s">
        <v>951</v>
      </c>
      <c r="F57" s="1010" t="s">
        <v>1158</v>
      </c>
      <c r="G57" s="1010" t="s">
        <v>1164</v>
      </c>
      <c r="I57" s="1008"/>
    </row>
    <row r="58" spans="1:9">
      <c r="A58" s="1038"/>
      <c r="B58" s="1010">
        <v>1</v>
      </c>
      <c r="C58" s="1010">
        <v>2</v>
      </c>
      <c r="D58" s="1010">
        <v>3</v>
      </c>
      <c r="E58" s="1032" t="s">
        <v>2773</v>
      </c>
      <c r="F58" s="1032" t="s">
        <v>2773</v>
      </c>
      <c r="G58" s="1032" t="s">
        <v>2773</v>
      </c>
      <c r="I58" s="1008"/>
    </row>
    <row r="59" spans="1:9">
      <c r="A59" s="1051" t="s">
        <v>836</v>
      </c>
      <c r="B59" s="3253">
        <v>0.7</v>
      </c>
      <c r="C59" s="3253">
        <v>0.4</v>
      </c>
      <c r="D59" s="3253">
        <v>0.3</v>
      </c>
      <c r="E59" s="3258">
        <v>0.3</v>
      </c>
      <c r="F59" s="3253">
        <v>0.3</v>
      </c>
      <c r="G59" s="3253">
        <v>0.2</v>
      </c>
      <c r="I59" s="1008"/>
    </row>
    <row r="60" spans="1:9">
      <c r="A60" s="1051" t="s">
        <v>837</v>
      </c>
      <c r="B60" s="3253">
        <v>0.7</v>
      </c>
      <c r="C60" s="3253">
        <v>0.4</v>
      </c>
      <c r="D60" s="3253">
        <v>0.3</v>
      </c>
      <c r="E60" s="3253">
        <v>0.3</v>
      </c>
      <c r="F60" s="3253">
        <v>0.3</v>
      </c>
      <c r="G60" s="3253">
        <v>0.2</v>
      </c>
      <c r="I60" s="1008"/>
    </row>
    <row r="61" spans="1:9">
      <c r="A61" s="1051" t="s">
        <v>838</v>
      </c>
      <c r="B61" s="3253">
        <v>0.6</v>
      </c>
      <c r="C61" s="3253">
        <v>0.3</v>
      </c>
      <c r="D61" s="3253">
        <v>0.25</v>
      </c>
      <c r="E61" s="3253">
        <v>0.25</v>
      </c>
      <c r="F61" s="3253">
        <v>0.25</v>
      </c>
      <c r="G61" s="3253">
        <v>0.15</v>
      </c>
      <c r="I61" s="1008"/>
    </row>
    <row r="62" spans="1:9">
      <c r="A62" s="1051" t="s">
        <v>839</v>
      </c>
      <c r="B62" s="3253">
        <v>0.6</v>
      </c>
      <c r="C62" s="3253">
        <v>0.3</v>
      </c>
      <c r="D62" s="3253">
        <v>0.25</v>
      </c>
      <c r="E62" s="3253">
        <v>0.25</v>
      </c>
      <c r="F62" s="3253">
        <v>0.25</v>
      </c>
      <c r="G62" s="3253">
        <v>0.15</v>
      </c>
      <c r="I62" s="1008"/>
    </row>
    <row r="63" spans="1:9" s="1025" customFormat="1">
      <c r="A63" s="1051" t="s">
        <v>840</v>
      </c>
      <c r="B63" s="3253">
        <v>0.6</v>
      </c>
      <c r="C63" s="3253">
        <v>0.3</v>
      </c>
      <c r="D63" s="3253">
        <v>0.25</v>
      </c>
      <c r="E63" s="3253">
        <v>0.25</v>
      </c>
      <c r="F63" s="3253">
        <v>0.25</v>
      </c>
      <c r="G63" s="3253">
        <v>0.15</v>
      </c>
    </row>
    <row r="64" spans="1:9" s="1025" customFormat="1">
      <c r="A64" s="1051" t="s">
        <v>841</v>
      </c>
      <c r="B64" s="3253">
        <v>0.6</v>
      </c>
      <c r="C64" s="3253">
        <v>0.3</v>
      </c>
      <c r="D64" s="3253">
        <v>0.25</v>
      </c>
      <c r="E64" s="3253">
        <v>0.25</v>
      </c>
      <c r="F64" s="3253">
        <v>0.25</v>
      </c>
      <c r="G64" s="3253">
        <v>0.15</v>
      </c>
    </row>
    <row r="65" spans="1:8" s="1025" customFormat="1">
      <c r="A65" s="1051" t="s">
        <v>842</v>
      </c>
      <c r="B65" s="3253">
        <v>0.6</v>
      </c>
      <c r="C65" s="3253">
        <v>0.3</v>
      </c>
      <c r="D65" s="3253">
        <v>0.25</v>
      </c>
      <c r="E65" s="3253">
        <v>0.25</v>
      </c>
      <c r="F65" s="3253">
        <v>0.25</v>
      </c>
      <c r="G65" s="3253">
        <v>0.15</v>
      </c>
    </row>
    <row r="66" spans="1:8" s="1025" customFormat="1">
      <c r="A66" s="1051" t="s">
        <v>843</v>
      </c>
      <c r="B66" s="3253">
        <v>0.5</v>
      </c>
      <c r="C66" s="3253">
        <v>0.2</v>
      </c>
      <c r="D66" s="3253">
        <v>0.2</v>
      </c>
      <c r="E66" s="3253">
        <v>0.2</v>
      </c>
      <c r="F66" s="3253">
        <v>0.2</v>
      </c>
      <c r="G66" s="3253">
        <v>0.1</v>
      </c>
    </row>
    <row r="67" spans="1:8" s="1025" customFormat="1">
      <c r="A67" s="1051" t="s">
        <v>844</v>
      </c>
      <c r="B67" s="3253">
        <v>0.5</v>
      </c>
      <c r="C67" s="3253">
        <v>0.2</v>
      </c>
      <c r="D67" s="3253">
        <v>0.2</v>
      </c>
      <c r="E67" s="3253">
        <v>0.2</v>
      </c>
      <c r="F67" s="3253">
        <v>0.2</v>
      </c>
      <c r="G67" s="3253">
        <v>0.1</v>
      </c>
    </row>
    <row r="68" spans="1:8" s="1025" customFormat="1">
      <c r="A68" s="1051" t="s">
        <v>845</v>
      </c>
      <c r="B68" s="3253">
        <v>0.5</v>
      </c>
      <c r="C68" s="3253">
        <v>0.2</v>
      </c>
      <c r="D68" s="3253">
        <v>0.2</v>
      </c>
      <c r="E68" s="3253">
        <v>0.2</v>
      </c>
      <c r="F68" s="3253">
        <v>0.2</v>
      </c>
      <c r="G68" s="3253">
        <v>0.1</v>
      </c>
    </row>
    <row r="69" spans="1:8" s="1025" customFormat="1">
      <c r="A69" s="1051" t="s">
        <v>846</v>
      </c>
      <c r="B69" s="3253">
        <v>0.5</v>
      </c>
      <c r="C69" s="3253">
        <v>0.2</v>
      </c>
      <c r="D69" s="3253">
        <v>0.2</v>
      </c>
      <c r="E69" s="3253">
        <v>0.2</v>
      </c>
      <c r="F69" s="3253">
        <v>0.2</v>
      </c>
      <c r="G69" s="3253">
        <v>0.1</v>
      </c>
    </row>
    <row r="70" spans="1:8" s="1025" customFormat="1">
      <c r="A70" s="1051" t="s">
        <v>847</v>
      </c>
      <c r="B70" s="3253">
        <v>0.5</v>
      </c>
      <c r="C70" s="3253">
        <v>0.2</v>
      </c>
      <c r="D70" s="3253">
        <v>0.2</v>
      </c>
      <c r="E70" s="3253">
        <v>0.2</v>
      </c>
      <c r="F70" s="3253">
        <v>0.2</v>
      </c>
      <c r="G70" s="3253">
        <v>0.1</v>
      </c>
    </row>
    <row r="72" spans="1:8" s="1025" customFormat="1">
      <c r="A72" s="1039"/>
      <c r="B72" s="1030"/>
      <c r="C72" s="1030"/>
      <c r="D72" s="1030" t="s">
        <v>1165</v>
      </c>
      <c r="E72" s="1030"/>
      <c r="F72" s="1030"/>
    </row>
    <row r="73" spans="1:8" s="1025" customFormat="1">
      <c r="A73" s="1053" t="s">
        <v>1166</v>
      </c>
      <c r="B73" s="1053" t="s">
        <v>1167</v>
      </c>
      <c r="C73" s="1053" t="s">
        <v>1168</v>
      </c>
      <c r="D73" s="1053" t="s">
        <v>1169</v>
      </c>
      <c r="E73" s="1053" t="s">
        <v>1170</v>
      </c>
      <c r="F73" s="1053" t="s">
        <v>1171</v>
      </c>
    </row>
    <row r="74" spans="1:8" s="1025" customFormat="1">
      <c r="A74" s="1053"/>
      <c r="B74" s="1053"/>
      <c r="C74" s="1053" t="s">
        <v>2526</v>
      </c>
      <c r="D74" s="1053"/>
      <c r="E74" s="1040" t="s">
        <v>1159</v>
      </c>
      <c r="F74" s="1053" t="s">
        <v>1159</v>
      </c>
    </row>
    <row r="75" spans="1:8" s="1025" customFormat="1" ht="24">
      <c r="A75" s="3274">
        <v>1</v>
      </c>
      <c r="B75" s="3958" t="s">
        <v>2527</v>
      </c>
      <c r="C75" s="3253" t="s">
        <v>2528</v>
      </c>
      <c r="D75" s="3253" t="s">
        <v>2529</v>
      </c>
      <c r="E75" s="3275">
        <v>0.2</v>
      </c>
      <c r="F75" s="3274">
        <v>25</v>
      </c>
      <c r="H75" s="1025">
        <f>SUMIF(C73:C141,基准地价!C8,E73:E141)</f>
        <v>0</v>
      </c>
    </row>
    <row r="76" spans="1:8" s="1025" customFormat="1" ht="36">
      <c r="A76" s="3274">
        <v>2</v>
      </c>
      <c r="B76" s="3960"/>
      <c r="C76" s="3253" t="s">
        <v>2530</v>
      </c>
      <c r="D76" s="3253" t="s">
        <v>2531</v>
      </c>
      <c r="E76" s="3275">
        <v>0.2</v>
      </c>
      <c r="F76" s="3274">
        <v>25</v>
      </c>
    </row>
    <row r="77" spans="1:8" s="1025" customFormat="1" ht="24">
      <c r="A77" s="3274">
        <v>3</v>
      </c>
      <c r="B77" s="3960"/>
      <c r="C77" s="3253" t="s">
        <v>2532</v>
      </c>
      <c r="D77" s="3253" t="s">
        <v>2533</v>
      </c>
      <c r="E77" s="3275">
        <v>0.2</v>
      </c>
      <c r="F77" s="3274">
        <v>25</v>
      </c>
    </row>
    <row r="78" spans="1:8" s="1025" customFormat="1" ht="24">
      <c r="A78" s="3274">
        <v>4</v>
      </c>
      <c r="B78" s="3960"/>
      <c r="C78" s="3253" t="s">
        <v>2534</v>
      </c>
      <c r="D78" s="3253" t="s">
        <v>2535</v>
      </c>
      <c r="E78" s="3275">
        <v>0.15</v>
      </c>
      <c r="F78" s="3274">
        <v>20</v>
      </c>
    </row>
    <row r="79" spans="1:8" s="1025" customFormat="1" ht="24">
      <c r="A79" s="3274">
        <v>5</v>
      </c>
      <c r="B79" s="3960"/>
      <c r="C79" s="3253" t="s">
        <v>2536</v>
      </c>
      <c r="D79" s="3253" t="s">
        <v>2537</v>
      </c>
      <c r="E79" s="3275">
        <v>0.15</v>
      </c>
      <c r="F79" s="3274">
        <v>20</v>
      </c>
    </row>
    <row r="80" spans="1:8" s="1025" customFormat="1" ht="24">
      <c r="A80" s="3274">
        <v>6</v>
      </c>
      <c r="B80" s="3960"/>
      <c r="C80" s="3253" t="s">
        <v>2538</v>
      </c>
      <c r="D80" s="3253" t="s">
        <v>2539</v>
      </c>
      <c r="E80" s="3275">
        <v>0.15</v>
      </c>
      <c r="F80" s="3274">
        <v>20</v>
      </c>
    </row>
    <row r="81" spans="1:6" s="1025" customFormat="1" ht="36">
      <c r="A81" s="3274">
        <v>7</v>
      </c>
      <c r="B81" s="3960"/>
      <c r="C81" s="3253" t="s">
        <v>2540</v>
      </c>
      <c r="D81" s="3253" t="s">
        <v>2541</v>
      </c>
      <c r="E81" s="3275">
        <v>0.15</v>
      </c>
      <c r="F81" s="3274">
        <v>20</v>
      </c>
    </row>
    <row r="82" spans="1:6" s="1025" customFormat="1" ht="24">
      <c r="A82" s="3274">
        <v>8</v>
      </c>
      <c r="B82" s="3960"/>
      <c r="C82" s="3253" t="s">
        <v>2542</v>
      </c>
      <c r="D82" s="3253" t="s">
        <v>2543</v>
      </c>
      <c r="E82" s="3275">
        <v>0.1</v>
      </c>
      <c r="F82" s="3274">
        <v>15</v>
      </c>
    </row>
    <row r="83" spans="1:6" s="1025" customFormat="1" ht="24">
      <c r="A83" s="3274">
        <v>9</v>
      </c>
      <c r="B83" s="3960"/>
      <c r="C83" s="3253" t="s">
        <v>2544</v>
      </c>
      <c r="D83" s="3253" t="s">
        <v>2545</v>
      </c>
      <c r="E83" s="3275">
        <v>0.1</v>
      </c>
      <c r="F83" s="3274">
        <v>15</v>
      </c>
    </row>
    <row r="84" spans="1:6" s="1025" customFormat="1" ht="24">
      <c r="A84" s="3274">
        <v>10</v>
      </c>
      <c r="B84" s="3960"/>
      <c r="C84" s="3253" t="s">
        <v>2546</v>
      </c>
      <c r="D84" s="3253" t="s">
        <v>2547</v>
      </c>
      <c r="E84" s="3275">
        <v>0.1</v>
      </c>
      <c r="F84" s="3274">
        <v>15</v>
      </c>
    </row>
    <row r="85" spans="1:6" s="1025" customFormat="1" ht="36">
      <c r="A85" s="3274">
        <v>11</v>
      </c>
      <c r="B85" s="3960"/>
      <c r="C85" s="3253" t="s">
        <v>2548</v>
      </c>
      <c r="D85" s="3253" t="s">
        <v>2549</v>
      </c>
      <c r="E85" s="3275">
        <v>0.1</v>
      </c>
      <c r="F85" s="3274">
        <v>15</v>
      </c>
    </row>
    <row r="86" spans="1:6" s="1025" customFormat="1" ht="36">
      <c r="A86" s="3274">
        <v>12</v>
      </c>
      <c r="B86" s="3960"/>
      <c r="C86" s="3253" t="s">
        <v>2550</v>
      </c>
      <c r="D86" s="3253" t="s">
        <v>2551</v>
      </c>
      <c r="E86" s="3275">
        <v>0.1</v>
      </c>
      <c r="F86" s="3274">
        <v>15</v>
      </c>
    </row>
    <row r="87" spans="1:6" s="1025" customFormat="1" ht="24">
      <c r="A87" s="3274">
        <v>13</v>
      </c>
      <c r="B87" s="3960"/>
      <c r="C87" s="3253" t="s">
        <v>2552</v>
      </c>
      <c r="D87" s="3253" t="s">
        <v>2553</v>
      </c>
      <c r="E87" s="3275">
        <v>0.1</v>
      </c>
      <c r="F87" s="3274">
        <v>15</v>
      </c>
    </row>
    <row r="88" spans="1:6" s="1025" customFormat="1" ht="24">
      <c r="A88" s="3274">
        <v>14</v>
      </c>
      <c r="B88" s="3960"/>
      <c r="C88" s="3253" t="s">
        <v>2554</v>
      </c>
      <c r="D88" s="3253" t="s">
        <v>2555</v>
      </c>
      <c r="E88" s="3275">
        <v>0.1</v>
      </c>
      <c r="F88" s="3274">
        <v>15</v>
      </c>
    </row>
    <row r="89" spans="1:6" s="1025" customFormat="1" ht="24">
      <c r="A89" s="3274">
        <v>15</v>
      </c>
      <c r="B89" s="3960"/>
      <c r="C89" s="3253" t="s">
        <v>2556</v>
      </c>
      <c r="D89" s="3253" t="s">
        <v>2557</v>
      </c>
      <c r="E89" s="3275">
        <v>0.1</v>
      </c>
      <c r="F89" s="3274">
        <v>15</v>
      </c>
    </row>
    <row r="90" spans="1:6" s="1025" customFormat="1" ht="24">
      <c r="A90" s="3274">
        <v>16</v>
      </c>
      <c r="B90" s="3960"/>
      <c r="C90" s="3253" t="s">
        <v>2558</v>
      </c>
      <c r="D90" s="3253" t="s">
        <v>2559</v>
      </c>
      <c r="E90" s="3275">
        <v>0.1</v>
      </c>
      <c r="F90" s="3274">
        <v>15</v>
      </c>
    </row>
    <row r="91" spans="1:6" s="1025" customFormat="1" ht="36">
      <c r="A91" s="3274">
        <v>17</v>
      </c>
      <c r="B91" s="3959"/>
      <c r="C91" s="3253" t="s">
        <v>2560</v>
      </c>
      <c r="D91" s="3253" t="s">
        <v>2561</v>
      </c>
      <c r="E91" s="3275">
        <v>0.1</v>
      </c>
      <c r="F91" s="3274">
        <v>15</v>
      </c>
    </row>
    <row r="92" spans="1:6" s="1025" customFormat="1" ht="24">
      <c r="A92" s="3274">
        <v>18</v>
      </c>
      <c r="B92" s="3958" t="s">
        <v>2562</v>
      </c>
      <c r="C92" s="3253" t="s">
        <v>2563</v>
      </c>
      <c r="D92" s="3253" t="s">
        <v>2564</v>
      </c>
      <c r="E92" s="3275">
        <v>0.2</v>
      </c>
      <c r="F92" s="3274">
        <v>25</v>
      </c>
    </row>
    <row r="93" spans="1:6" s="1025" customFormat="1" ht="36">
      <c r="A93" s="3274">
        <v>19</v>
      </c>
      <c r="B93" s="3960"/>
      <c r="C93" s="3253" t="s">
        <v>2565</v>
      </c>
      <c r="D93" s="3253" t="s">
        <v>2566</v>
      </c>
      <c r="E93" s="3275">
        <v>0.2</v>
      </c>
      <c r="F93" s="3274">
        <v>25</v>
      </c>
    </row>
    <row r="94" spans="1:6" s="1025" customFormat="1" ht="24">
      <c r="A94" s="3274">
        <v>20</v>
      </c>
      <c r="B94" s="3960"/>
      <c r="C94" s="3253" t="s">
        <v>2567</v>
      </c>
      <c r="D94" s="3253" t="s">
        <v>2568</v>
      </c>
      <c r="E94" s="3275">
        <v>0.15</v>
      </c>
      <c r="F94" s="3274">
        <v>20</v>
      </c>
    </row>
    <row r="95" spans="1:6" s="1025" customFormat="1" ht="24">
      <c r="A95" s="3274">
        <v>21</v>
      </c>
      <c r="B95" s="3960"/>
      <c r="C95" s="3253" t="s">
        <v>2569</v>
      </c>
      <c r="D95" s="3253" t="s">
        <v>2570</v>
      </c>
      <c r="E95" s="3275">
        <v>0.15</v>
      </c>
      <c r="F95" s="3274">
        <v>20</v>
      </c>
    </row>
    <row r="96" spans="1:6" s="1025" customFormat="1" ht="24">
      <c r="A96" s="3274">
        <v>22</v>
      </c>
      <c r="B96" s="3960"/>
      <c r="C96" s="3253" t="s">
        <v>2571</v>
      </c>
      <c r="D96" s="3253" t="s">
        <v>2572</v>
      </c>
      <c r="E96" s="3275">
        <v>0.15</v>
      </c>
      <c r="F96" s="3274">
        <v>20</v>
      </c>
    </row>
    <row r="97" spans="1:6" s="1025" customFormat="1" ht="48">
      <c r="A97" s="3274">
        <v>23</v>
      </c>
      <c r="B97" s="3960"/>
      <c r="C97" s="3253" t="s">
        <v>2573</v>
      </c>
      <c r="D97" s="3253" t="s">
        <v>2574</v>
      </c>
      <c r="E97" s="3275">
        <v>0.15</v>
      </c>
      <c r="F97" s="3274">
        <v>20</v>
      </c>
    </row>
    <row r="98" spans="1:6" s="1025" customFormat="1" ht="24">
      <c r="A98" s="3274">
        <v>24</v>
      </c>
      <c r="B98" s="3960"/>
      <c r="C98" s="3253" t="s">
        <v>2575</v>
      </c>
      <c r="D98" s="3253" t="s">
        <v>2576</v>
      </c>
      <c r="E98" s="3275">
        <v>0.1</v>
      </c>
      <c r="F98" s="3274">
        <v>15</v>
      </c>
    </row>
    <row r="99" spans="1:6" s="1025" customFormat="1" ht="24">
      <c r="A99" s="3274">
        <v>25</v>
      </c>
      <c r="B99" s="3960"/>
      <c r="C99" s="3253" t="s">
        <v>2577</v>
      </c>
      <c r="D99" s="3253" t="s">
        <v>2578</v>
      </c>
      <c r="E99" s="3275">
        <v>0.1</v>
      </c>
      <c r="F99" s="3274">
        <v>15</v>
      </c>
    </row>
    <row r="100" spans="1:6" s="1025" customFormat="1" ht="36">
      <c r="A100" s="3274">
        <v>26</v>
      </c>
      <c r="B100" s="3960"/>
      <c r="C100" s="3253" t="s">
        <v>2579</v>
      </c>
      <c r="D100" s="3253" t="s">
        <v>2580</v>
      </c>
      <c r="E100" s="3275">
        <v>0.1</v>
      </c>
      <c r="F100" s="3274">
        <v>15</v>
      </c>
    </row>
    <row r="101" spans="1:6" s="1025" customFormat="1" ht="24">
      <c r="A101" s="3274">
        <v>27</v>
      </c>
      <c r="B101" s="3960"/>
      <c r="C101" s="3253" t="s">
        <v>2581</v>
      </c>
      <c r="D101" s="3253" t="s">
        <v>2582</v>
      </c>
      <c r="E101" s="3275">
        <v>0.1</v>
      </c>
      <c r="F101" s="3274">
        <v>15</v>
      </c>
    </row>
    <row r="102" spans="1:6" s="1025" customFormat="1" ht="24">
      <c r="A102" s="3274">
        <v>28</v>
      </c>
      <c r="B102" s="3960"/>
      <c r="C102" s="3253" t="s">
        <v>2583</v>
      </c>
      <c r="D102" s="3253" t="s">
        <v>2584</v>
      </c>
      <c r="E102" s="3275">
        <v>0.1</v>
      </c>
      <c r="F102" s="3274">
        <v>15</v>
      </c>
    </row>
    <row r="103" spans="1:6" s="1025" customFormat="1" ht="24">
      <c r="A103" s="3274">
        <v>29</v>
      </c>
      <c r="B103" s="3960"/>
      <c r="C103" s="3253" t="s">
        <v>2585</v>
      </c>
      <c r="D103" s="3253" t="s">
        <v>2586</v>
      </c>
      <c r="E103" s="3275">
        <v>0.1</v>
      </c>
      <c r="F103" s="3274">
        <v>15</v>
      </c>
    </row>
    <row r="104" spans="1:6" s="1025" customFormat="1" ht="24">
      <c r="A104" s="3274">
        <v>30</v>
      </c>
      <c r="B104" s="3960"/>
      <c r="C104" s="3253" t="s">
        <v>2587</v>
      </c>
      <c r="D104" s="3253" t="s">
        <v>2588</v>
      </c>
      <c r="E104" s="3275">
        <v>0.1</v>
      </c>
      <c r="F104" s="3274">
        <v>15</v>
      </c>
    </row>
    <row r="105" spans="1:6" s="1025" customFormat="1" ht="24">
      <c r="A105" s="3274">
        <v>31</v>
      </c>
      <c r="B105" s="3960"/>
      <c r="C105" s="3253" t="s">
        <v>2589</v>
      </c>
      <c r="D105" s="3253" t="s">
        <v>2590</v>
      </c>
      <c r="E105" s="3275">
        <v>0.1</v>
      </c>
      <c r="F105" s="3274">
        <v>15</v>
      </c>
    </row>
    <row r="106" spans="1:6" s="1025" customFormat="1" ht="36">
      <c r="A106" s="3274">
        <v>32</v>
      </c>
      <c r="B106" s="3960"/>
      <c r="C106" s="3253" t="s">
        <v>2591</v>
      </c>
      <c r="D106" s="3253" t="s">
        <v>2592</v>
      </c>
      <c r="E106" s="3275">
        <v>0.1</v>
      </c>
      <c r="F106" s="3274">
        <v>15</v>
      </c>
    </row>
    <row r="107" spans="1:6" s="1025" customFormat="1" ht="36">
      <c r="A107" s="3274">
        <v>33</v>
      </c>
      <c r="B107" s="3960"/>
      <c r="C107" s="3253" t="s">
        <v>2593</v>
      </c>
      <c r="D107" s="3253" t="s">
        <v>2594</v>
      </c>
      <c r="E107" s="3275">
        <v>0.1</v>
      </c>
      <c r="F107" s="3274">
        <v>15</v>
      </c>
    </row>
    <row r="108" spans="1:6" s="1025" customFormat="1" ht="24">
      <c r="A108" s="3274">
        <v>34</v>
      </c>
      <c r="B108" s="3959"/>
      <c r="C108" s="3253" t="s">
        <v>2595</v>
      </c>
      <c r="D108" s="3253" t="s">
        <v>2596</v>
      </c>
      <c r="E108" s="3275">
        <v>0.1</v>
      </c>
      <c r="F108" s="3274">
        <v>15</v>
      </c>
    </row>
    <row r="109" spans="1:6" s="1025" customFormat="1" ht="36">
      <c r="A109" s="3274">
        <v>35</v>
      </c>
      <c r="B109" s="3958" t="s">
        <v>2597</v>
      </c>
      <c r="C109" s="3274" t="s">
        <v>2598</v>
      </c>
      <c r="D109" s="3253" t="s">
        <v>2599</v>
      </c>
      <c r="E109" s="3275">
        <v>0.15</v>
      </c>
      <c r="F109" s="3274">
        <v>20</v>
      </c>
    </row>
    <row r="110" spans="1:6" s="1025" customFormat="1" ht="24">
      <c r="A110" s="3274">
        <v>36</v>
      </c>
      <c r="B110" s="3960"/>
      <c r="C110" s="3274" t="s">
        <v>2600</v>
      </c>
      <c r="D110" s="3253" t="s">
        <v>2601</v>
      </c>
      <c r="E110" s="3275">
        <v>0.15</v>
      </c>
      <c r="F110" s="3274">
        <v>20</v>
      </c>
    </row>
    <row r="111" spans="1:6" s="1025" customFormat="1" ht="24">
      <c r="A111" s="3274">
        <v>37</v>
      </c>
      <c r="B111" s="3960"/>
      <c r="C111" s="3274" t="s">
        <v>2602</v>
      </c>
      <c r="D111" s="3253" t="s">
        <v>2603</v>
      </c>
      <c r="E111" s="3275">
        <v>0.15</v>
      </c>
      <c r="F111" s="3274">
        <v>20</v>
      </c>
    </row>
    <row r="112" spans="1:6" s="1025" customFormat="1" ht="24">
      <c r="A112" s="3274">
        <v>38</v>
      </c>
      <c r="B112" s="3960"/>
      <c r="C112" s="3274" t="s">
        <v>2604</v>
      </c>
      <c r="D112" s="3253" t="s">
        <v>2605</v>
      </c>
      <c r="E112" s="3275">
        <v>0.1</v>
      </c>
      <c r="F112" s="3274">
        <v>15</v>
      </c>
    </row>
    <row r="113" spans="1:6" s="1025" customFormat="1" ht="24">
      <c r="A113" s="3274">
        <v>39</v>
      </c>
      <c r="B113" s="3960"/>
      <c r="C113" s="3274" t="s">
        <v>2606</v>
      </c>
      <c r="D113" s="3253" t="s">
        <v>2607</v>
      </c>
      <c r="E113" s="3275">
        <v>0.1</v>
      </c>
      <c r="F113" s="3274">
        <v>15</v>
      </c>
    </row>
    <row r="114" spans="1:6" s="1025" customFormat="1" ht="24">
      <c r="A114" s="3274">
        <v>40</v>
      </c>
      <c r="B114" s="3959"/>
      <c r="C114" s="3274" t="s">
        <v>2608</v>
      </c>
      <c r="D114" s="3253" t="s">
        <v>2609</v>
      </c>
      <c r="E114" s="3275">
        <v>0.1</v>
      </c>
      <c r="F114" s="3274">
        <v>15</v>
      </c>
    </row>
    <row r="115" spans="1:6" s="1025" customFormat="1" ht="24">
      <c r="A115" s="3274">
        <v>41</v>
      </c>
      <c r="B115" s="3957" t="s">
        <v>2610</v>
      </c>
      <c r="C115" s="3274" t="s">
        <v>2611</v>
      </c>
      <c r="D115" s="3253" t="s">
        <v>2612</v>
      </c>
      <c r="E115" s="3275">
        <v>0.1</v>
      </c>
      <c r="F115" s="3274">
        <v>15</v>
      </c>
    </row>
    <row r="116" spans="1:6" s="1025" customFormat="1" ht="24">
      <c r="A116" s="3274">
        <v>42</v>
      </c>
      <c r="B116" s="3957"/>
      <c r="C116" s="3274" t="s">
        <v>2613</v>
      </c>
      <c r="D116" s="3253" t="s">
        <v>2614</v>
      </c>
      <c r="E116" s="3275">
        <v>0.1</v>
      </c>
      <c r="F116" s="3274">
        <v>15</v>
      </c>
    </row>
    <row r="117" spans="1:6" s="1025" customFormat="1" ht="24">
      <c r="A117" s="3274">
        <v>43</v>
      </c>
      <c r="B117" s="3957"/>
      <c r="C117" s="3274" t="s">
        <v>2615</v>
      </c>
      <c r="D117" s="3253" t="s">
        <v>2616</v>
      </c>
      <c r="E117" s="3275">
        <v>0.1</v>
      </c>
      <c r="F117" s="3274">
        <v>15</v>
      </c>
    </row>
    <row r="118" spans="1:6" s="1025" customFormat="1" ht="24">
      <c r="A118" s="3274">
        <v>44</v>
      </c>
      <c r="B118" s="3958" t="s">
        <v>2617</v>
      </c>
      <c r="C118" s="3274" t="s">
        <v>2618</v>
      </c>
      <c r="D118" s="3253" t="s">
        <v>2619</v>
      </c>
      <c r="E118" s="3275">
        <v>0.1</v>
      </c>
      <c r="F118" s="3274">
        <v>15</v>
      </c>
    </row>
    <row r="119" spans="1:6" s="1025" customFormat="1" ht="24">
      <c r="A119" s="3274">
        <v>45</v>
      </c>
      <c r="B119" s="3959"/>
      <c r="C119" s="3253" t="s">
        <v>2620</v>
      </c>
      <c r="D119" s="3253" t="s">
        <v>2621</v>
      </c>
      <c r="E119" s="3275">
        <v>0.1</v>
      </c>
      <c r="F119" s="3274">
        <v>15</v>
      </c>
    </row>
    <row r="120" spans="1:6" s="1025" customFormat="1" ht="24">
      <c r="A120" s="3274">
        <v>46</v>
      </c>
      <c r="B120" s="3958" t="s">
        <v>2622</v>
      </c>
      <c r="C120" s="3274" t="s">
        <v>2623</v>
      </c>
      <c r="D120" s="3253" t="s">
        <v>2624</v>
      </c>
      <c r="E120" s="3275">
        <v>0.1</v>
      </c>
      <c r="F120" s="3274">
        <v>15</v>
      </c>
    </row>
    <row r="121" spans="1:6" s="1025" customFormat="1" ht="24">
      <c r="A121" s="3274">
        <v>47</v>
      </c>
      <c r="B121" s="3959"/>
      <c r="C121" s="3274" t="s">
        <v>2625</v>
      </c>
      <c r="D121" s="3253" t="s">
        <v>2626</v>
      </c>
      <c r="E121" s="3275">
        <v>0.1</v>
      </c>
      <c r="F121" s="3274">
        <v>15</v>
      </c>
    </row>
    <row r="122" spans="1:6" s="1025" customFormat="1" ht="24">
      <c r="A122" s="3274">
        <v>48</v>
      </c>
      <c r="B122" s="3958" t="s">
        <v>2627</v>
      </c>
      <c r="C122" s="3274" t="s">
        <v>2628</v>
      </c>
      <c r="D122" s="3253" t="s">
        <v>2629</v>
      </c>
      <c r="E122" s="3275">
        <v>0.1</v>
      </c>
      <c r="F122" s="3274">
        <v>15</v>
      </c>
    </row>
    <row r="123" spans="1:6" s="1025" customFormat="1" ht="24">
      <c r="A123" s="3274">
        <v>49</v>
      </c>
      <c r="B123" s="3959"/>
      <c r="C123" s="3274" t="s">
        <v>2630</v>
      </c>
      <c r="D123" s="3253" t="s">
        <v>2631</v>
      </c>
      <c r="E123" s="3275">
        <v>0.1</v>
      </c>
      <c r="F123" s="3274">
        <v>15</v>
      </c>
    </row>
    <row r="124" spans="1:6" s="1025" customFormat="1" ht="24">
      <c r="A124" s="3274">
        <v>50</v>
      </c>
      <c r="B124" s="3957" t="s">
        <v>2632</v>
      </c>
      <c r="C124" s="3274" t="s">
        <v>2633</v>
      </c>
      <c r="D124" s="3253" t="s">
        <v>2634</v>
      </c>
      <c r="E124" s="3275">
        <v>0.1</v>
      </c>
      <c r="F124" s="3274">
        <v>15</v>
      </c>
    </row>
    <row r="125" spans="1:6" s="1025" customFormat="1" ht="24">
      <c r="A125" s="3274">
        <v>51</v>
      </c>
      <c r="B125" s="3957"/>
      <c r="C125" s="3274" t="s">
        <v>2635</v>
      </c>
      <c r="D125" s="3253" t="s">
        <v>2636</v>
      </c>
      <c r="E125" s="3275">
        <v>0.1</v>
      </c>
      <c r="F125" s="3274">
        <v>15</v>
      </c>
    </row>
    <row r="126" spans="1:6" s="1025" customFormat="1" ht="24">
      <c r="A126" s="3274">
        <v>52</v>
      </c>
      <c r="B126" s="3957" t="s">
        <v>2637</v>
      </c>
      <c r="C126" s="3274" t="s">
        <v>2638</v>
      </c>
      <c r="D126" s="3253" t="s">
        <v>2639</v>
      </c>
      <c r="E126" s="3275">
        <v>0.1</v>
      </c>
      <c r="F126" s="3274">
        <v>15</v>
      </c>
    </row>
    <row r="127" spans="1:6" s="1025" customFormat="1" ht="24">
      <c r="A127" s="3274">
        <v>53</v>
      </c>
      <c r="B127" s="3957"/>
      <c r="C127" s="3274" t="s">
        <v>2640</v>
      </c>
      <c r="D127" s="3253" t="s">
        <v>2641</v>
      </c>
      <c r="E127" s="3275">
        <v>0.1</v>
      </c>
      <c r="F127" s="3274">
        <v>15</v>
      </c>
    </row>
    <row r="128" spans="1:6" ht="24">
      <c r="A128" s="3274">
        <v>54</v>
      </c>
      <c r="B128" s="3274" t="s">
        <v>2642</v>
      </c>
      <c r="C128" s="3274" t="s">
        <v>2643</v>
      </c>
      <c r="D128" s="3253" t="s">
        <v>2644</v>
      </c>
      <c r="E128" s="3275">
        <v>0.1</v>
      </c>
      <c r="F128" s="3274">
        <v>15</v>
      </c>
    </row>
    <row r="129" spans="1:14" ht="24">
      <c r="A129" s="3274">
        <v>55</v>
      </c>
      <c r="B129" s="3957" t="s">
        <v>2645</v>
      </c>
      <c r="C129" s="3274" t="s">
        <v>2646</v>
      </c>
      <c r="D129" s="3253" t="s">
        <v>2647</v>
      </c>
      <c r="E129" s="3275">
        <v>0.1</v>
      </c>
      <c r="F129" s="3274">
        <v>15</v>
      </c>
    </row>
    <row r="130" spans="1:14" ht="24">
      <c r="A130" s="3274">
        <v>56</v>
      </c>
      <c r="B130" s="3957"/>
      <c r="C130" s="3274" t="s">
        <v>2648</v>
      </c>
      <c r="D130" s="3253" t="s">
        <v>2649</v>
      </c>
      <c r="E130" s="3275">
        <v>0.1</v>
      </c>
      <c r="F130" s="3274">
        <v>15</v>
      </c>
    </row>
    <row r="131" spans="1:14" ht="24">
      <c r="A131" s="3274">
        <v>57</v>
      </c>
      <c r="B131" s="3957"/>
      <c r="C131" s="3274" t="s">
        <v>2650</v>
      </c>
      <c r="D131" s="3253" t="s">
        <v>2651</v>
      </c>
      <c r="E131" s="3275">
        <v>0.1</v>
      </c>
      <c r="F131" s="3274">
        <v>15</v>
      </c>
    </row>
    <row r="132" spans="1:14" ht="24">
      <c r="A132" s="3274">
        <v>58</v>
      </c>
      <c r="B132" s="3957" t="s">
        <v>2652</v>
      </c>
      <c r="C132" s="3274" t="s">
        <v>2653</v>
      </c>
      <c r="D132" s="3253" t="s">
        <v>2654</v>
      </c>
      <c r="E132" s="3275">
        <v>0.1</v>
      </c>
      <c r="F132" s="3274">
        <v>15</v>
      </c>
    </row>
    <row r="133" spans="1:14" ht="24">
      <c r="A133" s="3274">
        <v>59</v>
      </c>
      <c r="B133" s="3957"/>
      <c r="C133" s="3274" t="s">
        <v>2655</v>
      </c>
      <c r="D133" s="3253" t="s">
        <v>2656</v>
      </c>
      <c r="E133" s="3275">
        <v>0.1</v>
      </c>
      <c r="F133" s="3274">
        <v>15</v>
      </c>
    </row>
    <row r="134" spans="1:14" ht="24">
      <c r="A134" s="3274">
        <v>60</v>
      </c>
      <c r="B134" s="3958" t="s">
        <v>2657</v>
      </c>
      <c r="C134" s="3274" t="s">
        <v>2658</v>
      </c>
      <c r="D134" s="3253" t="s">
        <v>2659</v>
      </c>
      <c r="E134" s="3275">
        <v>0.1</v>
      </c>
      <c r="F134" s="3274">
        <v>15</v>
      </c>
    </row>
    <row r="135" spans="1:14" ht="24">
      <c r="A135" s="3274">
        <v>61</v>
      </c>
      <c r="B135" s="3959"/>
      <c r="C135" s="3274" t="s">
        <v>2660</v>
      </c>
      <c r="D135" s="3253" t="s">
        <v>2661</v>
      </c>
      <c r="E135" s="3275">
        <v>0.1</v>
      </c>
      <c r="F135" s="3274">
        <v>15</v>
      </c>
    </row>
    <row r="136" spans="1:14" ht="24">
      <c r="A136" s="3274">
        <v>62</v>
      </c>
      <c r="B136" s="3274" t="s">
        <v>2662</v>
      </c>
      <c r="C136" s="3274" t="s">
        <v>2663</v>
      </c>
      <c r="D136" s="3253" t="s">
        <v>2664</v>
      </c>
      <c r="E136" s="3275">
        <v>0.1</v>
      </c>
      <c r="F136" s="3274">
        <v>15</v>
      </c>
    </row>
    <row r="137" spans="1:14" ht="24">
      <c r="A137" s="3274">
        <v>63</v>
      </c>
      <c r="B137" s="3957" t="s">
        <v>2665</v>
      </c>
      <c r="C137" s="3274" t="s">
        <v>2666</v>
      </c>
      <c r="D137" s="3253" t="s">
        <v>2667</v>
      </c>
      <c r="E137" s="3275">
        <v>0.1</v>
      </c>
      <c r="F137" s="3274">
        <v>15</v>
      </c>
    </row>
    <row r="138" spans="1:14" ht="24">
      <c r="A138" s="3274">
        <v>64</v>
      </c>
      <c r="B138" s="3957"/>
      <c r="C138" s="3274" t="s">
        <v>2668</v>
      </c>
      <c r="D138" s="3253" t="s">
        <v>2669</v>
      </c>
      <c r="E138" s="3275">
        <v>0.1</v>
      </c>
      <c r="F138" s="3274">
        <v>15</v>
      </c>
    </row>
    <row r="139" spans="1:14" ht="24">
      <c r="A139" s="3274">
        <v>65</v>
      </c>
      <c r="B139" s="3274" t="s">
        <v>2670</v>
      </c>
      <c r="C139" s="3274" t="s">
        <v>2671</v>
      </c>
      <c r="D139" s="3253" t="s">
        <v>2672</v>
      </c>
      <c r="E139" s="3275">
        <v>0.1</v>
      </c>
      <c r="F139" s="3274">
        <v>15</v>
      </c>
    </row>
    <row r="140" spans="1:14">
      <c r="A140" s="1053"/>
      <c r="B140" s="3233"/>
      <c r="C140" s="1053"/>
      <c r="D140" s="1010"/>
      <c r="E140" s="1040"/>
      <c r="F140" s="1053"/>
    </row>
    <row r="141" spans="1:14">
      <c r="A141" s="1053"/>
      <c r="B141" s="1053"/>
      <c r="C141" s="1053"/>
      <c r="D141" s="1053"/>
      <c r="E141" s="1040"/>
      <c r="F141" s="1053"/>
    </row>
    <row r="143" spans="1:14">
      <c r="A143" s="3338"/>
      <c r="B143" s="3338"/>
      <c r="C143" s="3338"/>
      <c r="D143" s="3338"/>
      <c r="E143" s="3338"/>
      <c r="F143" s="3338"/>
      <c r="G143" s="3338"/>
      <c r="H143" s="3338"/>
      <c r="I143" s="3338"/>
      <c r="J143" s="3338"/>
      <c r="K143" s="1054"/>
      <c r="L143" s="1054"/>
      <c r="M143" s="1054"/>
      <c r="N143" s="1054"/>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71" t="s">
        <v>2810</v>
      </c>
      <c r="B1" s="3971"/>
      <c r="C1" s="3971"/>
      <c r="D1" s="3971"/>
      <c r="E1" s="3971"/>
      <c r="F1" s="3971"/>
      <c r="G1" s="3972"/>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2811</v>
      </c>
      <c r="B2" s="3419"/>
      <c r="C2" s="3419"/>
      <c r="D2" s="3419"/>
      <c r="E2" s="3419"/>
      <c r="F2" s="3419"/>
      <c r="G2" s="3414" t="s">
        <v>2812</v>
      </c>
      <c r="J2" s="3443" t="s">
        <v>2818</v>
      </c>
      <c r="K2" s="3423" t="s">
        <v>2820</v>
      </c>
      <c r="L2" s="3423" t="s">
        <v>2822</v>
      </c>
      <c r="M2" s="3423" t="s">
        <v>2828</v>
      </c>
      <c r="N2" s="3423" t="s">
        <v>2838</v>
      </c>
      <c r="O2" s="3423" t="s">
        <v>2853</v>
      </c>
      <c r="P2" s="3423" t="s">
        <v>2890</v>
      </c>
      <c r="Q2" s="3423" t="s">
        <v>2921</v>
      </c>
      <c r="R2" s="3423" t="s">
        <v>2949</v>
      </c>
      <c r="S2" s="3423" t="s">
        <v>2984</v>
      </c>
      <c r="T2" s="3423" t="s">
        <v>3004</v>
      </c>
      <c r="U2" s="3423" t="s">
        <v>3016</v>
      </c>
    </row>
    <row r="3" spans="1:21" s="1012" customFormat="1" ht="19.5" customHeight="1">
      <c r="A3" s="3973" t="s">
        <v>2813</v>
      </c>
      <c r="B3" s="3415"/>
      <c r="C3" s="3416" t="s">
        <v>2791</v>
      </c>
      <c r="D3" s="3416" t="s">
        <v>2814</v>
      </c>
      <c r="E3" s="3416" t="s">
        <v>2793</v>
      </c>
      <c r="F3" s="3416" t="s">
        <v>2815</v>
      </c>
      <c r="G3" s="3416" t="s">
        <v>2737</v>
      </c>
      <c r="H3" s="1015"/>
      <c r="J3" s="3443" t="s">
        <v>2819</v>
      </c>
      <c r="K3" s="3423" t="s">
        <v>973</v>
      </c>
      <c r="L3" s="3423" t="s">
        <v>974</v>
      </c>
      <c r="M3" s="3423" t="s">
        <v>975</v>
      </c>
      <c r="N3" s="3423" t="s">
        <v>976</v>
      </c>
      <c r="O3" s="3423" t="s">
        <v>977</v>
      </c>
      <c r="P3" s="3423" t="s">
        <v>978</v>
      </c>
      <c r="Q3" s="3423" t="s">
        <v>979</v>
      </c>
      <c r="R3" s="3423" t="s">
        <v>980</v>
      </c>
      <c r="S3" s="3423" t="s">
        <v>981</v>
      </c>
      <c r="T3" s="3423" t="s">
        <v>3005</v>
      </c>
      <c r="U3" s="3423" t="s">
        <v>3017</v>
      </c>
    </row>
    <row r="4" spans="1:21" s="1012" customFormat="1" ht="19.5" customHeight="1" thickBot="1">
      <c r="A4" s="3974"/>
      <c r="B4" s="3417" t="s">
        <v>2816</v>
      </c>
      <c r="C4" s="3417" t="s">
        <v>2817</v>
      </c>
      <c r="D4" s="3417" t="s">
        <v>2817</v>
      </c>
      <c r="E4" s="3417" t="s">
        <v>2817</v>
      </c>
      <c r="F4" s="3418" t="s">
        <v>2817</v>
      </c>
      <c r="G4" s="3418" t="s">
        <v>2817</v>
      </c>
      <c r="H4" s="1015"/>
      <c r="J4" s="3443" t="s">
        <v>982</v>
      </c>
      <c r="K4" s="3423" t="s">
        <v>983</v>
      </c>
      <c r="L4" s="3423" t="s">
        <v>984</v>
      </c>
      <c r="M4" s="3423" t="s">
        <v>985</v>
      </c>
      <c r="N4" s="3423" t="s">
        <v>986</v>
      </c>
      <c r="O4" s="3423" t="s">
        <v>987</v>
      </c>
      <c r="P4" s="3423" t="s">
        <v>988</v>
      </c>
      <c r="Q4" s="3423" t="s">
        <v>989</v>
      </c>
      <c r="R4" s="3423" t="s">
        <v>2950</v>
      </c>
      <c r="S4" s="3423" t="s">
        <v>2985</v>
      </c>
      <c r="T4" s="3423" t="s">
        <v>3006</v>
      </c>
      <c r="U4" s="3423" t="s">
        <v>3018</v>
      </c>
    </row>
    <row r="5" spans="1:21" ht="14.25" customHeight="1">
      <c r="A5" s="3420" t="s">
        <v>990</v>
      </c>
      <c r="B5" s="3421" t="s">
        <v>2818</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2951</v>
      </c>
      <c r="S5" s="3423" t="s">
        <v>2986</v>
      </c>
      <c r="T5" s="3423" t="s">
        <v>999</v>
      </c>
      <c r="U5" s="3423" t="s">
        <v>3019</v>
      </c>
    </row>
    <row r="6" spans="1:21" ht="14.25" customHeight="1">
      <c r="A6" s="3423" t="s">
        <v>990</v>
      </c>
      <c r="B6" s="3423" t="s">
        <v>2819</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2922</v>
      </c>
      <c r="R6" s="3423" t="s">
        <v>2952</v>
      </c>
      <c r="S6" s="3423" t="s">
        <v>1008</v>
      </c>
      <c r="T6" s="3423" t="s">
        <v>3007</v>
      </c>
      <c r="U6" s="3423" t="s">
        <v>3020</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2923</v>
      </c>
      <c r="R7" s="3423" t="s">
        <v>2953</v>
      </c>
      <c r="S7" s="3423" t="s">
        <v>2987</v>
      </c>
      <c r="T7" s="3423" t="s">
        <v>3008</v>
      </c>
      <c r="U7" s="1289" t="s">
        <v>3021</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2924</v>
      </c>
      <c r="R8" s="3423" t="s">
        <v>1021</v>
      </c>
      <c r="S8" s="3423" t="s">
        <v>2988</v>
      </c>
      <c r="T8" s="3423" t="s">
        <v>3009</v>
      </c>
      <c r="U8" s="3423" t="s">
        <v>3022</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3530</v>
      </c>
      <c r="K9" s="3423" t="s">
        <v>1022</v>
      </c>
      <c r="L9" s="3423" t="s">
        <v>1023</v>
      </c>
      <c r="M9" s="3423" t="s">
        <v>1024</v>
      </c>
      <c r="N9" s="3423" t="s">
        <v>1025</v>
      </c>
      <c r="O9" s="3423" t="s">
        <v>1026</v>
      </c>
      <c r="P9" s="3423" t="s">
        <v>1027</v>
      </c>
      <c r="Q9" s="3423" t="s">
        <v>2925</v>
      </c>
      <c r="R9" s="3423" t="s">
        <v>1029</v>
      </c>
      <c r="S9" s="3423" t="s">
        <v>1030</v>
      </c>
      <c r="T9" s="3423" t="s">
        <v>1047</v>
      </c>
    </row>
    <row r="10" spans="1:21" ht="14.25" customHeight="1">
      <c r="A10" s="3420" t="s">
        <v>1031</v>
      </c>
      <c r="B10" s="3421" t="s">
        <v>2820</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3010</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2891</v>
      </c>
      <c r="Q11" s="3423" t="s">
        <v>1038</v>
      </c>
      <c r="R11" s="3423" t="s">
        <v>1046</v>
      </c>
      <c r="S11" s="3423" t="s">
        <v>2989</v>
      </c>
      <c r="T11" s="3423" t="s">
        <v>3011</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2892</v>
      </c>
      <c r="Q12" s="3423" t="s">
        <v>2926</v>
      </c>
      <c r="R12" s="3423" t="s">
        <v>2954</v>
      </c>
      <c r="S12" s="3423" t="s">
        <v>2990</v>
      </c>
      <c r="T12" s="3423" t="s">
        <v>3012</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2893</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2955</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2894</v>
      </c>
      <c r="Q15" s="3423" t="s">
        <v>2927</v>
      </c>
      <c r="R15" s="3423" t="s">
        <v>1090</v>
      </c>
      <c r="S15" s="3423" t="s">
        <v>2991</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2895</v>
      </c>
      <c r="Q16" s="3423" t="s">
        <v>1075</v>
      </c>
      <c r="R16" s="3423" t="s">
        <v>1098</v>
      </c>
      <c r="S16" s="3423" t="s">
        <v>1054</v>
      </c>
      <c r="T16" s="3423" t="s">
        <v>3013</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2896</v>
      </c>
      <c r="Q17" s="3423" t="s">
        <v>2928</v>
      </c>
      <c r="R17" s="3423" t="s">
        <v>1104</v>
      </c>
      <c r="S17" s="3423" t="s">
        <v>2992</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2897</v>
      </c>
      <c r="Q18" s="3423" t="s">
        <v>1089</v>
      </c>
      <c r="R18" s="3423" t="s">
        <v>2956</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2898</v>
      </c>
      <c r="Q19" s="3423" t="s">
        <v>1097</v>
      </c>
      <c r="R19" s="3423" t="s">
        <v>2957</v>
      </c>
      <c r="S19" s="3423" t="s">
        <v>1113</v>
      </c>
      <c r="T19" s="3423" t="s">
        <v>3014</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2899</v>
      </c>
      <c r="Q20" s="3423" t="s">
        <v>2929</v>
      </c>
      <c r="R20" s="3423" t="s">
        <v>1139</v>
      </c>
      <c r="S20" s="3423" t="s">
        <v>2993</v>
      </c>
      <c r="T20" s="3423" t="s">
        <v>1126</v>
      </c>
    </row>
    <row r="21" spans="1:20" ht="14.25" customHeight="1">
      <c r="A21" s="3423" t="s">
        <v>1031</v>
      </c>
      <c r="B21" s="1289" t="s">
        <v>1055</v>
      </c>
      <c r="C21" s="3423">
        <v>32370</v>
      </c>
      <c r="D21" s="3423">
        <v>26730</v>
      </c>
      <c r="E21" s="3423">
        <v>26640</v>
      </c>
      <c r="F21" s="3429"/>
      <c r="G21" s="3430">
        <v>19440</v>
      </c>
      <c r="K21" s="3432" t="s">
        <v>2821</v>
      </c>
      <c r="L21" s="3423" t="s">
        <v>1115</v>
      </c>
      <c r="M21" s="3423" t="s">
        <v>1116</v>
      </c>
      <c r="N21" s="3423" t="s">
        <v>1117</v>
      </c>
      <c r="O21" s="3423" t="s">
        <v>1118</v>
      </c>
      <c r="P21" s="3423" t="s">
        <v>1112</v>
      </c>
      <c r="Q21" s="3423" t="s">
        <v>1132</v>
      </c>
      <c r="R21" s="3423" t="s">
        <v>1142</v>
      </c>
      <c r="S21" s="3423" t="s">
        <v>2994</v>
      </c>
      <c r="T21" s="3423" t="s">
        <v>3015</v>
      </c>
    </row>
    <row r="22" spans="1:20" ht="14.25" customHeight="1">
      <c r="A22" s="3423" t="s">
        <v>1031</v>
      </c>
      <c r="B22" s="1289" t="s">
        <v>1062</v>
      </c>
      <c r="C22" s="3423">
        <v>29830</v>
      </c>
      <c r="D22" s="3423">
        <v>27600</v>
      </c>
      <c r="E22" s="3423">
        <v>28150</v>
      </c>
      <c r="F22" s="3429"/>
      <c r="G22" s="3430">
        <v>20080</v>
      </c>
      <c r="L22" s="3432" t="s">
        <v>2823</v>
      </c>
      <c r="M22" s="3423" t="s">
        <v>1120</v>
      </c>
      <c r="N22" s="3423" t="s">
        <v>1121</v>
      </c>
      <c r="O22" s="3423" t="s">
        <v>1122</v>
      </c>
      <c r="P22" s="3423" t="s">
        <v>2900</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2824</v>
      </c>
      <c r="M23" s="3423" t="s">
        <v>1127</v>
      </c>
      <c r="N23" s="3423" t="s">
        <v>1128</v>
      </c>
      <c r="O23" s="3423" t="s">
        <v>2854</v>
      </c>
      <c r="P23" s="3423" t="s">
        <v>2901</v>
      </c>
      <c r="Q23" s="3423" t="s">
        <v>1138</v>
      </c>
      <c r="R23" s="3423" t="s">
        <v>1147</v>
      </c>
      <c r="S23" s="3423" t="s">
        <v>2995</v>
      </c>
    </row>
    <row r="24" spans="1:20" ht="14.25" customHeight="1">
      <c r="A24" s="3423" t="s">
        <v>1031</v>
      </c>
      <c r="B24" s="1289" t="s">
        <v>1078</v>
      </c>
      <c r="C24" s="3423">
        <v>27930</v>
      </c>
      <c r="D24" s="3423">
        <v>32260</v>
      </c>
      <c r="E24" s="3423">
        <v>32120</v>
      </c>
      <c r="F24" s="3429"/>
      <c r="G24" s="3430">
        <v>23470</v>
      </c>
      <c r="L24" s="3432" t="s">
        <v>2825</v>
      </c>
      <c r="M24" s="3423" t="s">
        <v>1130</v>
      </c>
      <c r="N24" s="3423" t="s">
        <v>1131</v>
      </c>
      <c r="O24" s="3423" t="s">
        <v>2855</v>
      </c>
      <c r="P24" s="3423" t="s">
        <v>1134</v>
      </c>
      <c r="Q24" s="3423" t="s">
        <v>2930</v>
      </c>
      <c r="R24" s="3423" t="s">
        <v>2958</v>
      </c>
      <c r="S24" s="3423" t="s">
        <v>2996</v>
      </c>
    </row>
    <row r="25" spans="1:20" ht="14.25" customHeight="1">
      <c r="A25" s="3423" t="s">
        <v>1031</v>
      </c>
      <c r="B25" s="1289" t="s">
        <v>1083</v>
      </c>
      <c r="C25" s="3423">
        <v>32230</v>
      </c>
      <c r="D25" s="3423">
        <v>29640</v>
      </c>
      <c r="E25" s="3423">
        <v>29510</v>
      </c>
      <c r="F25" s="3429"/>
      <c r="G25" s="3430">
        <v>21560</v>
      </c>
      <c r="L25" s="3432" t="s">
        <v>2826</v>
      </c>
      <c r="M25" s="3423" t="s">
        <v>2829</v>
      </c>
      <c r="N25" s="3423" t="s">
        <v>1133</v>
      </c>
      <c r="O25" s="3423" t="s">
        <v>1141</v>
      </c>
      <c r="P25" s="3423" t="s">
        <v>1137</v>
      </c>
      <c r="Q25" s="3423" t="s">
        <v>1124</v>
      </c>
      <c r="R25" s="3423" t="s">
        <v>1119</v>
      </c>
      <c r="S25" s="3423" t="s">
        <v>2997</v>
      </c>
    </row>
    <row r="26" spans="1:20" ht="14.25" customHeight="1">
      <c r="A26" s="3423" t="s">
        <v>1031</v>
      </c>
      <c r="B26" s="1289" t="s">
        <v>1092</v>
      </c>
      <c r="C26" s="3423">
        <v>31690</v>
      </c>
      <c r="D26" s="3423">
        <v>27650</v>
      </c>
      <c r="E26" s="3423">
        <v>28200</v>
      </c>
      <c r="F26" s="3429"/>
      <c r="G26" s="3430">
        <v>20110</v>
      </c>
      <c r="L26" s="3432" t="s">
        <v>2827</v>
      </c>
      <c r="M26" s="3423" t="s">
        <v>2830</v>
      </c>
      <c r="N26" s="3423" t="s">
        <v>1136</v>
      </c>
      <c r="O26" s="3423" t="s">
        <v>1143</v>
      </c>
      <c r="P26" s="3423" t="s">
        <v>2902</v>
      </c>
      <c r="Q26" s="3423" t="s">
        <v>2931</v>
      </c>
      <c r="R26" s="3423" t="s">
        <v>1125</v>
      </c>
      <c r="S26" s="3423" t="s">
        <v>2998</v>
      </c>
    </row>
    <row r="27" spans="1:20" ht="14.25" customHeight="1">
      <c r="A27" s="3423" t="s">
        <v>1031</v>
      </c>
      <c r="B27" s="1289" t="s">
        <v>1099</v>
      </c>
      <c r="C27" s="3423">
        <v>29610</v>
      </c>
      <c r="D27" s="3423">
        <v>27770</v>
      </c>
      <c r="E27" s="3423">
        <v>28300</v>
      </c>
      <c r="F27" s="3429"/>
      <c r="G27" s="3430">
        <v>20210</v>
      </c>
      <c r="M27" s="3423" t="s">
        <v>2831</v>
      </c>
      <c r="N27" s="3423" t="s">
        <v>1140</v>
      </c>
      <c r="O27" s="3423" t="s">
        <v>1146</v>
      </c>
      <c r="P27" s="3423" t="s">
        <v>1123</v>
      </c>
      <c r="Q27" s="3423" t="s">
        <v>2932</v>
      </c>
      <c r="R27" s="3423" t="s">
        <v>2959</v>
      </c>
      <c r="S27" s="3423" t="s">
        <v>2999</v>
      </c>
    </row>
    <row r="28" spans="1:20" ht="14.25" customHeight="1">
      <c r="A28" s="3437" t="s">
        <v>1031</v>
      </c>
      <c r="B28" s="2601" t="s">
        <v>1107</v>
      </c>
      <c r="C28" s="1287"/>
      <c r="D28" s="1287">
        <v>31520</v>
      </c>
      <c r="E28" s="1287">
        <v>31410</v>
      </c>
      <c r="F28" s="3434"/>
      <c r="G28" s="3435">
        <v>22940</v>
      </c>
      <c r="M28" s="3423" t="s">
        <v>2832</v>
      </c>
      <c r="N28" s="3423" t="s">
        <v>2839</v>
      </c>
      <c r="O28" s="3423" t="s">
        <v>2856</v>
      </c>
      <c r="P28" s="3423" t="s">
        <v>2903</v>
      </c>
      <c r="Q28" s="3423" t="s">
        <v>2933</v>
      </c>
      <c r="R28" s="3423" t="s">
        <v>2960</v>
      </c>
      <c r="S28" s="3432" t="s">
        <v>3000</v>
      </c>
    </row>
    <row r="29" spans="1:20" ht="14.25" customHeight="1" thickBot="1">
      <c r="A29" s="3438" t="s">
        <v>1031</v>
      </c>
      <c r="B29" s="3426" t="s">
        <v>2821</v>
      </c>
      <c r="C29" s="3426"/>
      <c r="D29" s="3426">
        <v>29460</v>
      </c>
      <c r="E29" s="3426">
        <v>28640</v>
      </c>
      <c r="F29" s="3427"/>
      <c r="G29" s="3439">
        <v>21430</v>
      </c>
      <c r="M29" s="3432" t="s">
        <v>2833</v>
      </c>
      <c r="N29" s="3423" t="s">
        <v>2840</v>
      </c>
      <c r="O29" s="3423" t="s">
        <v>2857</v>
      </c>
      <c r="P29" s="3423" t="s">
        <v>2904</v>
      </c>
      <c r="Q29" s="3423" t="s">
        <v>2934</v>
      </c>
      <c r="R29" s="3423" t="s">
        <v>2961</v>
      </c>
      <c r="S29" s="3432" t="s">
        <v>1129</v>
      </c>
    </row>
    <row r="30" spans="1:20" ht="14.25" customHeight="1">
      <c r="A30" s="3437" t="s">
        <v>1145</v>
      </c>
      <c r="B30" s="1289" t="s">
        <v>2822</v>
      </c>
      <c r="C30" s="1289">
        <v>26890</v>
      </c>
      <c r="D30" s="1289">
        <v>26770</v>
      </c>
      <c r="E30" s="1289">
        <v>25700</v>
      </c>
      <c r="F30" s="3424">
        <v>8180</v>
      </c>
      <c r="G30" s="3424">
        <v>18740</v>
      </c>
      <c r="I30" s="1022"/>
      <c r="M30" s="3432" t="s">
        <v>2834</v>
      </c>
      <c r="N30" s="3423" t="s">
        <v>2841</v>
      </c>
      <c r="O30" s="3423" t="s">
        <v>2858</v>
      </c>
      <c r="P30" s="3423" t="s">
        <v>2905</v>
      </c>
      <c r="Q30" s="3423" t="s">
        <v>2935</v>
      </c>
      <c r="R30" s="3423" t="s">
        <v>2962</v>
      </c>
      <c r="S30" s="3432" t="s">
        <v>3001</v>
      </c>
    </row>
    <row r="31" spans="1:20" ht="14.25" customHeight="1">
      <c r="A31" s="3423" t="s">
        <v>1145</v>
      </c>
      <c r="B31" s="1289" t="s">
        <v>974</v>
      </c>
      <c r="C31" s="3423">
        <v>24550</v>
      </c>
      <c r="D31" s="3423">
        <v>23990</v>
      </c>
      <c r="E31" s="3423">
        <v>22930</v>
      </c>
      <c r="F31" s="3429">
        <v>7470</v>
      </c>
      <c r="G31" s="3429">
        <v>16790</v>
      </c>
      <c r="I31" s="1022"/>
      <c r="M31" s="3432" t="s">
        <v>2835</v>
      </c>
      <c r="N31" s="3423" t="s">
        <v>2842</v>
      </c>
      <c r="O31" s="3423" t="s">
        <v>2859</v>
      </c>
      <c r="P31" s="3423" t="s">
        <v>2906</v>
      </c>
      <c r="Q31" s="3423" t="s">
        <v>2936</v>
      </c>
      <c r="R31" s="3423" t="s">
        <v>2963</v>
      </c>
      <c r="S31" s="3432" t="s">
        <v>3002</v>
      </c>
    </row>
    <row r="32" spans="1:20" ht="14.25" customHeight="1">
      <c r="A32" s="3423" t="s">
        <v>1145</v>
      </c>
      <c r="B32" s="1289" t="s">
        <v>984</v>
      </c>
      <c r="C32" s="3423">
        <v>27210</v>
      </c>
      <c r="D32" s="3423">
        <v>23240</v>
      </c>
      <c r="E32" s="3423">
        <v>23260</v>
      </c>
      <c r="F32" s="3429">
        <v>7130</v>
      </c>
      <c r="G32" s="3429">
        <v>16270</v>
      </c>
      <c r="I32" s="1022"/>
      <c r="M32" s="3432" t="s">
        <v>2836</v>
      </c>
      <c r="N32" s="3423" t="s">
        <v>2843</v>
      </c>
      <c r="O32" s="3423" t="s">
        <v>1149</v>
      </c>
      <c r="P32" s="3423" t="s">
        <v>2907</v>
      </c>
      <c r="Q32" s="3423" t="s">
        <v>1148</v>
      </c>
      <c r="R32" s="3423" t="s">
        <v>2964</v>
      </c>
      <c r="S32" s="3432" t="s">
        <v>3003</v>
      </c>
    </row>
    <row r="33" spans="1:18" ht="14.25" customHeight="1">
      <c r="A33" s="3423" t="s">
        <v>1145</v>
      </c>
      <c r="B33" s="1289" t="s">
        <v>993</v>
      </c>
      <c r="C33" s="3423">
        <v>27300</v>
      </c>
      <c r="D33" s="3423">
        <v>22980</v>
      </c>
      <c r="E33" s="3423">
        <v>24260</v>
      </c>
      <c r="F33" s="3429">
        <v>5860</v>
      </c>
      <c r="G33" s="3429">
        <v>16090</v>
      </c>
      <c r="I33" s="1022"/>
      <c r="M33" s="3432" t="s">
        <v>2837</v>
      </c>
      <c r="N33" s="3423" t="s">
        <v>2844</v>
      </c>
      <c r="O33" s="3423" t="s">
        <v>1150</v>
      </c>
      <c r="P33" s="3423" t="s">
        <v>2908</v>
      </c>
      <c r="Q33" s="3423" t="s">
        <v>2937</v>
      </c>
      <c r="R33" s="3423" t="s">
        <v>2965</v>
      </c>
    </row>
    <row r="34" spans="1:18" ht="14.25" customHeight="1">
      <c r="A34" s="3423" t="s">
        <v>1145</v>
      </c>
      <c r="B34" s="1289" t="s">
        <v>1003</v>
      </c>
      <c r="C34" s="3423">
        <v>23090</v>
      </c>
      <c r="D34" s="3423">
        <v>23390</v>
      </c>
      <c r="E34" s="3423">
        <v>23510</v>
      </c>
      <c r="F34" s="3429">
        <v>6700</v>
      </c>
      <c r="G34" s="3429">
        <v>16370</v>
      </c>
      <c r="I34" s="1022"/>
      <c r="N34" s="3423" t="s">
        <v>2845</v>
      </c>
      <c r="O34" s="3423" t="s">
        <v>1151</v>
      </c>
      <c r="P34" s="3423" t="s">
        <v>2909</v>
      </c>
      <c r="Q34" s="3423" t="s">
        <v>2938</v>
      </c>
      <c r="R34" s="3423" t="s">
        <v>2966</v>
      </c>
    </row>
    <row r="35" spans="1:18" ht="14.25" customHeight="1">
      <c r="A35" s="3423" t="s">
        <v>1145</v>
      </c>
      <c r="B35" s="1289" t="s">
        <v>1010</v>
      </c>
      <c r="C35" s="3423">
        <v>27270</v>
      </c>
      <c r="D35" s="3423">
        <v>24270</v>
      </c>
      <c r="E35" s="3423">
        <v>24950</v>
      </c>
      <c r="F35" s="3429">
        <v>6600</v>
      </c>
      <c r="G35" s="3429">
        <v>16990</v>
      </c>
      <c r="I35" s="1022"/>
      <c r="N35" s="3423" t="s">
        <v>2846</v>
      </c>
      <c r="O35" s="3423" t="s">
        <v>2860</v>
      </c>
      <c r="P35" s="3423" t="s">
        <v>2910</v>
      </c>
      <c r="Q35" s="3423" t="s">
        <v>2939</v>
      </c>
      <c r="R35" s="3423" t="s">
        <v>2967</v>
      </c>
    </row>
    <row r="36" spans="1:18" ht="14.25" customHeight="1">
      <c r="A36" s="3423" t="s">
        <v>1145</v>
      </c>
      <c r="B36" s="1289" t="s">
        <v>1016</v>
      </c>
      <c r="C36" s="3423">
        <v>23490</v>
      </c>
      <c r="D36" s="3423">
        <v>23020</v>
      </c>
      <c r="E36" s="3423">
        <v>25230</v>
      </c>
      <c r="F36" s="3429">
        <v>6780</v>
      </c>
      <c r="G36" s="3429">
        <v>16120</v>
      </c>
      <c r="I36" s="1022"/>
      <c r="N36" s="3432" t="s">
        <v>2847</v>
      </c>
      <c r="O36" s="3460" t="s">
        <v>2861</v>
      </c>
      <c r="P36" s="3423" t="s">
        <v>2911</v>
      </c>
      <c r="Q36" s="3423" t="s">
        <v>2940</v>
      </c>
      <c r="R36" s="3423" t="s">
        <v>2968</v>
      </c>
    </row>
    <row r="37" spans="1:18" ht="14.25" customHeight="1">
      <c r="A37" s="3423" t="s">
        <v>1145</v>
      </c>
      <c r="B37" s="1289" t="s">
        <v>1023</v>
      </c>
      <c r="C37" s="3423">
        <v>24380</v>
      </c>
      <c r="D37" s="3423">
        <v>22240</v>
      </c>
      <c r="E37" s="3423">
        <v>25980</v>
      </c>
      <c r="F37" s="3429">
        <v>8160</v>
      </c>
      <c r="G37" s="3429">
        <v>15570</v>
      </c>
      <c r="I37" s="1023"/>
      <c r="N37" s="3432" t="s">
        <v>2848</v>
      </c>
      <c r="O37" s="3460" t="s">
        <v>2862</v>
      </c>
      <c r="P37" s="3423" t="s">
        <v>2912</v>
      </c>
      <c r="Q37" s="3423" t="s">
        <v>2941</v>
      </c>
      <c r="R37" s="3423" t="s">
        <v>2969</v>
      </c>
    </row>
    <row r="38" spans="1:18" ht="14.25" customHeight="1">
      <c r="A38" s="3423" t="s">
        <v>1145</v>
      </c>
      <c r="B38" s="1289" t="s">
        <v>1033</v>
      </c>
      <c r="C38" s="3423">
        <v>23120</v>
      </c>
      <c r="D38" s="3423">
        <v>24630</v>
      </c>
      <c r="E38" s="3423">
        <v>25030</v>
      </c>
      <c r="F38" s="3429">
        <v>7710</v>
      </c>
      <c r="G38" s="3429">
        <v>17240</v>
      </c>
      <c r="I38" s="1024"/>
      <c r="N38" s="3432" t="s">
        <v>2849</v>
      </c>
      <c r="O38" s="3460" t="s">
        <v>2863</v>
      </c>
      <c r="P38" s="3423" t="s">
        <v>2913</v>
      </c>
      <c r="Q38" s="3423" t="s">
        <v>2942</v>
      </c>
      <c r="R38" s="3423" t="s">
        <v>2970</v>
      </c>
    </row>
    <row r="39" spans="1:18" ht="14.25" customHeight="1">
      <c r="A39" s="3423" t="s">
        <v>1145</v>
      </c>
      <c r="B39" s="1289" t="s">
        <v>1042</v>
      </c>
      <c r="C39" s="3423">
        <v>22330</v>
      </c>
      <c r="D39" s="3423">
        <v>21140</v>
      </c>
      <c r="E39" s="3423">
        <v>23970</v>
      </c>
      <c r="F39" s="3429">
        <v>7940</v>
      </c>
      <c r="G39" s="3429">
        <v>14790</v>
      </c>
      <c r="I39" s="1024"/>
      <c r="N39" s="3432" t="s">
        <v>2850</v>
      </c>
      <c r="O39" s="3460" t="s">
        <v>2864</v>
      </c>
      <c r="P39" s="3423" t="s">
        <v>2914</v>
      </c>
      <c r="Q39" s="3423" t="s">
        <v>2943</v>
      </c>
      <c r="R39" s="3423" t="s">
        <v>2971</v>
      </c>
    </row>
    <row r="40" spans="1:18" ht="14.25" customHeight="1">
      <c r="A40" s="3423" t="s">
        <v>1145</v>
      </c>
      <c r="B40" s="1289" t="s">
        <v>1049</v>
      </c>
      <c r="C40" s="3423">
        <v>24740</v>
      </c>
      <c r="D40" s="3423">
        <v>24690</v>
      </c>
      <c r="E40" s="3423">
        <v>22610</v>
      </c>
      <c r="F40" s="3429"/>
      <c r="G40" s="3429">
        <v>17280</v>
      </c>
      <c r="I40" s="1024"/>
      <c r="N40" s="3432" t="s">
        <v>2851</v>
      </c>
      <c r="O40" s="3460" t="s">
        <v>2865</v>
      </c>
      <c r="P40" s="3423" t="s">
        <v>2915</v>
      </c>
      <c r="Q40" s="3423" t="s">
        <v>2944</v>
      </c>
      <c r="R40" s="3423" t="s">
        <v>2972</v>
      </c>
    </row>
    <row r="41" spans="1:18" ht="14.25" customHeight="1">
      <c r="A41" s="3423" t="s">
        <v>1145</v>
      </c>
      <c r="B41" s="1289" t="s">
        <v>1056</v>
      </c>
      <c r="C41" s="3423">
        <v>21220</v>
      </c>
      <c r="D41" s="3423">
        <v>21120</v>
      </c>
      <c r="E41" s="3423">
        <v>22590</v>
      </c>
      <c r="F41" s="3429"/>
      <c r="G41" s="3429">
        <v>14780</v>
      </c>
      <c r="I41" s="1024"/>
      <c r="N41" s="3432" t="s">
        <v>2852</v>
      </c>
      <c r="O41" s="3461" t="s">
        <v>2866</v>
      </c>
      <c r="P41" s="1289" t="s">
        <v>2916</v>
      </c>
      <c r="Q41" s="3432" t="s">
        <v>2945</v>
      </c>
      <c r="R41" s="1289" t="s">
        <v>2973</v>
      </c>
    </row>
    <row r="42" spans="1:18" ht="14.25" customHeight="1">
      <c r="A42" s="3423" t="s">
        <v>1145</v>
      </c>
      <c r="B42" s="1289" t="s">
        <v>1063</v>
      </c>
      <c r="C42" s="3423">
        <v>24800</v>
      </c>
      <c r="D42" s="3423">
        <v>22280</v>
      </c>
      <c r="E42" s="3423">
        <v>24350</v>
      </c>
      <c r="F42" s="3429"/>
      <c r="G42" s="3429">
        <v>15590</v>
      </c>
      <c r="I42" s="1024"/>
      <c r="O42" s="3423" t="s">
        <v>2867</v>
      </c>
      <c r="P42" s="3423" t="s">
        <v>2917</v>
      </c>
      <c r="Q42" s="3432" t="s">
        <v>2946</v>
      </c>
      <c r="R42" s="3423" t="s">
        <v>2974</v>
      </c>
    </row>
    <row r="43" spans="1:18" ht="14.25" customHeight="1">
      <c r="A43" s="3423" t="s">
        <v>1145</v>
      </c>
      <c r="B43" s="1289" t="s">
        <v>1071</v>
      </c>
      <c r="C43" s="3423">
        <v>21210</v>
      </c>
      <c r="D43" s="3423">
        <v>21160</v>
      </c>
      <c r="E43" s="3423">
        <v>22650</v>
      </c>
      <c r="F43" s="3429"/>
      <c r="G43" s="3429">
        <v>14800</v>
      </c>
      <c r="I43" s="1024"/>
      <c r="O43" s="3423" t="s">
        <v>2868</v>
      </c>
      <c r="P43" s="3423" t="s">
        <v>2918</v>
      </c>
      <c r="Q43" s="3432" t="s">
        <v>2947</v>
      </c>
      <c r="R43" s="3423" t="s">
        <v>2975</v>
      </c>
    </row>
    <row r="44" spans="1:18" ht="14.25" customHeight="1">
      <c r="A44" s="3423" t="s">
        <v>1145</v>
      </c>
      <c r="B44" s="1289" t="s">
        <v>1079</v>
      </c>
      <c r="C44" s="3423">
        <v>22370</v>
      </c>
      <c r="D44" s="3423">
        <v>23140</v>
      </c>
      <c r="E44" s="3423">
        <v>25090</v>
      </c>
      <c r="F44" s="3429"/>
      <c r="G44" s="3429">
        <v>16190</v>
      </c>
      <c r="I44" s="1024"/>
      <c r="O44" s="3423" t="s">
        <v>2869</v>
      </c>
      <c r="P44" s="3423" t="s">
        <v>2919</v>
      </c>
      <c r="Q44" s="3432" t="s">
        <v>2948</v>
      </c>
      <c r="R44" s="3423" t="s">
        <v>2976</v>
      </c>
    </row>
    <row r="45" spans="1:18" ht="14.25" customHeight="1">
      <c r="A45" s="3423" t="s">
        <v>1145</v>
      </c>
      <c r="B45" s="1289" t="s">
        <v>1084</v>
      </c>
      <c r="C45" s="3423">
        <v>21240</v>
      </c>
      <c r="D45" s="3423">
        <v>27050</v>
      </c>
      <c r="E45" s="3423">
        <v>28000</v>
      </c>
      <c r="F45" s="3429"/>
      <c r="G45" s="3429">
        <v>18940</v>
      </c>
      <c r="I45" s="1022"/>
      <c r="O45" s="3423" t="s">
        <v>2870</v>
      </c>
      <c r="P45" s="3423" t="s">
        <v>2920</v>
      </c>
      <c r="R45" s="3423" t="s">
        <v>2977</v>
      </c>
    </row>
    <row r="46" spans="1:18" ht="14.25" customHeight="1">
      <c r="A46" s="3423" t="s">
        <v>1145</v>
      </c>
      <c r="B46" s="1289" t="s">
        <v>1093</v>
      </c>
      <c r="C46" s="3423">
        <v>23240</v>
      </c>
      <c r="D46" s="3423">
        <v>23000</v>
      </c>
      <c r="E46" s="3423">
        <v>24980</v>
      </c>
      <c r="F46" s="3429"/>
      <c r="G46" s="3429">
        <v>16100</v>
      </c>
      <c r="I46" s="1024"/>
      <c r="O46" s="3423" t="s">
        <v>2871</v>
      </c>
      <c r="P46" s="3423"/>
      <c r="R46" s="3423" t="s">
        <v>2978</v>
      </c>
    </row>
    <row r="47" spans="1:18" ht="14.25" customHeight="1">
      <c r="A47" s="3423" t="s">
        <v>1145</v>
      </c>
      <c r="B47" s="2601" t="s">
        <v>1100</v>
      </c>
      <c r="C47" s="1287">
        <v>27150</v>
      </c>
      <c r="D47" s="1287">
        <v>23310</v>
      </c>
      <c r="E47" s="1287">
        <v>25150</v>
      </c>
      <c r="F47" s="3434"/>
      <c r="G47" s="3434">
        <v>16310</v>
      </c>
      <c r="I47" s="1024"/>
      <c r="O47" s="3423" t="s">
        <v>2872</v>
      </c>
      <c r="P47" s="3423"/>
      <c r="R47" s="3432" t="s">
        <v>2979</v>
      </c>
    </row>
    <row r="48" spans="1:18" ht="14.25" customHeight="1">
      <c r="A48" s="3423" t="s">
        <v>1145</v>
      </c>
      <c r="B48" s="3423" t="s">
        <v>1108</v>
      </c>
      <c r="C48" s="3423">
        <v>23100</v>
      </c>
      <c r="D48" s="3423">
        <v>21110</v>
      </c>
      <c r="E48" s="3423">
        <v>23080</v>
      </c>
      <c r="F48" s="3429"/>
      <c r="G48" s="3436">
        <v>14780</v>
      </c>
      <c r="I48" s="1022"/>
      <c r="O48" s="3423" t="s">
        <v>2873</v>
      </c>
      <c r="P48" s="3423"/>
      <c r="R48" s="3432" t="s">
        <v>2980</v>
      </c>
    </row>
    <row r="49" spans="1:18" ht="14.25" customHeight="1">
      <c r="A49" s="3423" t="s">
        <v>1145</v>
      </c>
      <c r="B49" s="1289" t="s">
        <v>1115</v>
      </c>
      <c r="C49" s="1289">
        <v>23400</v>
      </c>
      <c r="D49" s="1289">
        <v>22920</v>
      </c>
      <c r="E49" s="1289">
        <v>24900</v>
      </c>
      <c r="F49" s="3424"/>
      <c r="G49" s="3424">
        <v>16040</v>
      </c>
      <c r="I49" s="1024"/>
      <c r="O49" s="3423" t="s">
        <v>2874</v>
      </c>
      <c r="P49" s="3423"/>
      <c r="R49" s="3432" t="s">
        <v>2981</v>
      </c>
    </row>
    <row r="50" spans="1:18" ht="14.25" customHeight="1">
      <c r="A50" s="3423" t="s">
        <v>1145</v>
      </c>
      <c r="B50" s="3423" t="s">
        <v>2823</v>
      </c>
      <c r="C50" s="3423">
        <v>21200</v>
      </c>
      <c r="D50" s="3423">
        <v>26540</v>
      </c>
      <c r="E50" s="3423">
        <v>23200</v>
      </c>
      <c r="F50" s="3429"/>
      <c r="G50" s="3429">
        <v>18580</v>
      </c>
      <c r="I50" s="1024"/>
      <c r="O50" s="3432" t="s">
        <v>2875</v>
      </c>
      <c r="R50" s="3432" t="s">
        <v>2982</v>
      </c>
    </row>
    <row r="51" spans="1:18" ht="14.25" customHeight="1">
      <c r="A51" s="3423" t="s">
        <v>1145</v>
      </c>
      <c r="B51" s="3423" t="s">
        <v>2824</v>
      </c>
      <c r="C51" s="3423">
        <v>23000</v>
      </c>
      <c r="D51" s="3423">
        <v>23460</v>
      </c>
      <c r="E51" s="3423">
        <v>25290</v>
      </c>
      <c r="F51" s="3429"/>
      <c r="G51" s="3429">
        <v>16420</v>
      </c>
      <c r="I51" s="1024"/>
      <c r="O51" s="3432" t="s">
        <v>2876</v>
      </c>
      <c r="R51" s="3432" t="s">
        <v>2983</v>
      </c>
    </row>
    <row r="52" spans="1:18" ht="14.25" customHeight="1">
      <c r="A52" s="3423" t="s">
        <v>1145</v>
      </c>
      <c r="B52" s="3423" t="s">
        <v>2825</v>
      </c>
      <c r="C52" s="3423">
        <v>26660</v>
      </c>
      <c r="D52" s="3423">
        <v>22350</v>
      </c>
      <c r="E52" s="3423">
        <v>22920</v>
      </c>
      <c r="F52" s="3429"/>
      <c r="G52" s="3429">
        <v>15640</v>
      </c>
      <c r="I52" s="1024"/>
      <c r="O52" s="3432" t="s">
        <v>2877</v>
      </c>
    </row>
    <row r="53" spans="1:18" ht="14.25" customHeight="1">
      <c r="A53" s="3423" t="s">
        <v>1145</v>
      </c>
      <c r="B53" s="3423" t="s">
        <v>2826</v>
      </c>
      <c r="C53" s="3423">
        <v>23580</v>
      </c>
      <c r="D53" s="3423"/>
      <c r="E53" s="3423">
        <v>24280</v>
      </c>
      <c r="F53" s="3429"/>
      <c r="G53" s="3429"/>
      <c r="I53" s="1024"/>
      <c r="O53" s="3432" t="s">
        <v>2878</v>
      </c>
    </row>
    <row r="54" spans="1:18" ht="14.25" customHeight="1" thickBot="1">
      <c r="A54" s="3438" t="s">
        <v>1145</v>
      </c>
      <c r="B54" s="3426" t="s">
        <v>2827</v>
      </c>
      <c r="C54" s="3426">
        <v>22460</v>
      </c>
      <c r="D54" s="3426"/>
      <c r="E54" s="3426"/>
      <c r="F54" s="3427"/>
      <c r="G54" s="3439"/>
      <c r="I54" s="1024"/>
      <c r="O54" s="3432" t="s">
        <v>2879</v>
      </c>
    </row>
    <row r="55" spans="1:18" ht="14.25" customHeight="1">
      <c r="A55" s="3437" t="s">
        <v>853</v>
      </c>
      <c r="B55" s="1289" t="s">
        <v>2828</v>
      </c>
      <c r="C55" s="1289">
        <v>21970</v>
      </c>
      <c r="D55" s="1289">
        <v>20370</v>
      </c>
      <c r="E55" s="1289">
        <v>20180</v>
      </c>
      <c r="F55" s="3424">
        <v>5730</v>
      </c>
      <c r="G55" s="3424">
        <v>13820</v>
      </c>
      <c r="I55" s="1024"/>
      <c r="O55" s="3432" t="s">
        <v>2880</v>
      </c>
    </row>
    <row r="56" spans="1:18" ht="14.25" customHeight="1">
      <c r="A56" s="3423" t="s">
        <v>853</v>
      </c>
      <c r="B56" s="3423" t="s">
        <v>975</v>
      </c>
      <c r="C56" s="3423">
        <v>20470</v>
      </c>
      <c r="D56" s="3423">
        <v>20700</v>
      </c>
      <c r="E56" s="3423">
        <v>20380</v>
      </c>
      <c r="F56" s="3429">
        <v>4760</v>
      </c>
      <c r="G56" s="3429">
        <v>14050</v>
      </c>
      <c r="I56" s="1024"/>
      <c r="O56" s="3432" t="s">
        <v>2881</v>
      </c>
    </row>
    <row r="57" spans="1:18" ht="14.25" customHeight="1">
      <c r="A57" s="3423" t="s">
        <v>853</v>
      </c>
      <c r="B57" s="3423" t="s">
        <v>985</v>
      </c>
      <c r="C57" s="3423">
        <v>20790</v>
      </c>
      <c r="D57" s="3423">
        <v>21370</v>
      </c>
      <c r="E57" s="3423">
        <v>20890</v>
      </c>
      <c r="F57" s="3429">
        <v>4910</v>
      </c>
      <c r="G57" s="3429">
        <v>14510</v>
      </c>
      <c r="I57" s="1024"/>
      <c r="O57" s="3432" t="s">
        <v>2882</v>
      </c>
    </row>
    <row r="58" spans="1:18" ht="14.25" customHeight="1">
      <c r="A58" s="3423" t="s">
        <v>853</v>
      </c>
      <c r="B58" s="3423" t="s">
        <v>994</v>
      </c>
      <c r="C58" s="3423">
        <v>21460</v>
      </c>
      <c r="D58" s="3423">
        <v>20920</v>
      </c>
      <c r="E58" s="3423">
        <v>23410</v>
      </c>
      <c r="F58" s="3429">
        <v>5100</v>
      </c>
      <c r="G58" s="3429">
        <v>14200</v>
      </c>
      <c r="I58" s="1024"/>
      <c r="O58" s="3432" t="s">
        <v>2883</v>
      </c>
    </row>
    <row r="59" spans="1:18" ht="14.25" customHeight="1">
      <c r="A59" s="3423" t="s">
        <v>853</v>
      </c>
      <c r="B59" s="3423" t="s">
        <v>1004</v>
      </c>
      <c r="C59" s="3423">
        <v>21000</v>
      </c>
      <c r="D59" s="3423">
        <v>21550</v>
      </c>
      <c r="E59" s="3423">
        <v>21150</v>
      </c>
      <c r="F59" s="3429">
        <v>5250</v>
      </c>
      <c r="G59" s="3429">
        <v>14630</v>
      </c>
      <c r="I59" s="1024"/>
      <c r="O59" s="3432" t="s">
        <v>2884</v>
      </c>
    </row>
    <row r="60" spans="1:18" ht="14.25" customHeight="1">
      <c r="A60" s="3423" t="s">
        <v>853</v>
      </c>
      <c r="B60" s="3423" t="s">
        <v>1011</v>
      </c>
      <c r="C60" s="3423">
        <v>21640</v>
      </c>
      <c r="D60" s="3423">
        <v>21260</v>
      </c>
      <c r="E60" s="3423">
        <v>24040</v>
      </c>
      <c r="F60" s="3429">
        <v>4470</v>
      </c>
      <c r="G60" s="3429">
        <v>14430</v>
      </c>
      <c r="I60" s="1024"/>
      <c r="O60" s="3432" t="s">
        <v>2885</v>
      </c>
    </row>
    <row r="61" spans="1:18" ht="14.25" customHeight="1">
      <c r="A61" s="3423" t="s">
        <v>853</v>
      </c>
      <c r="B61" s="3423" t="s">
        <v>1017</v>
      </c>
      <c r="C61" s="3423">
        <v>21330</v>
      </c>
      <c r="D61" s="3423">
        <v>18640</v>
      </c>
      <c r="E61" s="3423">
        <v>21190</v>
      </c>
      <c r="F61" s="3429">
        <v>4180</v>
      </c>
      <c r="G61" s="3431">
        <v>12650</v>
      </c>
      <c r="I61" s="1024"/>
      <c r="O61" s="3432" t="s">
        <v>2886</v>
      </c>
    </row>
    <row r="62" spans="1:18" ht="14.25" customHeight="1">
      <c r="A62" s="3423" t="s">
        <v>853</v>
      </c>
      <c r="B62" s="3423" t="s">
        <v>1024</v>
      </c>
      <c r="C62" s="3423">
        <v>18710</v>
      </c>
      <c r="D62" s="3423">
        <v>19400</v>
      </c>
      <c r="E62" s="3423">
        <v>23750</v>
      </c>
      <c r="F62" s="3429">
        <v>4860</v>
      </c>
      <c r="G62" s="3431">
        <v>13170</v>
      </c>
      <c r="I62" s="1024"/>
      <c r="O62" s="3432" t="s">
        <v>2887</v>
      </c>
    </row>
    <row r="63" spans="1:18" ht="14.25" customHeight="1">
      <c r="A63" s="3423" t="s">
        <v>853</v>
      </c>
      <c r="B63" s="3423" t="s">
        <v>1034</v>
      </c>
      <c r="C63" s="3423">
        <v>19480</v>
      </c>
      <c r="D63" s="3423">
        <v>16830</v>
      </c>
      <c r="E63" s="3423">
        <v>21590</v>
      </c>
      <c r="F63" s="3429">
        <v>4560</v>
      </c>
      <c r="G63" s="3431">
        <v>11420</v>
      </c>
      <c r="I63" s="1024"/>
      <c r="O63" s="3432" t="s">
        <v>2888</v>
      </c>
    </row>
    <row r="64" spans="1:18" ht="14.25" customHeight="1">
      <c r="A64" s="3423" t="s">
        <v>853</v>
      </c>
      <c r="B64" s="3423" t="s">
        <v>1043</v>
      </c>
      <c r="C64" s="3423">
        <v>16920</v>
      </c>
      <c r="D64" s="3423">
        <v>19190</v>
      </c>
      <c r="E64" s="3423">
        <v>22200</v>
      </c>
      <c r="F64" s="3429">
        <v>4390</v>
      </c>
      <c r="G64" s="3431">
        <v>13030</v>
      </c>
      <c r="I64" s="1024"/>
      <c r="O64" s="3432" t="s">
        <v>2889</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2829</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2830</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2831</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2832</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2833</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2834</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2835</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2836</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2837</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2838</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2839</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2840</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2841</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2842</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2843</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2844</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2845</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2846</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2847</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2848</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2849</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2850</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2851</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2852</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2853</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2854</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2855</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2856</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2857</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2858</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2859</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2860</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2861</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2862</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2863</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2864</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2865</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2866</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2867</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2868</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2869</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2870</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2871</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2872</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2873</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2874</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2875</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2876</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2877</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2878</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2879</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2880</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2881</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2882</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2883</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2884</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2885</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2886</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2887</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2888</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2889</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2890</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2891</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2892</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2893</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2894</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2895</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2896</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2897</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2898</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2899</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2900</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2901</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2902</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2903</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2904</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2905</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2906</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2907</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2908</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2909</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2910</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2911</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2912</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2913</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2914</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2915</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2916</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2917</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2918</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2919</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2920</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2921</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2922</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2923</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2924</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2925</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2926</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2927</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2928</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2929</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2930</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2931</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2932</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2933</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2934</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2935</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2936</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2937</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2938</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2939</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2940</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2941</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2942</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2943</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2944</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2945</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2946</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2947</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2948</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2949</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2950</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2951</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2952</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2953</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2954</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2955</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2956</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2957</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2958</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2959</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2960</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2961</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2962</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2963</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2964</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2965</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2966</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2967</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2968</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2969</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2970</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2971</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2972</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2973</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2974</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2975</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2976</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2977</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2978</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2979</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2980</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2981</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2982</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2983</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2984</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2985</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2986</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2987</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2988</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2989</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2990</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2991</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2992</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2993</v>
      </c>
      <c r="C345" s="3432">
        <v>3190</v>
      </c>
      <c r="D345" s="3432">
        <v>3140</v>
      </c>
      <c r="E345" s="3432">
        <v>3450</v>
      </c>
      <c r="F345" s="3432">
        <v>720</v>
      </c>
      <c r="G345" s="3432">
        <v>1880</v>
      </c>
      <c r="H345" s="3445"/>
    </row>
    <row r="346" spans="1:21">
      <c r="A346" s="3432" t="s">
        <v>1157</v>
      </c>
      <c r="B346" s="3432" t="s">
        <v>2994</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2995</v>
      </c>
      <c r="C348" s="3432">
        <v>4000</v>
      </c>
      <c r="D348" s="3432">
        <v>3950</v>
      </c>
      <c r="E348" s="3432">
        <v>4430</v>
      </c>
      <c r="F348" s="3432">
        <v>760</v>
      </c>
      <c r="G348" s="3432">
        <v>2360</v>
      </c>
      <c r="H348" s="3445"/>
    </row>
    <row r="349" spans="1:21">
      <c r="A349" s="3432" t="s">
        <v>1157</v>
      </c>
      <c r="B349" s="3432" t="s">
        <v>2996</v>
      </c>
      <c r="C349" s="3432">
        <v>3820</v>
      </c>
      <c r="D349" s="3432">
        <v>3780</v>
      </c>
      <c r="E349" s="3432">
        <v>4170</v>
      </c>
      <c r="F349" s="3432">
        <v>710</v>
      </c>
      <c r="G349" s="3432">
        <v>2260</v>
      </c>
      <c r="H349" s="3445"/>
    </row>
    <row r="350" spans="1:21">
      <c r="A350" s="3432" t="s">
        <v>1157</v>
      </c>
      <c r="B350" s="3432" t="s">
        <v>2997</v>
      </c>
      <c r="C350" s="3432">
        <v>3760</v>
      </c>
      <c r="D350" s="3432">
        <v>3730</v>
      </c>
      <c r="E350" s="3432">
        <v>4100</v>
      </c>
      <c r="F350" s="3432">
        <v>800</v>
      </c>
      <c r="G350" s="3432">
        <v>2230</v>
      </c>
      <c r="H350" s="3445"/>
    </row>
    <row r="351" spans="1:21">
      <c r="A351" s="3432" t="s">
        <v>1157</v>
      </c>
      <c r="B351" s="3432" t="s">
        <v>2998</v>
      </c>
      <c r="C351" s="3432">
        <v>3610</v>
      </c>
      <c r="D351" s="3432">
        <v>3580</v>
      </c>
      <c r="E351" s="3432">
        <v>3930</v>
      </c>
      <c r="F351" s="3432">
        <v>700</v>
      </c>
      <c r="G351" s="3432">
        <v>2140</v>
      </c>
      <c r="H351" s="3445"/>
    </row>
    <row r="352" spans="1:21">
      <c r="A352" s="3432" t="s">
        <v>1157</v>
      </c>
      <c r="B352" s="3432" t="s">
        <v>2999</v>
      </c>
      <c r="C352" s="3432">
        <v>3670</v>
      </c>
      <c r="D352" s="3432">
        <v>3630</v>
      </c>
      <c r="E352" s="3432">
        <v>4000</v>
      </c>
      <c r="F352" s="3432">
        <v>750</v>
      </c>
      <c r="G352" s="3432">
        <v>2180</v>
      </c>
      <c r="H352" s="3445"/>
    </row>
    <row r="353" spans="1:8">
      <c r="A353" s="3432" t="s">
        <v>1157</v>
      </c>
      <c r="B353" s="3432" t="s">
        <v>3000</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3001</v>
      </c>
      <c r="C355" s="3432">
        <v>3650</v>
      </c>
      <c r="D355" s="3432">
        <v>3610</v>
      </c>
      <c r="E355" s="3432">
        <v>4200</v>
      </c>
      <c r="F355" s="3432">
        <v>640</v>
      </c>
      <c r="G355" s="3432">
        <v>2160</v>
      </c>
      <c r="H355" s="3445"/>
    </row>
    <row r="356" spans="1:8">
      <c r="A356" s="3432" t="s">
        <v>1157</v>
      </c>
      <c r="B356" s="3432" t="s">
        <v>3002</v>
      </c>
      <c r="C356" s="3432">
        <v>3260</v>
      </c>
      <c r="D356" s="3432">
        <v>3230</v>
      </c>
      <c r="E356" s="3432">
        <v>3740</v>
      </c>
      <c r="F356" s="3432">
        <v>600</v>
      </c>
      <c r="G356" s="3432">
        <v>1930</v>
      </c>
      <c r="H356" s="3445"/>
    </row>
    <row r="357" spans="1:8" ht="15" thickBot="1">
      <c r="A357" s="3448" t="s">
        <v>1157</v>
      </c>
      <c r="B357" s="3448" t="s">
        <v>3003</v>
      </c>
      <c r="C357" s="3448">
        <v>3690</v>
      </c>
      <c r="D357" s="3448">
        <v>3650</v>
      </c>
      <c r="E357" s="3448">
        <v>4020</v>
      </c>
      <c r="F357" s="3448">
        <v>700</v>
      </c>
      <c r="G357" s="3448">
        <v>2190</v>
      </c>
      <c r="H357" s="3445"/>
    </row>
    <row r="358" spans="1:8">
      <c r="A358" s="3449" t="s">
        <v>2761</v>
      </c>
      <c r="B358" s="3450" t="s">
        <v>3004</v>
      </c>
      <c r="C358" s="3450">
        <v>2080</v>
      </c>
      <c r="D358" s="3450">
        <v>2040</v>
      </c>
      <c r="E358" s="3450">
        <v>2010</v>
      </c>
      <c r="F358" s="3450">
        <v>530</v>
      </c>
      <c r="G358" s="3451">
        <v>1230</v>
      </c>
      <c r="H358" s="3445"/>
    </row>
    <row r="359" spans="1:8">
      <c r="A359" s="3452" t="s">
        <v>2761</v>
      </c>
      <c r="B359" s="3432" t="s">
        <v>3005</v>
      </c>
      <c r="C359" s="3432">
        <v>1850</v>
      </c>
      <c r="D359" s="3432">
        <v>1820</v>
      </c>
      <c r="E359" s="3432">
        <v>1780</v>
      </c>
      <c r="F359" s="3432">
        <v>520</v>
      </c>
      <c r="G359" s="3444">
        <v>1100</v>
      </c>
      <c r="H359" s="3445"/>
    </row>
    <row r="360" spans="1:8">
      <c r="A360" s="3452" t="s">
        <v>2761</v>
      </c>
      <c r="B360" s="3432" t="s">
        <v>3006</v>
      </c>
      <c r="C360" s="3432">
        <v>2020</v>
      </c>
      <c r="D360" s="3432">
        <v>1990</v>
      </c>
      <c r="E360" s="3432">
        <v>1950</v>
      </c>
      <c r="F360" s="3432">
        <v>500</v>
      </c>
      <c r="G360" s="3444">
        <v>1200</v>
      </c>
      <c r="H360" s="3445"/>
    </row>
    <row r="361" spans="1:8">
      <c r="A361" s="3452" t="s">
        <v>2761</v>
      </c>
      <c r="B361" s="3432" t="s">
        <v>999</v>
      </c>
      <c r="C361" s="3432">
        <v>2260</v>
      </c>
      <c r="D361" s="3432">
        <v>2220</v>
      </c>
      <c r="E361" s="3432">
        <v>2180</v>
      </c>
      <c r="F361" s="3432">
        <v>580</v>
      </c>
      <c r="G361" s="3444">
        <v>1340</v>
      </c>
      <c r="H361" s="3445"/>
    </row>
    <row r="362" spans="1:8">
      <c r="A362" s="3452" t="s">
        <v>2761</v>
      </c>
      <c r="B362" s="3432" t="s">
        <v>3007</v>
      </c>
      <c r="C362" s="3432">
        <v>2650</v>
      </c>
      <c r="D362" s="3432">
        <v>2610</v>
      </c>
      <c r="E362" s="3432">
        <v>2570</v>
      </c>
      <c r="F362" s="3432">
        <v>630</v>
      </c>
      <c r="G362" s="3444">
        <v>1570</v>
      </c>
      <c r="H362" s="3445"/>
    </row>
    <row r="363" spans="1:8">
      <c r="A363" s="3452" t="s">
        <v>2761</v>
      </c>
      <c r="B363" s="3432" t="s">
        <v>3008</v>
      </c>
      <c r="C363" s="3432">
        <v>2390</v>
      </c>
      <c r="D363" s="3432">
        <v>2360</v>
      </c>
      <c r="E363" s="3432">
        <v>2320</v>
      </c>
      <c r="F363" s="3432">
        <v>600</v>
      </c>
      <c r="G363" s="3444">
        <v>1420</v>
      </c>
      <c r="H363" s="3445"/>
    </row>
    <row r="364" spans="1:8">
      <c r="A364" s="3452" t="s">
        <v>2761</v>
      </c>
      <c r="B364" s="3432" t="s">
        <v>3009</v>
      </c>
      <c r="C364" s="3432">
        <v>2050</v>
      </c>
      <c r="D364" s="3432">
        <v>2030</v>
      </c>
      <c r="E364" s="3432">
        <v>1990</v>
      </c>
      <c r="F364" s="3432">
        <v>550</v>
      </c>
      <c r="G364" s="3444">
        <v>1220</v>
      </c>
      <c r="H364" s="3445"/>
    </row>
    <row r="365" spans="1:8">
      <c r="A365" s="3452" t="s">
        <v>2761</v>
      </c>
      <c r="B365" s="3432" t="s">
        <v>1047</v>
      </c>
      <c r="C365" s="3432">
        <v>2140</v>
      </c>
      <c r="D365" s="3432">
        <v>2100</v>
      </c>
      <c r="E365" s="3432">
        <v>2060</v>
      </c>
      <c r="F365" s="3432">
        <v>540</v>
      </c>
      <c r="G365" s="3444">
        <v>1270</v>
      </c>
      <c r="H365" s="3445"/>
    </row>
    <row r="366" spans="1:8">
      <c r="A366" s="3452" t="s">
        <v>2761</v>
      </c>
      <c r="B366" s="3432" t="s">
        <v>3010</v>
      </c>
      <c r="C366" s="3432">
        <v>2410</v>
      </c>
      <c r="D366" s="3432">
        <v>2370</v>
      </c>
      <c r="E366" s="3432">
        <v>2330</v>
      </c>
      <c r="F366" s="3432">
        <v>570</v>
      </c>
      <c r="G366" s="3444">
        <v>1440</v>
      </c>
      <c r="H366" s="3445"/>
    </row>
    <row r="367" spans="1:8">
      <c r="A367" s="3452" t="s">
        <v>2761</v>
      </c>
      <c r="B367" s="3432" t="s">
        <v>3011</v>
      </c>
      <c r="C367" s="3432">
        <v>2300</v>
      </c>
      <c r="D367" s="3432">
        <v>2260</v>
      </c>
      <c r="E367" s="3432">
        <v>2220</v>
      </c>
      <c r="F367" s="3432">
        <v>560</v>
      </c>
      <c r="G367" s="3444">
        <v>1370</v>
      </c>
      <c r="H367" s="3445"/>
    </row>
    <row r="368" spans="1:8">
      <c r="A368" s="3452" t="s">
        <v>2761</v>
      </c>
      <c r="B368" s="3432" t="s">
        <v>3012</v>
      </c>
      <c r="C368" s="3432">
        <v>2430</v>
      </c>
      <c r="D368" s="3432">
        <v>2390</v>
      </c>
      <c r="E368" s="3432">
        <v>2350</v>
      </c>
      <c r="F368" s="3432">
        <v>570</v>
      </c>
      <c r="G368" s="3444">
        <v>1450</v>
      </c>
      <c r="H368" s="3445"/>
    </row>
    <row r="369" spans="1:8">
      <c r="A369" s="3452" t="s">
        <v>2761</v>
      </c>
      <c r="B369" s="3432" t="s">
        <v>1061</v>
      </c>
      <c r="C369" s="3432">
        <v>2320</v>
      </c>
      <c r="D369" s="3432">
        <v>2290</v>
      </c>
      <c r="E369" s="3432">
        <v>2250</v>
      </c>
      <c r="F369" s="3432">
        <v>550</v>
      </c>
      <c r="G369" s="3444">
        <v>1380</v>
      </c>
      <c r="H369" s="3445"/>
    </row>
    <row r="370" spans="1:8">
      <c r="A370" s="3452" t="s">
        <v>2761</v>
      </c>
      <c r="B370" s="3432" t="s">
        <v>1069</v>
      </c>
      <c r="C370" s="3432">
        <v>2190</v>
      </c>
      <c r="D370" s="3432">
        <v>2170</v>
      </c>
      <c r="E370" s="3432">
        <v>2130</v>
      </c>
      <c r="F370" s="3432">
        <v>530</v>
      </c>
      <c r="G370" s="3444">
        <v>1310</v>
      </c>
      <c r="H370" s="3445"/>
    </row>
    <row r="371" spans="1:8">
      <c r="A371" s="3452" t="s">
        <v>2761</v>
      </c>
      <c r="B371" s="3432" t="s">
        <v>1077</v>
      </c>
      <c r="C371" s="3432">
        <v>2460</v>
      </c>
      <c r="D371" s="3432">
        <v>2420</v>
      </c>
      <c r="E371" s="3432">
        <v>2370</v>
      </c>
      <c r="F371" s="3432">
        <v>560</v>
      </c>
      <c r="G371" s="3444">
        <v>1470</v>
      </c>
      <c r="H371" s="3445"/>
    </row>
    <row r="372" spans="1:8">
      <c r="A372" s="3452" t="s">
        <v>2761</v>
      </c>
      <c r="B372" s="3432" t="s">
        <v>3013</v>
      </c>
      <c r="C372" s="3432">
        <v>2250</v>
      </c>
      <c r="D372" s="3432">
        <v>2210</v>
      </c>
      <c r="E372" s="3432">
        <v>2180</v>
      </c>
      <c r="F372" s="3432">
        <v>550</v>
      </c>
      <c r="G372" s="3444">
        <v>1340</v>
      </c>
      <c r="H372" s="3445"/>
    </row>
    <row r="373" spans="1:8">
      <c r="A373" s="3452" t="s">
        <v>2761</v>
      </c>
      <c r="B373" s="3432" t="s">
        <v>1106</v>
      </c>
      <c r="C373" s="3432">
        <v>2210</v>
      </c>
      <c r="D373" s="3432">
        <v>2190</v>
      </c>
      <c r="E373" s="3432">
        <v>2150</v>
      </c>
      <c r="F373" s="3432">
        <v>530</v>
      </c>
      <c r="G373" s="3444">
        <v>1320</v>
      </c>
      <c r="H373" s="3445"/>
    </row>
    <row r="374" spans="1:8">
      <c r="A374" s="3452" t="s">
        <v>2761</v>
      </c>
      <c r="B374" s="3432" t="s">
        <v>1114</v>
      </c>
      <c r="C374" s="3432">
        <v>2320</v>
      </c>
      <c r="D374" s="3432">
        <v>2280</v>
      </c>
      <c r="E374" s="3432">
        <v>2230</v>
      </c>
      <c r="F374" s="3432">
        <v>580</v>
      </c>
      <c r="G374" s="3444">
        <v>1380</v>
      </c>
      <c r="H374" s="3445"/>
    </row>
    <row r="375" spans="1:8">
      <c r="A375" s="3452" t="s">
        <v>2761</v>
      </c>
      <c r="B375" s="3432" t="s">
        <v>3014</v>
      </c>
      <c r="C375" s="3432">
        <v>2090</v>
      </c>
      <c r="D375" s="3432">
        <v>2050</v>
      </c>
      <c r="E375" s="3432">
        <v>2020</v>
      </c>
      <c r="F375" s="3432">
        <v>520</v>
      </c>
      <c r="G375" s="3444">
        <v>1240</v>
      </c>
      <c r="H375" s="3445"/>
    </row>
    <row r="376" spans="1:8">
      <c r="A376" s="3452" t="s">
        <v>2761</v>
      </c>
      <c r="B376" s="3432" t="s">
        <v>1126</v>
      </c>
      <c r="C376" s="3432">
        <v>2010</v>
      </c>
      <c r="D376" s="3432">
        <v>1980</v>
      </c>
      <c r="E376" s="3432">
        <v>1940</v>
      </c>
      <c r="F376" s="3432">
        <v>540</v>
      </c>
      <c r="G376" s="3444">
        <v>1190</v>
      </c>
      <c r="H376" s="3445"/>
    </row>
    <row r="377" spans="1:8" ht="15" thickBot="1">
      <c r="A377" s="3454" t="s">
        <v>2761</v>
      </c>
      <c r="B377" s="3448" t="s">
        <v>3015</v>
      </c>
      <c r="C377" s="3448">
        <v>1930</v>
      </c>
      <c r="D377" s="3448">
        <v>1890</v>
      </c>
      <c r="E377" s="3448">
        <v>1860</v>
      </c>
      <c r="F377" s="3448">
        <v>530</v>
      </c>
      <c r="G377" s="3455">
        <v>1150</v>
      </c>
      <c r="H377" s="3445"/>
    </row>
    <row r="378" spans="1:8">
      <c r="A378" s="3449" t="s">
        <v>2762</v>
      </c>
      <c r="B378" s="3450" t="s">
        <v>3016</v>
      </c>
      <c r="C378" s="3450">
        <v>1520</v>
      </c>
      <c r="D378" s="3450">
        <v>1490</v>
      </c>
      <c r="E378" s="3450">
        <v>1460</v>
      </c>
      <c r="F378" s="3450">
        <v>460</v>
      </c>
      <c r="G378" s="3451">
        <v>940</v>
      </c>
      <c r="H378" s="3445"/>
    </row>
    <row r="379" spans="1:8">
      <c r="A379" s="3452" t="s">
        <v>2762</v>
      </c>
      <c r="B379" s="3432" t="s">
        <v>3017</v>
      </c>
      <c r="C379" s="3432">
        <v>1500</v>
      </c>
      <c r="D379" s="3432">
        <v>1470</v>
      </c>
      <c r="E379" s="3432">
        <v>1430</v>
      </c>
      <c r="F379" s="3432">
        <v>460</v>
      </c>
      <c r="G379" s="3444">
        <v>920</v>
      </c>
      <c r="H379" s="3445"/>
    </row>
    <row r="380" spans="1:8">
      <c r="A380" s="3452" t="s">
        <v>2762</v>
      </c>
      <c r="B380" s="3432" t="s">
        <v>3018</v>
      </c>
      <c r="C380" s="3432">
        <v>1620</v>
      </c>
      <c r="D380" s="3432">
        <v>1590</v>
      </c>
      <c r="E380" s="3432">
        <v>1560</v>
      </c>
      <c r="F380" s="3432">
        <v>480</v>
      </c>
      <c r="G380" s="3444">
        <v>1000</v>
      </c>
      <c r="H380" s="3445"/>
    </row>
    <row r="381" spans="1:8">
      <c r="A381" s="3452" t="s">
        <v>2762</v>
      </c>
      <c r="B381" s="3432" t="s">
        <v>3019</v>
      </c>
      <c r="C381" s="3432">
        <v>1460</v>
      </c>
      <c r="D381" s="3432">
        <v>1430</v>
      </c>
      <c r="E381" s="3432">
        <v>1390</v>
      </c>
      <c r="F381" s="3432">
        <v>450</v>
      </c>
      <c r="G381" s="3444">
        <v>900</v>
      </c>
      <c r="H381" s="3445"/>
    </row>
    <row r="382" spans="1:8">
      <c r="A382" s="3452" t="s">
        <v>2762</v>
      </c>
      <c r="B382" s="3432" t="s">
        <v>3020</v>
      </c>
      <c r="C382" s="3432">
        <v>1310</v>
      </c>
      <c r="D382" s="3432">
        <v>1280</v>
      </c>
      <c r="E382" s="3432">
        <v>1250</v>
      </c>
      <c r="F382" s="3432">
        <v>440</v>
      </c>
      <c r="G382" s="3444">
        <v>800</v>
      </c>
      <c r="H382" s="3445"/>
    </row>
    <row r="383" spans="1:8">
      <c r="A383" s="3452" t="s">
        <v>2762</v>
      </c>
      <c r="B383" s="3432" t="s">
        <v>3021</v>
      </c>
      <c r="C383" s="3432">
        <v>1260</v>
      </c>
      <c r="D383" s="3432">
        <v>1230</v>
      </c>
      <c r="E383" s="3432">
        <v>1200</v>
      </c>
      <c r="F383" s="3432">
        <v>420</v>
      </c>
      <c r="G383" s="3444">
        <v>770</v>
      </c>
      <c r="H383" s="3445"/>
    </row>
    <row r="384" spans="1:8" ht="15" thickBot="1">
      <c r="A384" s="3453" t="s">
        <v>2762</v>
      </c>
      <c r="B384" s="3447" t="s">
        <v>3022</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75" t="s">
        <v>3185</v>
      </c>
      <c r="B1" s="3975"/>
      <c r="C1" s="3975"/>
      <c r="D1" s="3975"/>
      <c r="E1" s="3975"/>
      <c r="F1" s="3976"/>
    </row>
    <row r="2" spans="1:6">
      <c r="A2" s="3499" t="s">
        <v>3186</v>
      </c>
      <c r="B2" s="3500"/>
      <c r="C2" s="3500"/>
      <c r="D2" s="3500"/>
      <c r="E2" s="3500"/>
      <c r="F2" s="3500"/>
    </row>
    <row r="3" spans="1:6">
      <c r="A3" s="3499" t="s">
        <v>3187</v>
      </c>
      <c r="B3" s="3500"/>
      <c r="C3" s="3500"/>
      <c r="D3" s="3500"/>
      <c r="E3" s="3500"/>
      <c r="F3" s="3501" t="s">
        <v>3188</v>
      </c>
    </row>
    <row r="4" spans="1:6">
      <c r="A4" s="3502" t="s">
        <v>3183</v>
      </c>
      <c r="B4" s="3502" t="s">
        <v>2738</v>
      </c>
      <c r="C4" s="3502" t="s">
        <v>1212</v>
      </c>
      <c r="D4" s="3502" t="s">
        <v>3184</v>
      </c>
      <c r="E4" s="3502" t="s">
        <v>905</v>
      </c>
      <c r="F4" s="3502" t="s">
        <v>3189</v>
      </c>
    </row>
    <row r="5" spans="1:6">
      <c r="A5" s="3503" t="s">
        <v>2760</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2774</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2775</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2776</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2777</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2778</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77" t="s">
        <v>3023</v>
      </c>
      <c r="B1" s="3977"/>
    </row>
    <row r="2" spans="1:7" ht="15" thickBot="1">
      <c r="A2" s="3464"/>
      <c r="B2" s="3464"/>
    </row>
    <row r="3" spans="1:7" ht="15" thickBot="1">
      <c r="A3" s="3464"/>
      <c r="B3" s="3464"/>
      <c r="C3" s="3465" t="s">
        <v>3024</v>
      </c>
      <c r="D3" s="3465" t="s">
        <v>3025</v>
      </c>
      <c r="E3" s="3465" t="s">
        <v>3026</v>
      </c>
      <c r="F3" s="3465" t="s">
        <v>3027</v>
      </c>
      <c r="G3" s="3465" t="s">
        <v>3028</v>
      </c>
    </row>
    <row r="4" spans="1:7" ht="15" thickBot="1">
      <c r="A4" s="3466" t="s">
        <v>3029</v>
      </c>
      <c r="B4" s="3467" t="s">
        <v>3030</v>
      </c>
      <c r="C4" s="3465"/>
      <c r="D4" s="3465"/>
      <c r="E4" s="3465"/>
      <c r="F4" s="3465"/>
      <c r="G4" s="3465"/>
    </row>
    <row r="5" spans="1:7">
      <c r="A5" s="3468" t="s">
        <v>3031</v>
      </c>
      <c r="B5" s="3469" t="s">
        <v>3032</v>
      </c>
      <c r="C5" s="3470">
        <v>9.8000000000000004E-2</v>
      </c>
      <c r="D5" s="3470">
        <v>8.6999999999999994E-2</v>
      </c>
      <c r="E5" s="3470">
        <v>8.6999999999999994E-2</v>
      </c>
      <c r="F5" s="3470">
        <v>9.8000000000000004E-2</v>
      </c>
      <c r="G5" s="3471">
        <v>9.5000000000000001E-2</v>
      </c>
    </row>
    <row r="6" spans="1:7">
      <c r="A6" s="3472" t="s">
        <v>990</v>
      </c>
      <c r="B6" s="3473" t="s">
        <v>3033</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3034</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3035</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2821</v>
      </c>
      <c r="C29" s="3482"/>
      <c r="D29" s="3478">
        <v>5.1999999999999998E-2</v>
      </c>
      <c r="E29" s="3478">
        <v>7.0000000000000007E-2</v>
      </c>
      <c r="F29" s="3482"/>
      <c r="G29" s="3480">
        <v>7.0999999999999994E-2</v>
      </c>
    </row>
    <row r="30" spans="1:7">
      <c r="A30" s="3483" t="s">
        <v>1145</v>
      </c>
      <c r="B30" s="3469" t="s">
        <v>3036</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3037</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2823</v>
      </c>
      <c r="C50" s="3474">
        <v>9.8000000000000004E-2</v>
      </c>
      <c r="D50" s="3474">
        <v>7.2999999999999995E-2</v>
      </c>
      <c r="E50" s="3474">
        <v>7.0999999999999994E-2</v>
      </c>
      <c r="F50" s="3485"/>
      <c r="G50" s="3475">
        <v>7.2999999999999995E-2</v>
      </c>
    </row>
    <row r="51" spans="1:7">
      <c r="A51" s="3484" t="s">
        <v>1145</v>
      </c>
      <c r="B51" s="3473" t="s">
        <v>2824</v>
      </c>
      <c r="C51" s="3474">
        <v>9.9000000000000005E-2</v>
      </c>
      <c r="D51" s="3474">
        <v>8.5000000000000006E-2</v>
      </c>
      <c r="E51" s="3474">
        <v>6.3E-2</v>
      </c>
      <c r="F51" s="3485"/>
      <c r="G51" s="3475">
        <v>9.6000000000000002E-2</v>
      </c>
    </row>
    <row r="52" spans="1:7">
      <c r="A52" s="3484" t="s">
        <v>1145</v>
      </c>
      <c r="B52" s="3473" t="s">
        <v>2825</v>
      </c>
      <c r="C52" s="3474">
        <v>7.3999999999999996E-2</v>
      </c>
      <c r="D52" s="3474">
        <v>9.6000000000000002E-2</v>
      </c>
      <c r="E52" s="3474">
        <v>0.05</v>
      </c>
      <c r="F52" s="3485"/>
      <c r="G52" s="3475">
        <v>9.8000000000000004E-2</v>
      </c>
    </row>
    <row r="53" spans="1:7">
      <c r="A53" s="3484" t="s">
        <v>1145</v>
      </c>
      <c r="B53" s="3473" t="s">
        <v>2826</v>
      </c>
      <c r="C53" s="3474">
        <v>8.5999999999999993E-2</v>
      </c>
      <c r="D53" s="3485"/>
      <c r="E53" s="3474">
        <v>9.1999999999999998E-2</v>
      </c>
      <c r="F53" s="3485"/>
      <c r="G53" s="3486"/>
    </row>
    <row r="54" spans="1:7" ht="15" thickBot="1">
      <c r="A54" s="3487" t="s">
        <v>1145</v>
      </c>
      <c r="B54" s="3477" t="s">
        <v>2827</v>
      </c>
      <c r="C54" s="3478">
        <v>9.6000000000000002E-2</v>
      </c>
      <c r="D54" s="3479"/>
      <c r="E54" s="3488"/>
      <c r="F54" s="3479"/>
      <c r="G54" s="3489"/>
    </row>
    <row r="55" spans="1:7">
      <c r="A55" s="3483" t="s">
        <v>853</v>
      </c>
      <c r="B55" s="3469" t="s">
        <v>3038</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2829</v>
      </c>
      <c r="C78" s="3474">
        <v>0.1</v>
      </c>
      <c r="D78" s="3474">
        <v>8.5000000000000006E-2</v>
      </c>
      <c r="E78" s="3474">
        <v>9.6000000000000002E-2</v>
      </c>
      <c r="F78" s="3485"/>
      <c r="G78" s="3475">
        <v>9.6000000000000002E-2</v>
      </c>
    </row>
    <row r="79" spans="1:7">
      <c r="A79" s="3484" t="s">
        <v>853</v>
      </c>
      <c r="B79" s="3473" t="s">
        <v>2830</v>
      </c>
      <c r="C79" s="3474">
        <v>0.05</v>
      </c>
      <c r="D79" s="3474">
        <v>9.6000000000000002E-2</v>
      </c>
      <c r="E79" s="3474">
        <v>9.5000000000000001E-2</v>
      </c>
      <c r="F79" s="3485"/>
      <c r="G79" s="3475">
        <v>9.8000000000000004E-2</v>
      </c>
    </row>
    <row r="80" spans="1:7">
      <c r="A80" s="3484" t="s">
        <v>853</v>
      </c>
      <c r="B80" s="3473" t="s">
        <v>2831</v>
      </c>
      <c r="C80" s="3474">
        <v>8.5999999999999993E-2</v>
      </c>
      <c r="D80" s="3490"/>
      <c r="E80" s="3474">
        <v>0.1</v>
      </c>
      <c r="F80" s="3485"/>
      <c r="G80" s="3486"/>
    </row>
    <row r="81" spans="1:7">
      <c r="A81" s="3484" t="s">
        <v>853</v>
      </c>
      <c r="B81" s="3473" t="s">
        <v>2832</v>
      </c>
      <c r="C81" s="3474">
        <v>9.6000000000000002E-2</v>
      </c>
      <c r="D81" s="3485"/>
      <c r="E81" s="3474">
        <v>9.8000000000000004E-2</v>
      </c>
      <c r="F81" s="3485"/>
      <c r="G81" s="3486"/>
    </row>
    <row r="82" spans="1:7">
      <c r="A82" s="3484" t="s">
        <v>853</v>
      </c>
      <c r="B82" s="3473" t="s">
        <v>2833</v>
      </c>
      <c r="C82" s="3490"/>
      <c r="D82" s="3485"/>
      <c r="E82" s="3474">
        <v>7.6999999999999999E-2</v>
      </c>
      <c r="F82" s="3485"/>
      <c r="G82" s="3486"/>
    </row>
    <row r="83" spans="1:7">
      <c r="A83" s="3484" t="s">
        <v>853</v>
      </c>
      <c r="B83" s="3473" t="s">
        <v>3039</v>
      </c>
      <c r="C83" s="3485"/>
      <c r="D83" s="3485"/>
      <c r="E83" s="3485"/>
      <c r="F83" s="3474">
        <v>0.1</v>
      </c>
      <c r="G83" s="3491"/>
    </row>
    <row r="84" spans="1:7">
      <c r="A84" s="3484" t="s">
        <v>853</v>
      </c>
      <c r="B84" s="3473" t="s">
        <v>3040</v>
      </c>
      <c r="C84" s="3485"/>
      <c r="D84" s="3485"/>
      <c r="E84" s="3485"/>
      <c r="F84" s="3474">
        <v>0.1</v>
      </c>
      <c r="G84" s="3491"/>
    </row>
    <row r="85" spans="1:7">
      <c r="A85" s="3484" t="s">
        <v>853</v>
      </c>
      <c r="B85" s="3473" t="s">
        <v>3041</v>
      </c>
      <c r="C85" s="3485"/>
      <c r="D85" s="3485"/>
      <c r="E85" s="3485"/>
      <c r="F85" s="3474">
        <v>0.1</v>
      </c>
      <c r="G85" s="3491"/>
    </row>
    <row r="86" spans="1:7" ht="15" thickBot="1">
      <c r="A86" s="3487" t="s">
        <v>853</v>
      </c>
      <c r="B86" s="3477" t="s">
        <v>3042</v>
      </c>
      <c r="C86" s="3478">
        <v>9.8000000000000004E-2</v>
      </c>
      <c r="D86" s="3478">
        <v>9.8000000000000004E-2</v>
      </c>
      <c r="E86" s="3478">
        <v>9.6000000000000002E-2</v>
      </c>
      <c r="F86" s="3488"/>
      <c r="G86" s="3480">
        <v>0.1</v>
      </c>
    </row>
    <row r="87" spans="1:7">
      <c r="A87" s="3483" t="s">
        <v>1152</v>
      </c>
      <c r="B87" s="3469" t="s">
        <v>3043</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2839</v>
      </c>
      <c r="C113" s="3474">
        <v>0.1</v>
      </c>
      <c r="D113" s="3474">
        <v>0.1</v>
      </c>
      <c r="E113" s="3485"/>
      <c r="F113" s="3485"/>
      <c r="G113" s="3475">
        <v>0.1</v>
      </c>
    </row>
    <row r="114" spans="1:7">
      <c r="A114" s="3484" t="s">
        <v>1152</v>
      </c>
      <c r="B114" s="3473" t="s">
        <v>2840</v>
      </c>
      <c r="C114" s="3474">
        <v>9.7000000000000003E-2</v>
      </c>
      <c r="D114" s="3474">
        <v>9.7000000000000003E-2</v>
      </c>
      <c r="E114" s="3485"/>
      <c r="F114" s="3485"/>
      <c r="G114" s="3475">
        <v>9.9000000000000005E-2</v>
      </c>
    </row>
    <row r="115" spans="1:7">
      <c r="A115" s="3484" t="s">
        <v>1152</v>
      </c>
      <c r="B115" s="3473" t="s">
        <v>2841</v>
      </c>
      <c r="C115" s="3474">
        <v>0.1</v>
      </c>
      <c r="D115" s="3474">
        <v>0.1</v>
      </c>
      <c r="E115" s="3485"/>
      <c r="F115" s="3485"/>
      <c r="G115" s="3475">
        <v>0.1</v>
      </c>
    </row>
    <row r="116" spans="1:7">
      <c r="A116" s="3484" t="s">
        <v>1152</v>
      </c>
      <c r="B116" s="3473" t="s">
        <v>2842</v>
      </c>
      <c r="C116" s="3474">
        <v>0.1</v>
      </c>
      <c r="D116" s="3474">
        <v>0.1</v>
      </c>
      <c r="E116" s="3485"/>
      <c r="F116" s="3485"/>
      <c r="G116" s="3475">
        <v>0.1</v>
      </c>
    </row>
    <row r="117" spans="1:7">
      <c r="A117" s="3484" t="s">
        <v>1152</v>
      </c>
      <c r="B117" s="3473" t="s">
        <v>2843</v>
      </c>
      <c r="C117" s="3474">
        <v>9.7000000000000003E-2</v>
      </c>
      <c r="D117" s="3474">
        <v>9.7000000000000003E-2</v>
      </c>
      <c r="E117" s="3485"/>
      <c r="F117" s="3485"/>
      <c r="G117" s="3475">
        <v>9.7000000000000003E-2</v>
      </c>
    </row>
    <row r="118" spans="1:7">
      <c r="A118" s="3484" t="s">
        <v>1152</v>
      </c>
      <c r="B118" s="3473" t="s">
        <v>2844</v>
      </c>
      <c r="C118" s="3474">
        <v>0.1</v>
      </c>
      <c r="D118" s="3474">
        <v>0.1</v>
      </c>
      <c r="E118" s="3485"/>
      <c r="F118" s="3485"/>
      <c r="G118" s="3475">
        <v>0.1</v>
      </c>
    </row>
    <row r="119" spans="1:7">
      <c r="A119" s="3484" t="s">
        <v>1152</v>
      </c>
      <c r="B119" s="3473" t="s">
        <v>2845</v>
      </c>
      <c r="C119" s="3474">
        <v>5.0999999999999997E-2</v>
      </c>
      <c r="D119" s="3474">
        <v>5.1999999999999998E-2</v>
      </c>
      <c r="E119" s="3485"/>
      <c r="F119" s="3490"/>
      <c r="G119" s="3475">
        <v>0.06</v>
      </c>
    </row>
    <row r="120" spans="1:7">
      <c r="A120" s="3484" t="s">
        <v>1152</v>
      </c>
      <c r="B120" s="3473" t="s">
        <v>3044</v>
      </c>
      <c r="C120" s="3485"/>
      <c r="D120" s="3485"/>
      <c r="E120" s="3485"/>
      <c r="F120" s="3474">
        <v>0.1</v>
      </c>
      <c r="G120" s="3491"/>
    </row>
    <row r="121" spans="1:7">
      <c r="A121" s="3484" t="s">
        <v>1152</v>
      </c>
      <c r="B121" s="3473" t="s">
        <v>3045</v>
      </c>
      <c r="C121" s="3485"/>
      <c r="D121" s="3485"/>
      <c r="E121" s="3485"/>
      <c r="F121" s="3474">
        <v>0.1</v>
      </c>
      <c r="G121" s="3491"/>
    </row>
    <row r="122" spans="1:7">
      <c r="A122" s="3484" t="s">
        <v>1152</v>
      </c>
      <c r="B122" s="3473" t="s">
        <v>3046</v>
      </c>
      <c r="C122" s="3474">
        <v>0.1</v>
      </c>
      <c r="D122" s="3474">
        <v>0.1</v>
      </c>
      <c r="E122" s="3474">
        <v>9.8000000000000004E-2</v>
      </c>
      <c r="F122" s="3474">
        <v>0.1</v>
      </c>
      <c r="G122" s="3475">
        <v>0.1</v>
      </c>
    </row>
    <row r="123" spans="1:7">
      <c r="A123" s="3484" t="s">
        <v>1152</v>
      </c>
      <c r="B123" s="3473" t="s">
        <v>2849</v>
      </c>
      <c r="C123" s="3474">
        <v>0.1</v>
      </c>
      <c r="D123" s="3474">
        <v>0.1</v>
      </c>
      <c r="E123" s="3474">
        <v>9.8000000000000004E-2</v>
      </c>
      <c r="F123" s="3474">
        <v>0.1</v>
      </c>
      <c r="G123" s="3475">
        <v>0.1</v>
      </c>
    </row>
    <row r="124" spans="1:7">
      <c r="A124" s="3484" t="s">
        <v>1152</v>
      </c>
      <c r="B124" s="3473" t="s">
        <v>2850</v>
      </c>
      <c r="C124" s="3474">
        <v>0.1</v>
      </c>
      <c r="D124" s="3474">
        <v>0.1</v>
      </c>
      <c r="E124" s="3474">
        <v>9.8000000000000004E-2</v>
      </c>
      <c r="F124" s="3490"/>
      <c r="G124" s="3475">
        <v>0.1</v>
      </c>
    </row>
    <row r="125" spans="1:7">
      <c r="A125" s="3484" t="s">
        <v>1152</v>
      </c>
      <c r="B125" s="3473" t="s">
        <v>2851</v>
      </c>
      <c r="C125" s="3474">
        <v>9.8000000000000004E-2</v>
      </c>
      <c r="D125" s="3474">
        <v>9.8000000000000004E-2</v>
      </c>
      <c r="E125" s="3474">
        <v>9.6000000000000002E-2</v>
      </c>
      <c r="F125" s="3490"/>
      <c r="G125" s="3475">
        <v>0.1</v>
      </c>
    </row>
    <row r="126" spans="1:7" ht="15" thickBot="1">
      <c r="A126" s="3487" t="s">
        <v>1152</v>
      </c>
      <c r="B126" s="3477" t="s">
        <v>3047</v>
      </c>
      <c r="C126" s="3478">
        <v>0.1</v>
      </c>
      <c r="D126" s="3478">
        <v>0.1</v>
      </c>
      <c r="E126" s="3478">
        <v>9.8000000000000004E-2</v>
      </c>
      <c r="F126" s="3478">
        <v>0.1</v>
      </c>
      <c r="G126" s="3480">
        <v>0.1</v>
      </c>
    </row>
    <row r="127" spans="1:7">
      <c r="A127" s="3483" t="s">
        <v>1153</v>
      </c>
      <c r="B127" s="3469" t="s">
        <v>3048</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3049</v>
      </c>
      <c r="C148" s="3474">
        <v>0.13</v>
      </c>
      <c r="D148" s="3474">
        <v>0.13</v>
      </c>
      <c r="E148" s="3474">
        <v>0.13</v>
      </c>
      <c r="F148" s="3485"/>
      <c r="G148" s="3475">
        <v>0.13</v>
      </c>
    </row>
    <row r="149" spans="1:7">
      <c r="A149" s="3484" t="s">
        <v>1153</v>
      </c>
      <c r="B149" s="3473" t="s">
        <v>3050</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2856</v>
      </c>
      <c r="C153" s="3474">
        <v>0.13</v>
      </c>
      <c r="D153" s="3474">
        <v>0.13</v>
      </c>
      <c r="E153" s="3474">
        <v>0.13</v>
      </c>
      <c r="F153" s="3474">
        <v>0.13</v>
      </c>
      <c r="G153" s="3475">
        <v>0.13</v>
      </c>
    </row>
    <row r="154" spans="1:7">
      <c r="A154" s="3484" t="s">
        <v>1153</v>
      </c>
      <c r="B154" s="3473" t="s">
        <v>3051</v>
      </c>
      <c r="C154" s="3474">
        <v>0.121</v>
      </c>
      <c r="D154" s="3474">
        <v>0.121</v>
      </c>
      <c r="E154" s="3474">
        <v>0.105</v>
      </c>
      <c r="F154" s="3474">
        <v>0.121</v>
      </c>
      <c r="G154" s="3475">
        <v>0.123</v>
      </c>
    </row>
    <row r="155" spans="1:7">
      <c r="A155" s="3484" t="s">
        <v>1153</v>
      </c>
      <c r="B155" s="3473" t="s">
        <v>2858</v>
      </c>
      <c r="C155" s="3474">
        <v>0.1</v>
      </c>
      <c r="D155" s="3474">
        <v>0.1</v>
      </c>
      <c r="E155" s="3474">
        <v>0.1</v>
      </c>
      <c r="F155" s="3474">
        <v>0.1</v>
      </c>
      <c r="G155" s="3475">
        <v>0.1</v>
      </c>
    </row>
    <row r="156" spans="1:7">
      <c r="A156" s="3484" t="s">
        <v>1153</v>
      </c>
      <c r="B156" s="3473" t="s">
        <v>3052</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3053</v>
      </c>
      <c r="C160" s="3474">
        <v>0.13</v>
      </c>
      <c r="D160" s="3474">
        <v>0.13</v>
      </c>
      <c r="E160" s="3474">
        <v>0.124</v>
      </c>
      <c r="F160" s="3474">
        <v>0.126</v>
      </c>
      <c r="G160" s="3475">
        <v>0.13</v>
      </c>
    </row>
    <row r="161" spans="1:7">
      <c r="A161" s="3484" t="s">
        <v>1153</v>
      </c>
      <c r="B161" s="3473" t="s">
        <v>2861</v>
      </c>
      <c r="C161" s="3474">
        <v>0.13</v>
      </c>
      <c r="D161" s="3474">
        <v>0.13</v>
      </c>
      <c r="E161" s="3474">
        <v>0.124</v>
      </c>
      <c r="F161" s="3474">
        <v>0.127</v>
      </c>
      <c r="G161" s="3475">
        <v>0.13</v>
      </c>
    </row>
    <row r="162" spans="1:7">
      <c r="A162" s="3484" t="s">
        <v>1153</v>
      </c>
      <c r="B162" s="3473" t="s">
        <v>2862</v>
      </c>
      <c r="C162" s="3474">
        <v>0.1</v>
      </c>
      <c r="D162" s="3474">
        <v>0.1</v>
      </c>
      <c r="E162" s="3474">
        <v>0.1</v>
      </c>
      <c r="F162" s="3474">
        <v>0.121</v>
      </c>
      <c r="G162" s="3475">
        <v>0.105</v>
      </c>
    </row>
    <row r="163" spans="1:7">
      <c r="A163" s="3484" t="s">
        <v>1153</v>
      </c>
      <c r="B163" s="3473" t="s">
        <v>2863</v>
      </c>
      <c r="C163" s="3474">
        <v>0.1</v>
      </c>
      <c r="D163" s="3474">
        <v>0.1</v>
      </c>
      <c r="E163" s="3474">
        <v>0.1</v>
      </c>
      <c r="F163" s="3474">
        <v>0.1</v>
      </c>
      <c r="G163" s="3475">
        <v>0.1</v>
      </c>
    </row>
    <row r="164" spans="1:7">
      <c r="A164" s="3484" t="s">
        <v>1153</v>
      </c>
      <c r="B164" s="3473" t="s">
        <v>2864</v>
      </c>
      <c r="C164" s="3490"/>
      <c r="D164" s="3490"/>
      <c r="E164" s="3490"/>
      <c r="F164" s="3474">
        <v>0.1</v>
      </c>
      <c r="G164" s="3486"/>
    </row>
    <row r="165" spans="1:7">
      <c r="A165" s="3484" t="s">
        <v>1153</v>
      </c>
      <c r="B165" s="3473" t="s">
        <v>3054</v>
      </c>
      <c r="C165" s="3474">
        <v>0.126</v>
      </c>
      <c r="D165" s="3474">
        <v>0.126</v>
      </c>
      <c r="E165" s="3474">
        <v>0.11899999999999999</v>
      </c>
      <c r="F165" s="3474">
        <v>0.13</v>
      </c>
      <c r="G165" s="3475">
        <v>0.128</v>
      </c>
    </row>
    <row r="166" spans="1:7">
      <c r="A166" s="3484" t="s">
        <v>1153</v>
      </c>
      <c r="B166" s="3473" t="s">
        <v>2866</v>
      </c>
      <c r="C166" s="3474">
        <v>0.129</v>
      </c>
      <c r="D166" s="3474">
        <v>0.129</v>
      </c>
      <c r="E166" s="3474">
        <v>0.123</v>
      </c>
      <c r="F166" s="3474">
        <v>0.128</v>
      </c>
      <c r="G166" s="3475">
        <v>0.13</v>
      </c>
    </row>
    <row r="167" spans="1:7">
      <c r="A167" s="3484" t="s">
        <v>1153</v>
      </c>
      <c r="B167" s="3473" t="s">
        <v>2867</v>
      </c>
      <c r="C167" s="3474">
        <v>0.125</v>
      </c>
      <c r="D167" s="3474">
        <v>0.125</v>
      </c>
      <c r="E167" s="3474">
        <v>0.11700000000000001</v>
      </c>
      <c r="F167" s="3474">
        <v>0.13</v>
      </c>
      <c r="G167" s="3475">
        <v>0.126</v>
      </c>
    </row>
    <row r="168" spans="1:7">
      <c r="A168" s="3484" t="s">
        <v>1153</v>
      </c>
      <c r="B168" s="3473" t="s">
        <v>2868</v>
      </c>
      <c r="C168" s="3474">
        <v>0.128</v>
      </c>
      <c r="D168" s="3474">
        <v>0.128</v>
      </c>
      <c r="E168" s="3474">
        <v>0.123</v>
      </c>
      <c r="F168" s="3485"/>
      <c r="G168" s="3475">
        <v>0.13</v>
      </c>
    </row>
    <row r="169" spans="1:7">
      <c r="A169" s="3484" t="s">
        <v>1153</v>
      </c>
      <c r="B169" s="3473" t="s">
        <v>3055</v>
      </c>
      <c r="C169" s="3490"/>
      <c r="D169" s="3490"/>
      <c r="E169" s="3490"/>
      <c r="F169" s="3474">
        <v>0.05</v>
      </c>
      <c r="G169" s="3486"/>
    </row>
    <row r="170" spans="1:7">
      <c r="A170" s="3484" t="s">
        <v>1153</v>
      </c>
      <c r="B170" s="3473" t="s">
        <v>3056</v>
      </c>
      <c r="C170" s="3490"/>
      <c r="D170" s="3490"/>
      <c r="E170" s="3490"/>
      <c r="F170" s="3474">
        <v>0.05</v>
      </c>
      <c r="G170" s="3486"/>
    </row>
    <row r="171" spans="1:7">
      <c r="A171" s="3484" t="s">
        <v>1153</v>
      </c>
      <c r="B171" s="3473" t="s">
        <v>3057</v>
      </c>
      <c r="C171" s="3490"/>
      <c r="D171" s="3490"/>
      <c r="E171" s="3490"/>
      <c r="F171" s="3474">
        <v>0.05</v>
      </c>
      <c r="G171" s="3491"/>
    </row>
    <row r="172" spans="1:7">
      <c r="A172" s="3484" t="s">
        <v>1153</v>
      </c>
      <c r="B172" s="3473" t="s">
        <v>3058</v>
      </c>
      <c r="C172" s="3490"/>
      <c r="D172" s="3490"/>
      <c r="E172" s="3490"/>
      <c r="F172" s="3474">
        <v>0.05</v>
      </c>
      <c r="G172" s="3491"/>
    </row>
    <row r="173" spans="1:7">
      <c r="A173" s="3484" t="s">
        <v>1153</v>
      </c>
      <c r="B173" s="3473" t="s">
        <v>3059</v>
      </c>
      <c r="C173" s="3490"/>
      <c r="D173" s="3490"/>
      <c r="E173" s="3490"/>
      <c r="F173" s="3474">
        <v>0.05</v>
      </c>
      <c r="G173" s="3486"/>
    </row>
    <row r="174" spans="1:7">
      <c r="A174" s="3484" t="s">
        <v>1153</v>
      </c>
      <c r="B174" s="3473" t="s">
        <v>3060</v>
      </c>
      <c r="C174" s="3490"/>
      <c r="D174" s="3490"/>
      <c r="E174" s="3490"/>
      <c r="F174" s="3474">
        <v>0.05</v>
      </c>
      <c r="G174" s="3486"/>
    </row>
    <row r="175" spans="1:7">
      <c r="A175" s="3484" t="s">
        <v>1153</v>
      </c>
      <c r="B175" s="3473" t="s">
        <v>3061</v>
      </c>
      <c r="C175" s="3490"/>
      <c r="D175" s="3490"/>
      <c r="E175" s="3490"/>
      <c r="F175" s="3474">
        <v>0.05</v>
      </c>
      <c r="G175" s="3486"/>
    </row>
    <row r="176" spans="1:7">
      <c r="A176" s="3484" t="s">
        <v>1153</v>
      </c>
      <c r="B176" s="3473" t="s">
        <v>3062</v>
      </c>
      <c r="C176" s="3490"/>
      <c r="D176" s="3490"/>
      <c r="E176" s="3490"/>
      <c r="F176" s="3474">
        <v>0.05</v>
      </c>
      <c r="G176" s="3486"/>
    </row>
    <row r="177" spans="1:7">
      <c r="A177" s="3484" t="s">
        <v>1153</v>
      </c>
      <c r="B177" s="3473" t="s">
        <v>3063</v>
      </c>
      <c r="C177" s="3485"/>
      <c r="D177" s="3485"/>
      <c r="E177" s="3485"/>
      <c r="F177" s="3474">
        <v>0.05</v>
      </c>
      <c r="G177" s="3491"/>
    </row>
    <row r="178" spans="1:7">
      <c r="A178" s="3484" t="s">
        <v>1153</v>
      </c>
      <c r="B178" s="3473" t="s">
        <v>3064</v>
      </c>
      <c r="C178" s="3485"/>
      <c r="D178" s="3485"/>
      <c r="E178" s="3485"/>
      <c r="F178" s="3474">
        <v>0.05</v>
      </c>
      <c r="G178" s="3491"/>
    </row>
    <row r="179" spans="1:7">
      <c r="A179" s="3484" t="s">
        <v>1153</v>
      </c>
      <c r="B179" s="3473" t="s">
        <v>3065</v>
      </c>
      <c r="C179" s="3485"/>
      <c r="D179" s="3485"/>
      <c r="E179" s="3485"/>
      <c r="F179" s="3474">
        <v>0.05</v>
      </c>
      <c r="G179" s="3491"/>
    </row>
    <row r="180" spans="1:7">
      <c r="A180" s="3484" t="s">
        <v>1153</v>
      </c>
      <c r="B180" s="3473" t="s">
        <v>3066</v>
      </c>
      <c r="C180" s="3485"/>
      <c r="D180" s="3485"/>
      <c r="E180" s="3485"/>
      <c r="F180" s="3474">
        <v>0.05</v>
      </c>
      <c r="G180" s="3491"/>
    </row>
    <row r="181" spans="1:7">
      <c r="A181" s="3484" t="s">
        <v>1153</v>
      </c>
      <c r="B181" s="3473" t="s">
        <v>3067</v>
      </c>
      <c r="C181" s="3485"/>
      <c r="D181" s="3485"/>
      <c r="E181" s="3485"/>
      <c r="F181" s="3474">
        <v>0.05</v>
      </c>
      <c r="G181" s="3491"/>
    </row>
    <row r="182" spans="1:7">
      <c r="A182" s="3484" t="s">
        <v>1153</v>
      </c>
      <c r="B182" s="3473" t="s">
        <v>3068</v>
      </c>
      <c r="C182" s="3485"/>
      <c r="D182" s="3485"/>
      <c r="E182" s="3485"/>
      <c r="F182" s="3474">
        <v>0.05</v>
      </c>
      <c r="G182" s="3491"/>
    </row>
    <row r="183" spans="1:7">
      <c r="A183" s="3484" t="s">
        <v>1153</v>
      </c>
      <c r="B183" s="3473" t="s">
        <v>3069</v>
      </c>
      <c r="C183" s="3485"/>
      <c r="D183" s="3485"/>
      <c r="E183" s="3485"/>
      <c r="F183" s="3474">
        <v>0.05</v>
      </c>
      <c r="G183" s="3491"/>
    </row>
    <row r="184" spans="1:7">
      <c r="A184" s="3484" t="s">
        <v>1153</v>
      </c>
      <c r="B184" s="3473" t="s">
        <v>3070</v>
      </c>
      <c r="C184" s="3485"/>
      <c r="D184" s="3485"/>
      <c r="E184" s="3485"/>
      <c r="F184" s="3474">
        <v>0.05</v>
      </c>
      <c r="G184" s="3491"/>
    </row>
    <row r="185" spans="1:7">
      <c r="A185" s="3484" t="s">
        <v>1153</v>
      </c>
      <c r="B185" s="3473" t="s">
        <v>3071</v>
      </c>
      <c r="C185" s="3485"/>
      <c r="D185" s="3485"/>
      <c r="E185" s="3485"/>
      <c r="F185" s="3474">
        <v>0.05</v>
      </c>
      <c r="G185" s="3491"/>
    </row>
    <row r="186" spans="1:7">
      <c r="A186" s="3484" t="s">
        <v>1153</v>
      </c>
      <c r="B186" s="3473" t="s">
        <v>3072</v>
      </c>
      <c r="C186" s="3485"/>
      <c r="D186" s="3485"/>
      <c r="E186" s="3485"/>
      <c r="F186" s="3474">
        <v>0.05</v>
      </c>
      <c r="G186" s="3491"/>
    </row>
    <row r="187" spans="1:7">
      <c r="A187" s="3484" t="s">
        <v>1153</v>
      </c>
      <c r="B187" s="3473" t="s">
        <v>3073</v>
      </c>
      <c r="C187" s="3485"/>
      <c r="D187" s="3485"/>
      <c r="E187" s="3485"/>
      <c r="F187" s="3474">
        <v>0.05</v>
      </c>
      <c r="G187" s="3491"/>
    </row>
    <row r="188" spans="1:7">
      <c r="A188" s="3484" t="s">
        <v>1153</v>
      </c>
      <c r="B188" s="3473" t="s">
        <v>3074</v>
      </c>
      <c r="C188" s="3485"/>
      <c r="D188" s="3485"/>
      <c r="E188" s="3485"/>
      <c r="F188" s="3474">
        <v>0.05</v>
      </c>
      <c r="G188" s="3491"/>
    </row>
    <row r="189" spans="1:7" ht="15" thickBot="1">
      <c r="A189" s="3487" t="s">
        <v>1153</v>
      </c>
      <c r="B189" s="3477" t="s">
        <v>3075</v>
      </c>
      <c r="C189" s="3479"/>
      <c r="D189" s="3479"/>
      <c r="E189" s="3479"/>
      <c r="F189" s="3478">
        <v>0.05</v>
      </c>
      <c r="G189" s="3492"/>
    </row>
    <row r="190" spans="1:7">
      <c r="A190" s="3483" t="s">
        <v>1154</v>
      </c>
      <c r="B190" s="3469" t="s">
        <v>3076</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3077</v>
      </c>
      <c r="C199" s="3474">
        <v>0.13</v>
      </c>
      <c r="D199" s="3474">
        <v>0.13</v>
      </c>
      <c r="E199" s="3474">
        <v>0.13</v>
      </c>
      <c r="F199" s="3474">
        <v>0.13</v>
      </c>
      <c r="G199" s="3475">
        <v>0.13</v>
      </c>
    </row>
    <row r="200" spans="1:7">
      <c r="A200" s="3484" t="s">
        <v>1154</v>
      </c>
      <c r="B200" s="3473" t="s">
        <v>2892</v>
      </c>
      <c r="C200" s="3490"/>
      <c r="D200" s="3490"/>
      <c r="E200" s="3490"/>
      <c r="F200" s="3474">
        <v>0.13</v>
      </c>
      <c r="G200" s="3486"/>
    </row>
    <row r="201" spans="1:7">
      <c r="A201" s="3484" t="s">
        <v>1154</v>
      </c>
      <c r="B201" s="3473" t="s">
        <v>3078</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3079</v>
      </c>
      <c r="C203" s="3474">
        <v>0.129</v>
      </c>
      <c r="D203" s="3474">
        <v>0.129</v>
      </c>
      <c r="E203" s="3474">
        <v>0.13</v>
      </c>
      <c r="F203" s="3474">
        <v>0.13</v>
      </c>
      <c r="G203" s="3475">
        <v>0.13</v>
      </c>
    </row>
    <row r="204" spans="1:7">
      <c r="A204" s="3484" t="s">
        <v>1154</v>
      </c>
      <c r="B204" s="3473" t="s">
        <v>2895</v>
      </c>
      <c r="C204" s="3474">
        <v>0.129</v>
      </c>
      <c r="D204" s="3474">
        <v>0.129</v>
      </c>
      <c r="E204" s="3474">
        <v>0.123</v>
      </c>
      <c r="F204" s="3474">
        <v>0.13</v>
      </c>
      <c r="G204" s="3475">
        <v>0.13</v>
      </c>
    </row>
    <row r="205" spans="1:7">
      <c r="A205" s="3484" t="s">
        <v>1154</v>
      </c>
      <c r="B205" s="3473" t="s">
        <v>2896</v>
      </c>
      <c r="C205" s="3474">
        <v>0.13</v>
      </c>
      <c r="D205" s="3474">
        <v>0.13</v>
      </c>
      <c r="E205" s="3474">
        <v>0.13</v>
      </c>
      <c r="F205" s="3474">
        <v>0.13</v>
      </c>
      <c r="G205" s="3475">
        <v>0.13</v>
      </c>
    </row>
    <row r="206" spans="1:7">
      <c r="A206" s="3484" t="s">
        <v>1154</v>
      </c>
      <c r="B206" s="3473" t="s">
        <v>2897</v>
      </c>
      <c r="C206" s="3474">
        <v>0.13</v>
      </c>
      <c r="D206" s="3474">
        <v>0.13</v>
      </c>
      <c r="E206" s="3474">
        <v>0.13</v>
      </c>
      <c r="F206" s="3474">
        <v>0.128</v>
      </c>
      <c r="G206" s="3475">
        <v>0.13</v>
      </c>
    </row>
    <row r="207" spans="1:7">
      <c r="A207" s="3484" t="s">
        <v>1154</v>
      </c>
      <c r="B207" s="3473" t="s">
        <v>2898</v>
      </c>
      <c r="C207" s="3474">
        <v>0.13</v>
      </c>
      <c r="D207" s="3474">
        <v>0.13</v>
      </c>
      <c r="E207" s="3474">
        <v>0.13</v>
      </c>
      <c r="F207" s="3474">
        <v>0.13</v>
      </c>
      <c r="G207" s="3475">
        <v>0.13</v>
      </c>
    </row>
    <row r="208" spans="1:7">
      <c r="A208" s="3484" t="s">
        <v>1154</v>
      </c>
      <c r="B208" s="3473" t="s">
        <v>3080</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2900</v>
      </c>
      <c r="C210" s="3474">
        <v>0.121</v>
      </c>
      <c r="D210" s="3474">
        <v>0.121</v>
      </c>
      <c r="E210" s="3474">
        <v>0.125</v>
      </c>
      <c r="F210" s="3474">
        <v>0.13</v>
      </c>
      <c r="G210" s="3475">
        <v>0.123</v>
      </c>
    </row>
    <row r="211" spans="1:7">
      <c r="A211" s="3484" t="s">
        <v>1154</v>
      </c>
      <c r="B211" s="3473" t="s">
        <v>3081</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3082</v>
      </c>
      <c r="C214" s="3474">
        <v>0.128</v>
      </c>
      <c r="D214" s="3474">
        <v>0.128</v>
      </c>
      <c r="E214" s="3474">
        <v>0.13</v>
      </c>
      <c r="F214" s="3474">
        <v>0.13</v>
      </c>
      <c r="G214" s="3475">
        <v>0.13</v>
      </c>
    </row>
    <row r="215" spans="1:7">
      <c r="A215" s="3484" t="s">
        <v>1154</v>
      </c>
      <c r="B215" s="3473" t="s">
        <v>3083</v>
      </c>
      <c r="C215" s="3474">
        <v>0.13</v>
      </c>
      <c r="D215" s="3474">
        <v>0.13</v>
      </c>
      <c r="E215" s="3474">
        <v>0.13</v>
      </c>
      <c r="F215" s="3474">
        <v>0.129</v>
      </c>
      <c r="G215" s="3475">
        <v>0.13</v>
      </c>
    </row>
    <row r="216" spans="1:7">
      <c r="A216" s="3484" t="s">
        <v>1154</v>
      </c>
      <c r="B216" s="3473" t="s">
        <v>3084</v>
      </c>
      <c r="C216" s="3474">
        <v>0.13</v>
      </c>
      <c r="D216" s="3474">
        <v>0.13</v>
      </c>
      <c r="E216" s="3474">
        <v>0.13</v>
      </c>
      <c r="F216" s="3474">
        <v>0.13</v>
      </c>
      <c r="G216" s="3475">
        <v>0.13</v>
      </c>
    </row>
    <row r="217" spans="1:7">
      <c r="A217" s="3484" t="s">
        <v>1154</v>
      </c>
      <c r="B217" s="3473" t="s">
        <v>2904</v>
      </c>
      <c r="C217" s="3474">
        <v>0.129</v>
      </c>
      <c r="D217" s="3474">
        <v>0.129</v>
      </c>
      <c r="E217" s="3474">
        <v>0.13</v>
      </c>
      <c r="F217" s="3474">
        <v>0.13</v>
      </c>
      <c r="G217" s="3475">
        <v>0.13</v>
      </c>
    </row>
    <row r="218" spans="1:7">
      <c r="A218" s="3484" t="s">
        <v>1154</v>
      </c>
      <c r="B218" s="3473" t="s">
        <v>3085</v>
      </c>
      <c r="C218" s="3485"/>
      <c r="D218" s="3485"/>
      <c r="E218" s="3485"/>
      <c r="F218" s="3474">
        <v>0.05</v>
      </c>
      <c r="G218" s="3491"/>
    </row>
    <row r="219" spans="1:7">
      <c r="A219" s="3484" t="s">
        <v>1154</v>
      </c>
      <c r="B219" s="3473" t="s">
        <v>3086</v>
      </c>
      <c r="C219" s="3485"/>
      <c r="D219" s="3485"/>
      <c r="E219" s="3485"/>
      <c r="F219" s="3474">
        <v>0.05</v>
      </c>
      <c r="G219" s="3491"/>
    </row>
    <row r="220" spans="1:7">
      <c r="A220" s="3484" t="s">
        <v>1154</v>
      </c>
      <c r="B220" s="3473" t="s">
        <v>3087</v>
      </c>
      <c r="C220" s="3485"/>
      <c r="D220" s="3485"/>
      <c r="E220" s="3485"/>
      <c r="F220" s="3474">
        <v>0.05</v>
      </c>
      <c r="G220" s="3491"/>
    </row>
    <row r="221" spans="1:7">
      <c r="A221" s="3484" t="s">
        <v>1154</v>
      </c>
      <c r="B221" s="3473" t="s">
        <v>3088</v>
      </c>
      <c r="C221" s="3485"/>
      <c r="D221" s="3485"/>
      <c r="E221" s="3485"/>
      <c r="F221" s="3474">
        <v>0.05</v>
      </c>
      <c r="G221" s="3491"/>
    </row>
    <row r="222" spans="1:7">
      <c r="A222" s="3484" t="s">
        <v>1154</v>
      </c>
      <c r="B222" s="3473" t="s">
        <v>3089</v>
      </c>
      <c r="C222" s="3485"/>
      <c r="D222" s="3485"/>
      <c r="E222" s="3485"/>
      <c r="F222" s="3474">
        <v>0.05</v>
      </c>
      <c r="G222" s="3491"/>
    </row>
    <row r="223" spans="1:7">
      <c r="A223" s="3484" t="s">
        <v>1154</v>
      </c>
      <c r="B223" s="3473" t="s">
        <v>3090</v>
      </c>
      <c r="C223" s="3485"/>
      <c r="D223" s="3485"/>
      <c r="E223" s="3485"/>
      <c r="F223" s="3474">
        <v>0.05</v>
      </c>
      <c r="G223" s="3491"/>
    </row>
    <row r="224" spans="1:7">
      <c r="A224" s="3484" t="s">
        <v>1154</v>
      </c>
      <c r="B224" s="3473" t="s">
        <v>3091</v>
      </c>
      <c r="C224" s="3485"/>
      <c r="D224" s="3485"/>
      <c r="E224" s="3485"/>
      <c r="F224" s="3474">
        <v>0.05</v>
      </c>
      <c r="G224" s="3491"/>
    </row>
    <row r="225" spans="1:7">
      <c r="A225" s="3484" t="s">
        <v>1154</v>
      </c>
      <c r="B225" s="3473" t="s">
        <v>3092</v>
      </c>
      <c r="C225" s="3485"/>
      <c r="D225" s="3485"/>
      <c r="E225" s="3485"/>
      <c r="F225" s="3474">
        <v>0.05</v>
      </c>
      <c r="G225" s="3491"/>
    </row>
    <row r="226" spans="1:7">
      <c r="A226" s="3484" t="s">
        <v>1154</v>
      </c>
      <c r="B226" s="3473" t="s">
        <v>3093</v>
      </c>
      <c r="C226" s="3485"/>
      <c r="D226" s="3485"/>
      <c r="E226" s="3485"/>
      <c r="F226" s="3474">
        <v>0.05</v>
      </c>
      <c r="G226" s="3491"/>
    </row>
    <row r="227" spans="1:7">
      <c r="A227" s="3484" t="s">
        <v>1154</v>
      </c>
      <c r="B227" s="3473" t="s">
        <v>3094</v>
      </c>
      <c r="C227" s="3485"/>
      <c r="D227" s="3485"/>
      <c r="E227" s="3485"/>
      <c r="F227" s="3474">
        <v>0.05</v>
      </c>
      <c r="G227" s="3491"/>
    </row>
    <row r="228" spans="1:7">
      <c r="A228" s="3484" t="s">
        <v>1154</v>
      </c>
      <c r="B228" s="3473" t="s">
        <v>3095</v>
      </c>
      <c r="C228" s="3485"/>
      <c r="D228" s="3485"/>
      <c r="E228" s="3485"/>
      <c r="F228" s="3474">
        <v>0.05</v>
      </c>
      <c r="G228" s="3491"/>
    </row>
    <row r="229" spans="1:7">
      <c r="A229" s="3484" t="s">
        <v>1154</v>
      </c>
      <c r="B229" s="3473" t="s">
        <v>3096</v>
      </c>
      <c r="C229" s="3485"/>
      <c r="D229" s="3485"/>
      <c r="E229" s="3485"/>
      <c r="F229" s="3474">
        <v>0.05</v>
      </c>
      <c r="G229" s="3491"/>
    </row>
    <row r="230" spans="1:7">
      <c r="A230" s="3484" t="s">
        <v>1154</v>
      </c>
      <c r="B230" s="3473" t="s">
        <v>3097</v>
      </c>
      <c r="C230" s="3485"/>
      <c r="D230" s="3485"/>
      <c r="E230" s="3485"/>
      <c r="F230" s="3474">
        <v>0.05</v>
      </c>
      <c r="G230" s="3491"/>
    </row>
    <row r="231" spans="1:7">
      <c r="A231" s="3484" t="s">
        <v>1154</v>
      </c>
      <c r="B231" s="3473" t="s">
        <v>3098</v>
      </c>
      <c r="C231" s="3485"/>
      <c r="D231" s="3485"/>
      <c r="E231" s="3485"/>
      <c r="F231" s="3474">
        <v>0.05</v>
      </c>
      <c r="G231" s="3491"/>
    </row>
    <row r="232" spans="1:7">
      <c r="A232" s="3484" t="s">
        <v>1154</v>
      </c>
      <c r="B232" s="3473" t="s">
        <v>3099</v>
      </c>
      <c r="C232" s="3485"/>
      <c r="D232" s="3485"/>
      <c r="E232" s="3485"/>
      <c r="F232" s="3474">
        <v>0.05</v>
      </c>
      <c r="G232" s="3491"/>
    </row>
    <row r="233" spans="1:7" ht="15" thickBot="1">
      <c r="A233" s="3487" t="s">
        <v>1154</v>
      </c>
      <c r="B233" s="3477" t="s">
        <v>3100</v>
      </c>
      <c r="C233" s="3479"/>
      <c r="D233" s="3479"/>
      <c r="E233" s="3479"/>
      <c r="F233" s="3478">
        <v>0.05</v>
      </c>
      <c r="G233" s="3492"/>
    </row>
    <row r="234" spans="1:7">
      <c r="A234" s="3483" t="s">
        <v>1155</v>
      </c>
      <c r="B234" s="3469" t="s">
        <v>3101</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2922</v>
      </c>
      <c r="C238" s="3474">
        <v>0.14899999999999999</v>
      </c>
      <c r="D238" s="3474">
        <v>0.14899999999999999</v>
      </c>
      <c r="E238" s="3474">
        <v>0.15</v>
      </c>
      <c r="F238" s="3474">
        <v>0.15</v>
      </c>
      <c r="G238" s="3475">
        <v>0.15</v>
      </c>
    </row>
    <row r="239" spans="1:7">
      <c r="A239" s="3484" t="s">
        <v>1155</v>
      </c>
      <c r="B239" s="3473" t="s">
        <v>3102</v>
      </c>
      <c r="C239" s="3474">
        <v>0.15</v>
      </c>
      <c r="D239" s="3474">
        <v>0.15</v>
      </c>
      <c r="E239" s="3474">
        <v>0.15</v>
      </c>
      <c r="F239" s="3474">
        <v>0.15</v>
      </c>
      <c r="G239" s="3475">
        <v>0.15</v>
      </c>
    </row>
    <row r="240" spans="1:7">
      <c r="A240" s="3484" t="s">
        <v>1155</v>
      </c>
      <c r="B240" s="3473" t="s">
        <v>3103</v>
      </c>
      <c r="C240" s="3474">
        <v>0.15</v>
      </c>
      <c r="D240" s="3474">
        <v>0.15</v>
      </c>
      <c r="E240" s="3474">
        <v>0.15</v>
      </c>
      <c r="F240" s="3474">
        <v>0.15</v>
      </c>
      <c r="G240" s="3475">
        <v>0.15</v>
      </c>
    </row>
    <row r="241" spans="1:7">
      <c r="A241" s="3484" t="s">
        <v>1155</v>
      </c>
      <c r="B241" s="3473" t="s">
        <v>3104</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3105</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3106</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3107</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3108</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3109</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2931</v>
      </c>
      <c r="C258" s="3474">
        <v>0.14299999999999999</v>
      </c>
      <c r="D258" s="3474">
        <v>0.14299999999999999</v>
      </c>
      <c r="E258" s="3474">
        <v>0.15</v>
      </c>
      <c r="F258" s="3474">
        <v>0.14799999999999999</v>
      </c>
      <c r="G258" s="3475">
        <v>0.14599999999999999</v>
      </c>
    </row>
    <row r="259" spans="1:7">
      <c r="A259" s="3484" t="s">
        <v>1155</v>
      </c>
      <c r="B259" s="3473" t="s">
        <v>3110</v>
      </c>
      <c r="C259" s="3474">
        <v>0.14399999999999999</v>
      </c>
      <c r="D259" s="3474">
        <v>0.14399999999999999</v>
      </c>
      <c r="E259" s="3474">
        <v>0.14899999999999999</v>
      </c>
      <c r="F259" s="3474">
        <v>0.14699999999999999</v>
      </c>
      <c r="G259" s="3475">
        <v>0.14599999999999999</v>
      </c>
    </row>
    <row r="260" spans="1:7">
      <c r="A260" s="3484" t="s">
        <v>1155</v>
      </c>
      <c r="B260" s="3473" t="s">
        <v>3111</v>
      </c>
      <c r="C260" s="3474">
        <v>0.109</v>
      </c>
      <c r="D260" s="3474">
        <v>0.111</v>
      </c>
      <c r="E260" s="3474">
        <v>0.13100000000000001</v>
      </c>
      <c r="F260" s="3474">
        <v>0.126</v>
      </c>
      <c r="G260" s="3475">
        <v>0.11899999999999999</v>
      </c>
    </row>
    <row r="261" spans="1:7">
      <c r="A261" s="3484" t="s">
        <v>1155</v>
      </c>
      <c r="B261" s="3473" t="s">
        <v>3112</v>
      </c>
      <c r="C261" s="3474">
        <v>0.1</v>
      </c>
      <c r="D261" s="3474">
        <v>0.1</v>
      </c>
      <c r="E261" s="3474">
        <v>0.11799999999999999</v>
      </c>
      <c r="F261" s="3474">
        <v>0.108</v>
      </c>
      <c r="G261" s="3475">
        <v>0.107</v>
      </c>
    </row>
    <row r="262" spans="1:7">
      <c r="A262" s="3484" t="s">
        <v>1155</v>
      </c>
      <c r="B262" s="3473" t="s">
        <v>3113</v>
      </c>
      <c r="C262" s="3474">
        <v>0.1</v>
      </c>
      <c r="D262" s="3474">
        <v>0.1</v>
      </c>
      <c r="E262" s="3474">
        <v>0.1</v>
      </c>
      <c r="F262" s="3474">
        <v>0.14099999999999999</v>
      </c>
      <c r="G262" s="3475">
        <v>0.1</v>
      </c>
    </row>
    <row r="263" spans="1:7">
      <c r="A263" s="3484" t="s">
        <v>1155</v>
      </c>
      <c r="B263" s="3473" t="s">
        <v>3114</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3115</v>
      </c>
      <c r="C265" s="3485"/>
      <c r="D265" s="3485"/>
      <c r="E265" s="3485"/>
      <c r="F265" s="3474">
        <v>0.05</v>
      </c>
      <c r="G265" s="3491"/>
    </row>
    <row r="266" spans="1:7">
      <c r="A266" s="3484" t="s">
        <v>1155</v>
      </c>
      <c r="B266" s="3473" t="s">
        <v>3116</v>
      </c>
      <c r="C266" s="3485"/>
      <c r="D266" s="3485"/>
      <c r="E266" s="3485"/>
      <c r="F266" s="3474">
        <v>0.05</v>
      </c>
      <c r="G266" s="3491"/>
    </row>
    <row r="267" spans="1:7">
      <c r="A267" s="3484" t="s">
        <v>1155</v>
      </c>
      <c r="B267" s="3473" t="s">
        <v>3117</v>
      </c>
      <c r="C267" s="3485"/>
      <c r="D267" s="3485"/>
      <c r="E267" s="3485"/>
      <c r="F267" s="3474">
        <v>0.05</v>
      </c>
      <c r="G267" s="3491"/>
    </row>
    <row r="268" spans="1:7">
      <c r="A268" s="3484" t="s">
        <v>1155</v>
      </c>
      <c r="B268" s="3473" t="s">
        <v>3118</v>
      </c>
      <c r="C268" s="3485"/>
      <c r="D268" s="3485"/>
      <c r="E268" s="3485"/>
      <c r="F268" s="3474">
        <v>0.05</v>
      </c>
      <c r="G268" s="3491"/>
    </row>
    <row r="269" spans="1:7">
      <c r="A269" s="3484" t="s">
        <v>1155</v>
      </c>
      <c r="B269" s="3473" t="s">
        <v>3119</v>
      </c>
      <c r="C269" s="3485"/>
      <c r="D269" s="3485"/>
      <c r="E269" s="3485"/>
      <c r="F269" s="3474">
        <v>0.05</v>
      </c>
      <c r="G269" s="3491"/>
    </row>
    <row r="270" spans="1:7">
      <c r="A270" s="3484" t="s">
        <v>1155</v>
      </c>
      <c r="B270" s="3473" t="s">
        <v>3120</v>
      </c>
      <c r="C270" s="3485"/>
      <c r="D270" s="3485"/>
      <c r="E270" s="3485"/>
      <c r="F270" s="3474">
        <v>0.05</v>
      </c>
      <c r="G270" s="3491"/>
    </row>
    <row r="271" spans="1:7">
      <c r="A271" s="3484" t="s">
        <v>1155</v>
      </c>
      <c r="B271" s="3473" t="s">
        <v>3121</v>
      </c>
      <c r="C271" s="3485"/>
      <c r="D271" s="3485"/>
      <c r="E271" s="3485"/>
      <c r="F271" s="3474">
        <v>0.05</v>
      </c>
      <c r="G271" s="3491"/>
    </row>
    <row r="272" spans="1:7">
      <c r="A272" s="3484" t="s">
        <v>1155</v>
      </c>
      <c r="B272" s="3473" t="s">
        <v>3122</v>
      </c>
      <c r="C272" s="3485"/>
      <c r="D272" s="3485"/>
      <c r="E272" s="3485"/>
      <c r="F272" s="3474">
        <v>0.05</v>
      </c>
      <c r="G272" s="3491"/>
    </row>
    <row r="273" spans="1:7">
      <c r="A273" s="3484" t="s">
        <v>1155</v>
      </c>
      <c r="B273" s="3473" t="s">
        <v>3123</v>
      </c>
      <c r="C273" s="3485"/>
      <c r="D273" s="3485"/>
      <c r="E273" s="3485"/>
      <c r="F273" s="3474">
        <v>0.05</v>
      </c>
      <c r="G273" s="3491"/>
    </row>
    <row r="274" spans="1:7">
      <c r="A274" s="3484" t="s">
        <v>1155</v>
      </c>
      <c r="B274" s="3473" t="s">
        <v>3124</v>
      </c>
      <c r="C274" s="3485"/>
      <c r="D274" s="3485"/>
      <c r="E274" s="3485"/>
      <c r="F274" s="3474">
        <v>0.05</v>
      </c>
      <c r="G274" s="3491"/>
    </row>
    <row r="275" spans="1:7">
      <c r="A275" s="3484" t="s">
        <v>1155</v>
      </c>
      <c r="B275" s="3473" t="s">
        <v>3125</v>
      </c>
      <c r="C275" s="3485"/>
      <c r="D275" s="3485"/>
      <c r="E275" s="3485"/>
      <c r="F275" s="3474">
        <v>0.05</v>
      </c>
      <c r="G275" s="3491"/>
    </row>
    <row r="276" spans="1:7" ht="15" thickBot="1">
      <c r="A276" s="3487" t="s">
        <v>1155</v>
      </c>
      <c r="B276" s="3477" t="s">
        <v>3126</v>
      </c>
      <c r="C276" s="3479"/>
      <c r="D276" s="3479"/>
      <c r="E276" s="3479"/>
      <c r="F276" s="3478">
        <v>0.05</v>
      </c>
      <c r="G276" s="3492"/>
    </row>
    <row r="277" spans="1:7">
      <c r="A277" s="3483" t="s">
        <v>1156</v>
      </c>
      <c r="B277" s="3469" t="s">
        <v>3127</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3128</v>
      </c>
      <c r="C279" s="3474">
        <v>0.15</v>
      </c>
      <c r="D279" s="3474">
        <v>0.15</v>
      </c>
      <c r="E279" s="3474">
        <v>0.15</v>
      </c>
      <c r="F279" s="3474">
        <v>0.15</v>
      </c>
      <c r="G279" s="3475">
        <v>0.15</v>
      </c>
    </row>
    <row r="280" spans="1:7">
      <c r="A280" s="3484" t="s">
        <v>1156</v>
      </c>
      <c r="B280" s="3473" t="s">
        <v>3129</v>
      </c>
      <c r="C280" s="3474">
        <v>0.15</v>
      </c>
      <c r="D280" s="3474">
        <v>0.15</v>
      </c>
      <c r="E280" s="3474">
        <v>0.15</v>
      </c>
      <c r="F280" s="3474">
        <v>0.15</v>
      </c>
      <c r="G280" s="3475">
        <v>0.15</v>
      </c>
    </row>
    <row r="281" spans="1:7">
      <c r="A281" s="3484" t="s">
        <v>1156</v>
      </c>
      <c r="B281" s="3473" t="s">
        <v>3130</v>
      </c>
      <c r="C281" s="3474">
        <v>0.15</v>
      </c>
      <c r="D281" s="3474">
        <v>0.15</v>
      </c>
      <c r="E281" s="3474">
        <v>0.15</v>
      </c>
      <c r="F281" s="3474">
        <v>0.15</v>
      </c>
      <c r="G281" s="3475">
        <v>0.15</v>
      </c>
    </row>
    <row r="282" spans="1:7">
      <c r="A282" s="3484" t="s">
        <v>1156</v>
      </c>
      <c r="B282" s="3473" t="s">
        <v>3131</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3132</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3133</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2956</v>
      </c>
      <c r="C293" s="3474">
        <v>0.15</v>
      </c>
      <c r="D293" s="3474">
        <v>0.15</v>
      </c>
      <c r="E293" s="3474">
        <v>0.15</v>
      </c>
      <c r="F293" s="3474">
        <v>0.14499999999999999</v>
      </c>
      <c r="G293" s="3475">
        <v>0.15</v>
      </c>
    </row>
    <row r="294" spans="1:7">
      <c r="A294" s="3484" t="s">
        <v>1156</v>
      </c>
      <c r="B294" s="3473" t="s">
        <v>3134</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2958</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3135</v>
      </c>
      <c r="C302" s="3474">
        <v>0.15</v>
      </c>
      <c r="D302" s="3474">
        <v>0.15</v>
      </c>
      <c r="E302" s="3474">
        <v>0.15</v>
      </c>
      <c r="F302" s="3474">
        <v>0.14699999999999999</v>
      </c>
      <c r="G302" s="3475">
        <v>0.15</v>
      </c>
    </row>
    <row r="303" spans="1:7">
      <c r="A303" s="3484" t="s">
        <v>1156</v>
      </c>
      <c r="B303" s="3473" t="s">
        <v>2960</v>
      </c>
      <c r="C303" s="3474">
        <v>0.15</v>
      </c>
      <c r="D303" s="3474">
        <v>0.15</v>
      </c>
      <c r="E303" s="3474">
        <v>0.15</v>
      </c>
      <c r="F303" s="3474">
        <v>0.14199999999999999</v>
      </c>
      <c r="G303" s="3475">
        <v>0.15</v>
      </c>
    </row>
    <row r="304" spans="1:7">
      <c r="A304" s="3484" t="s">
        <v>1156</v>
      </c>
      <c r="B304" s="3473" t="s">
        <v>2961</v>
      </c>
      <c r="C304" s="3474">
        <v>0.15</v>
      </c>
      <c r="D304" s="3474">
        <v>0.15</v>
      </c>
      <c r="E304" s="3474">
        <v>0.15</v>
      </c>
      <c r="F304" s="3474">
        <v>0.14499999999999999</v>
      </c>
      <c r="G304" s="3475">
        <v>0.15</v>
      </c>
    </row>
    <row r="305" spans="1:7">
      <c r="A305" s="3484" t="s">
        <v>1156</v>
      </c>
      <c r="B305" s="3473" t="s">
        <v>2962</v>
      </c>
      <c r="C305" s="3474">
        <v>0.15</v>
      </c>
      <c r="D305" s="3474">
        <v>0.15</v>
      </c>
      <c r="E305" s="3474">
        <v>0.15</v>
      </c>
      <c r="F305" s="3474">
        <v>0.111</v>
      </c>
      <c r="G305" s="3475">
        <v>0.15</v>
      </c>
    </row>
    <row r="306" spans="1:7">
      <c r="A306" s="3484" t="s">
        <v>1156</v>
      </c>
      <c r="B306" s="3473" t="s">
        <v>3136</v>
      </c>
      <c r="C306" s="3474">
        <v>0.15</v>
      </c>
      <c r="D306" s="3474">
        <v>0.15</v>
      </c>
      <c r="E306" s="3474">
        <v>0.15</v>
      </c>
      <c r="F306" s="3474">
        <v>0.126</v>
      </c>
      <c r="G306" s="3475">
        <v>0.15</v>
      </c>
    </row>
    <row r="307" spans="1:7">
      <c r="A307" s="3484" t="s">
        <v>1156</v>
      </c>
      <c r="B307" s="3473" t="s">
        <v>2964</v>
      </c>
      <c r="C307" s="3474">
        <v>0.15</v>
      </c>
      <c r="D307" s="3474">
        <v>0.15</v>
      </c>
      <c r="E307" s="3474">
        <v>0.15</v>
      </c>
      <c r="F307" s="3474">
        <v>0.12</v>
      </c>
      <c r="G307" s="3475">
        <v>0.15</v>
      </c>
    </row>
    <row r="308" spans="1:7">
      <c r="A308" s="3484" t="s">
        <v>1156</v>
      </c>
      <c r="B308" s="3473" t="s">
        <v>3137</v>
      </c>
      <c r="C308" s="3474">
        <v>0.15</v>
      </c>
      <c r="D308" s="3474">
        <v>0.15</v>
      </c>
      <c r="E308" s="3474">
        <v>0.15</v>
      </c>
      <c r="F308" s="3474">
        <v>0.13</v>
      </c>
      <c r="G308" s="3475">
        <v>0.15</v>
      </c>
    </row>
    <row r="309" spans="1:7">
      <c r="A309" s="3484" t="s">
        <v>1156</v>
      </c>
      <c r="B309" s="3473" t="s">
        <v>3138</v>
      </c>
      <c r="C309" s="3474">
        <v>0.15</v>
      </c>
      <c r="D309" s="3474">
        <v>0.15</v>
      </c>
      <c r="E309" s="3474">
        <v>0.15</v>
      </c>
      <c r="F309" s="3474">
        <v>0.14099999999999999</v>
      </c>
      <c r="G309" s="3475">
        <v>0.15</v>
      </c>
    </row>
    <row r="310" spans="1:7">
      <c r="A310" s="3484" t="s">
        <v>1156</v>
      </c>
      <c r="B310" s="3473" t="s">
        <v>2967</v>
      </c>
      <c r="C310" s="3474">
        <v>0.15</v>
      </c>
      <c r="D310" s="3474">
        <v>0.15</v>
      </c>
      <c r="E310" s="3474">
        <v>0.15</v>
      </c>
      <c r="F310" s="3474">
        <v>0.15</v>
      </c>
      <c r="G310" s="3475">
        <v>0.15</v>
      </c>
    </row>
    <row r="311" spans="1:7">
      <c r="A311" s="3484" t="s">
        <v>1156</v>
      </c>
      <c r="B311" s="3473" t="s">
        <v>3139</v>
      </c>
      <c r="C311" s="3474">
        <v>0.13200000000000001</v>
      </c>
      <c r="D311" s="3474">
        <v>0.13300000000000001</v>
      </c>
      <c r="E311" s="3474">
        <v>0.14499999999999999</v>
      </c>
      <c r="F311" s="3474">
        <v>0.14199999999999999</v>
      </c>
      <c r="G311" s="3475">
        <v>0.14000000000000001</v>
      </c>
    </row>
    <row r="312" spans="1:7">
      <c r="A312" s="3484" t="s">
        <v>1156</v>
      </c>
      <c r="B312" s="3473" t="s">
        <v>2969</v>
      </c>
      <c r="C312" s="3474">
        <v>0.13800000000000001</v>
      </c>
      <c r="D312" s="3474">
        <v>0.14000000000000001</v>
      </c>
      <c r="E312" s="3474">
        <v>0.14599999999999999</v>
      </c>
      <c r="F312" s="3474">
        <v>0.14899999999999999</v>
      </c>
      <c r="G312" s="3475">
        <v>0.14199999999999999</v>
      </c>
    </row>
    <row r="313" spans="1:7">
      <c r="A313" s="3484" t="s">
        <v>1156</v>
      </c>
      <c r="B313" s="3473" t="s">
        <v>2970</v>
      </c>
      <c r="C313" s="3474">
        <v>0.125</v>
      </c>
      <c r="D313" s="3474">
        <v>0.127</v>
      </c>
      <c r="E313" s="3474">
        <v>0.14399999999999999</v>
      </c>
      <c r="F313" s="3474">
        <v>0.115</v>
      </c>
      <c r="G313" s="3475">
        <v>0.13600000000000001</v>
      </c>
    </row>
    <row r="314" spans="1:7">
      <c r="A314" s="3484" t="s">
        <v>1156</v>
      </c>
      <c r="B314" s="3473" t="s">
        <v>3140</v>
      </c>
      <c r="C314" s="3490"/>
      <c r="D314" s="3490"/>
      <c r="E314" s="3490"/>
      <c r="F314" s="3474">
        <v>0.05</v>
      </c>
      <c r="G314" s="3491"/>
    </row>
    <row r="315" spans="1:7">
      <c r="A315" s="3484" t="s">
        <v>1156</v>
      </c>
      <c r="B315" s="3473" t="s">
        <v>3141</v>
      </c>
      <c r="C315" s="3490"/>
      <c r="D315" s="3490"/>
      <c r="E315" s="3490"/>
      <c r="F315" s="3474">
        <v>0.05</v>
      </c>
      <c r="G315" s="3491"/>
    </row>
    <row r="316" spans="1:7">
      <c r="A316" s="3484" t="s">
        <v>1156</v>
      </c>
      <c r="B316" s="3473" t="s">
        <v>3142</v>
      </c>
      <c r="C316" s="3485"/>
      <c r="D316" s="3485"/>
      <c r="E316" s="3485"/>
      <c r="F316" s="3474">
        <v>0.05</v>
      </c>
      <c r="G316" s="3491"/>
    </row>
    <row r="317" spans="1:7">
      <c r="A317" s="3484" t="s">
        <v>1156</v>
      </c>
      <c r="B317" s="3473" t="s">
        <v>3143</v>
      </c>
      <c r="C317" s="3485"/>
      <c r="D317" s="3485"/>
      <c r="E317" s="3485"/>
      <c r="F317" s="3474">
        <v>0.05</v>
      </c>
      <c r="G317" s="3491"/>
    </row>
    <row r="318" spans="1:7">
      <c r="A318" s="3484" t="s">
        <v>1156</v>
      </c>
      <c r="B318" s="3473" t="s">
        <v>3144</v>
      </c>
      <c r="C318" s="3485"/>
      <c r="D318" s="3485"/>
      <c r="E318" s="3485"/>
      <c r="F318" s="3474">
        <v>0.05</v>
      </c>
      <c r="G318" s="3491"/>
    </row>
    <row r="319" spans="1:7">
      <c r="A319" s="3484" t="s">
        <v>1156</v>
      </c>
      <c r="B319" s="3473" t="s">
        <v>3145</v>
      </c>
      <c r="C319" s="3485"/>
      <c r="D319" s="3485"/>
      <c r="E319" s="3485"/>
      <c r="F319" s="3474">
        <v>0.05</v>
      </c>
      <c r="G319" s="3491"/>
    </row>
    <row r="320" spans="1:7">
      <c r="A320" s="3484" t="s">
        <v>1156</v>
      </c>
      <c r="B320" s="3473" t="s">
        <v>3146</v>
      </c>
      <c r="C320" s="3485"/>
      <c r="D320" s="3485"/>
      <c r="E320" s="3485"/>
      <c r="F320" s="3474">
        <v>0.05</v>
      </c>
      <c r="G320" s="3491"/>
    </row>
    <row r="321" spans="1:7">
      <c r="A321" s="3484" t="s">
        <v>1156</v>
      </c>
      <c r="B321" s="3473" t="s">
        <v>3147</v>
      </c>
      <c r="C321" s="3485"/>
      <c r="D321" s="3485"/>
      <c r="E321" s="3485"/>
      <c r="F321" s="3474">
        <v>0.05</v>
      </c>
      <c r="G321" s="3491"/>
    </row>
    <row r="322" spans="1:7">
      <c r="A322" s="3484" t="s">
        <v>1156</v>
      </c>
      <c r="B322" s="3473" t="s">
        <v>3148</v>
      </c>
      <c r="C322" s="3485"/>
      <c r="D322" s="3485"/>
      <c r="E322" s="3485"/>
      <c r="F322" s="3474">
        <v>0.05</v>
      </c>
      <c r="G322" s="3491"/>
    </row>
    <row r="323" spans="1:7">
      <c r="A323" s="3484" t="s">
        <v>1156</v>
      </c>
      <c r="B323" s="3473" t="s">
        <v>3149</v>
      </c>
      <c r="C323" s="3485"/>
      <c r="D323" s="3485"/>
      <c r="E323" s="3485"/>
      <c r="F323" s="3474">
        <v>0.05</v>
      </c>
      <c r="G323" s="3491"/>
    </row>
    <row r="324" spans="1:7">
      <c r="A324" s="3484" t="s">
        <v>1156</v>
      </c>
      <c r="B324" s="3473" t="s">
        <v>3150</v>
      </c>
      <c r="C324" s="3485"/>
      <c r="D324" s="3485"/>
      <c r="E324" s="3485"/>
      <c r="F324" s="3474">
        <v>0.05</v>
      </c>
      <c r="G324" s="3491"/>
    </row>
    <row r="325" spans="1:7">
      <c r="A325" s="3484" t="s">
        <v>1156</v>
      </c>
      <c r="B325" s="3473" t="s">
        <v>3151</v>
      </c>
      <c r="C325" s="3485"/>
      <c r="D325" s="3485"/>
      <c r="E325" s="3485"/>
      <c r="F325" s="3474">
        <v>0.05</v>
      </c>
      <c r="G325" s="3491"/>
    </row>
    <row r="326" spans="1:7" ht="15" thickBot="1">
      <c r="A326" s="3487" t="s">
        <v>1156</v>
      </c>
      <c r="B326" s="3477" t="s">
        <v>3152</v>
      </c>
      <c r="C326" s="3479"/>
      <c r="D326" s="3479"/>
      <c r="E326" s="3479"/>
      <c r="F326" s="3478">
        <v>0.05</v>
      </c>
      <c r="G326" s="3492"/>
    </row>
    <row r="327" spans="1:7">
      <c r="A327" s="3483" t="s">
        <v>1157</v>
      </c>
      <c r="B327" s="3469" t="s">
        <v>3153</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3154</v>
      </c>
      <c r="C329" s="3474">
        <v>0.15</v>
      </c>
      <c r="D329" s="3474">
        <v>0.15</v>
      </c>
      <c r="E329" s="3474">
        <v>0.15</v>
      </c>
      <c r="F329" s="3474">
        <v>0.15</v>
      </c>
      <c r="G329" s="3475">
        <v>0.15</v>
      </c>
    </row>
    <row r="330" spans="1:7">
      <c r="A330" s="3484" t="s">
        <v>1157</v>
      </c>
      <c r="B330" s="3473" t="s">
        <v>3155</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2987</v>
      </c>
      <c r="C332" s="3474">
        <v>0.15</v>
      </c>
      <c r="D332" s="3474">
        <v>0.15</v>
      </c>
      <c r="E332" s="3474">
        <v>0.15</v>
      </c>
      <c r="F332" s="3474">
        <v>0.15</v>
      </c>
      <c r="G332" s="3475">
        <v>0.15</v>
      </c>
    </row>
    <row r="333" spans="1:7">
      <c r="A333" s="3484" t="s">
        <v>1157</v>
      </c>
      <c r="B333" s="3473" t="s">
        <v>3156</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2989</v>
      </c>
      <c r="C336" s="3474">
        <v>0.15</v>
      </c>
      <c r="D336" s="3474">
        <v>0.15</v>
      </c>
      <c r="E336" s="3474">
        <v>0.15</v>
      </c>
      <c r="F336" s="3474">
        <v>0.14199999999999999</v>
      </c>
      <c r="G336" s="3475">
        <v>0.15</v>
      </c>
    </row>
    <row r="337" spans="1:7">
      <c r="A337" s="3484" t="s">
        <v>1157</v>
      </c>
      <c r="B337" s="3473" t="s">
        <v>3157</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3158</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3159</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2993</v>
      </c>
      <c r="C345" s="3474">
        <v>0.15</v>
      </c>
      <c r="D345" s="3474">
        <v>0.15</v>
      </c>
      <c r="E345" s="3474">
        <v>0.15</v>
      </c>
      <c r="F345" s="3474">
        <v>0.13800000000000001</v>
      </c>
      <c r="G345" s="3475">
        <v>0.15</v>
      </c>
    </row>
    <row r="346" spans="1:7">
      <c r="A346" s="3484" t="s">
        <v>1157</v>
      </c>
      <c r="B346" s="3473" t="s">
        <v>3160</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2995</v>
      </c>
      <c r="C348" s="3474">
        <v>0.15</v>
      </c>
      <c r="D348" s="3474">
        <v>0.15</v>
      </c>
      <c r="E348" s="3474">
        <v>0.15</v>
      </c>
      <c r="F348" s="3474">
        <v>0.14399999999999999</v>
      </c>
      <c r="G348" s="3475">
        <v>0.15</v>
      </c>
    </row>
    <row r="349" spans="1:7">
      <c r="A349" s="3484" t="s">
        <v>1157</v>
      </c>
      <c r="B349" s="3473" t="s">
        <v>2996</v>
      </c>
      <c r="C349" s="3474">
        <v>0.15</v>
      </c>
      <c r="D349" s="3474">
        <v>0.15</v>
      </c>
      <c r="E349" s="3474">
        <v>0.15</v>
      </c>
      <c r="F349" s="3474">
        <v>0.15</v>
      </c>
      <c r="G349" s="3475">
        <v>0.15</v>
      </c>
    </row>
    <row r="350" spans="1:7">
      <c r="A350" s="3484" t="s">
        <v>1157</v>
      </c>
      <c r="B350" s="3473" t="s">
        <v>3161</v>
      </c>
      <c r="C350" s="3474">
        <v>0.15</v>
      </c>
      <c r="D350" s="3474">
        <v>0.15</v>
      </c>
      <c r="E350" s="3474">
        <v>0.15</v>
      </c>
      <c r="F350" s="3474">
        <v>0.14699999999999999</v>
      </c>
      <c r="G350" s="3475">
        <v>0.15</v>
      </c>
    </row>
    <row r="351" spans="1:7">
      <c r="A351" s="3484" t="s">
        <v>1157</v>
      </c>
      <c r="B351" s="3473" t="s">
        <v>2998</v>
      </c>
      <c r="C351" s="3474">
        <v>0.15</v>
      </c>
      <c r="D351" s="3474">
        <v>0.15</v>
      </c>
      <c r="E351" s="3474">
        <v>0.15</v>
      </c>
      <c r="F351" s="3474">
        <v>0.13</v>
      </c>
      <c r="G351" s="3475">
        <v>0.15</v>
      </c>
    </row>
    <row r="352" spans="1:7">
      <c r="A352" s="3484" t="s">
        <v>1157</v>
      </c>
      <c r="B352" s="3473" t="s">
        <v>2999</v>
      </c>
      <c r="C352" s="3474">
        <v>0.15</v>
      </c>
      <c r="D352" s="3474">
        <v>0.15</v>
      </c>
      <c r="E352" s="3474">
        <v>0.15</v>
      </c>
      <c r="F352" s="3474">
        <v>0.14599999999999999</v>
      </c>
      <c r="G352" s="3475">
        <v>0.15</v>
      </c>
    </row>
    <row r="353" spans="1:7">
      <c r="A353" s="3484" t="s">
        <v>1157</v>
      </c>
      <c r="B353" s="3473" t="s">
        <v>3162</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3001</v>
      </c>
      <c r="C355" s="3474">
        <v>0.15</v>
      </c>
      <c r="D355" s="3474">
        <v>0.15</v>
      </c>
      <c r="E355" s="3474">
        <v>0.15</v>
      </c>
      <c r="F355" s="3474">
        <v>0.15</v>
      </c>
      <c r="G355" s="3475">
        <v>0.15</v>
      </c>
    </row>
    <row r="356" spans="1:7">
      <c r="A356" s="3484" t="s">
        <v>1157</v>
      </c>
      <c r="B356" s="3473" t="s">
        <v>3002</v>
      </c>
      <c r="C356" s="3474">
        <v>0.15</v>
      </c>
      <c r="D356" s="3474">
        <v>0.15</v>
      </c>
      <c r="E356" s="3474">
        <v>0.15</v>
      </c>
      <c r="F356" s="3474">
        <v>0.15</v>
      </c>
      <c r="G356" s="3475">
        <v>0.15</v>
      </c>
    </row>
    <row r="357" spans="1:7" ht="15" thickBot="1">
      <c r="A357" s="3487" t="s">
        <v>1157</v>
      </c>
      <c r="B357" s="3477" t="s">
        <v>3163</v>
      </c>
      <c r="C357" s="3478">
        <v>0.126</v>
      </c>
      <c r="D357" s="3478">
        <v>0.127</v>
      </c>
      <c r="E357" s="3478">
        <v>0.14299999999999999</v>
      </c>
      <c r="F357" s="3478">
        <v>0.125</v>
      </c>
      <c r="G357" s="3480">
        <v>0.129</v>
      </c>
    </row>
    <row r="358" spans="1:7">
      <c r="A358" s="3483" t="s">
        <v>3164</v>
      </c>
      <c r="B358" s="3469" t="s">
        <v>3165</v>
      </c>
      <c r="C358" s="3470">
        <v>0.15</v>
      </c>
      <c r="D358" s="3470">
        <v>0.15</v>
      </c>
      <c r="E358" s="3470">
        <v>0.15</v>
      </c>
      <c r="F358" s="3470">
        <v>0.15</v>
      </c>
      <c r="G358" s="3471">
        <v>0.15</v>
      </c>
    </row>
    <row r="359" spans="1:7">
      <c r="A359" s="3484" t="s">
        <v>3164</v>
      </c>
      <c r="B359" s="3473" t="s">
        <v>3166</v>
      </c>
      <c r="C359" s="3474">
        <v>0.1</v>
      </c>
      <c r="D359" s="3474">
        <v>0.1</v>
      </c>
      <c r="E359" s="3474">
        <v>0.1</v>
      </c>
      <c r="F359" s="3474">
        <v>0.1</v>
      </c>
      <c r="G359" s="3475">
        <v>0.1</v>
      </c>
    </row>
    <row r="360" spans="1:7">
      <c r="A360" s="3484" t="s">
        <v>3164</v>
      </c>
      <c r="B360" s="3473" t="s">
        <v>3167</v>
      </c>
      <c r="C360" s="3474">
        <v>0.15</v>
      </c>
      <c r="D360" s="3474">
        <v>0.15</v>
      </c>
      <c r="E360" s="3474">
        <v>0.15</v>
      </c>
      <c r="F360" s="3474">
        <v>0.14899999999999999</v>
      </c>
      <c r="G360" s="3475">
        <v>0.15</v>
      </c>
    </row>
    <row r="361" spans="1:7">
      <c r="A361" s="3484" t="s">
        <v>3164</v>
      </c>
      <c r="B361" s="3473" t="s">
        <v>999</v>
      </c>
      <c r="C361" s="3474">
        <v>0.15</v>
      </c>
      <c r="D361" s="3474">
        <v>0.15</v>
      </c>
      <c r="E361" s="3474">
        <v>0.15</v>
      </c>
      <c r="F361" s="3474">
        <v>0.115</v>
      </c>
      <c r="G361" s="3475">
        <v>0.15</v>
      </c>
    </row>
    <row r="362" spans="1:7">
      <c r="A362" s="3484" t="s">
        <v>3164</v>
      </c>
      <c r="B362" s="3473" t="s">
        <v>3168</v>
      </c>
      <c r="C362" s="3474">
        <v>0.15</v>
      </c>
      <c r="D362" s="3474">
        <v>0.15</v>
      </c>
      <c r="E362" s="3474">
        <v>0.15</v>
      </c>
      <c r="F362" s="3474">
        <v>0.106</v>
      </c>
      <c r="G362" s="3475">
        <v>0.15</v>
      </c>
    </row>
    <row r="363" spans="1:7">
      <c r="A363" s="3484" t="s">
        <v>3164</v>
      </c>
      <c r="B363" s="3473" t="s">
        <v>3008</v>
      </c>
      <c r="C363" s="3474">
        <v>0.15</v>
      </c>
      <c r="D363" s="3474">
        <v>0.15</v>
      </c>
      <c r="E363" s="3474">
        <v>0.15</v>
      </c>
      <c r="F363" s="3474">
        <v>0.14699999999999999</v>
      </c>
      <c r="G363" s="3475">
        <v>0.15</v>
      </c>
    </row>
    <row r="364" spans="1:7">
      <c r="A364" s="3484" t="s">
        <v>3164</v>
      </c>
      <c r="B364" s="3473" t="s">
        <v>3169</v>
      </c>
      <c r="C364" s="3474">
        <v>0.15</v>
      </c>
      <c r="D364" s="3474">
        <v>0.15</v>
      </c>
      <c r="E364" s="3474">
        <v>0.15</v>
      </c>
      <c r="F364" s="3474">
        <v>0.14799999999999999</v>
      </c>
      <c r="G364" s="3475">
        <v>0.15</v>
      </c>
    </row>
    <row r="365" spans="1:7">
      <c r="A365" s="3484" t="s">
        <v>3164</v>
      </c>
      <c r="B365" s="3473" t="s">
        <v>1047</v>
      </c>
      <c r="C365" s="3474">
        <v>0.15</v>
      </c>
      <c r="D365" s="3474">
        <v>0.15</v>
      </c>
      <c r="E365" s="3474">
        <v>0.15</v>
      </c>
      <c r="F365" s="3474">
        <v>0.15</v>
      </c>
      <c r="G365" s="3475">
        <v>0.15</v>
      </c>
    </row>
    <row r="366" spans="1:7">
      <c r="A366" s="3484" t="s">
        <v>3164</v>
      </c>
      <c r="B366" s="3473" t="s">
        <v>3010</v>
      </c>
      <c r="C366" s="3474">
        <v>0.15</v>
      </c>
      <c r="D366" s="3474">
        <v>0.15</v>
      </c>
      <c r="E366" s="3474">
        <v>0.15</v>
      </c>
      <c r="F366" s="3474">
        <v>0.15</v>
      </c>
      <c r="G366" s="3475">
        <v>0.15</v>
      </c>
    </row>
    <row r="367" spans="1:7">
      <c r="A367" s="3484" t="s">
        <v>3164</v>
      </c>
      <c r="B367" s="3473" t="s">
        <v>3170</v>
      </c>
      <c r="C367" s="3474">
        <v>0.15</v>
      </c>
      <c r="D367" s="3474">
        <v>0.15</v>
      </c>
      <c r="E367" s="3474">
        <v>0.15</v>
      </c>
      <c r="F367" s="3474">
        <v>0.14699999999999999</v>
      </c>
      <c r="G367" s="3475">
        <v>0.15</v>
      </c>
    </row>
    <row r="368" spans="1:7">
      <c r="A368" s="3484" t="s">
        <v>3164</v>
      </c>
      <c r="B368" s="3473" t="s">
        <v>3171</v>
      </c>
      <c r="C368" s="3474">
        <v>0.15</v>
      </c>
      <c r="D368" s="3474">
        <v>0.15</v>
      </c>
      <c r="E368" s="3474">
        <v>0.15</v>
      </c>
      <c r="F368" s="3474">
        <v>0.13600000000000001</v>
      </c>
      <c r="G368" s="3475">
        <v>0.15</v>
      </c>
    </row>
    <row r="369" spans="1:7">
      <c r="A369" s="3484" t="s">
        <v>3164</v>
      </c>
      <c r="B369" s="3473" t="s">
        <v>1061</v>
      </c>
      <c r="C369" s="3474">
        <v>0.15</v>
      </c>
      <c r="D369" s="3474">
        <v>0.15</v>
      </c>
      <c r="E369" s="3474">
        <v>0.15</v>
      </c>
      <c r="F369" s="3474">
        <v>0.14399999999999999</v>
      </c>
      <c r="G369" s="3475">
        <v>0.15</v>
      </c>
    </row>
    <row r="370" spans="1:7">
      <c r="A370" s="3484" t="s">
        <v>3164</v>
      </c>
      <c r="B370" s="3473" t="s">
        <v>1069</v>
      </c>
      <c r="C370" s="3474">
        <v>0.15</v>
      </c>
      <c r="D370" s="3474">
        <v>0.15</v>
      </c>
      <c r="E370" s="3474">
        <v>0.15</v>
      </c>
      <c r="F370" s="3474">
        <v>0.14599999999999999</v>
      </c>
      <c r="G370" s="3475">
        <v>0.15</v>
      </c>
    </row>
    <row r="371" spans="1:7">
      <c r="A371" s="3484" t="s">
        <v>3164</v>
      </c>
      <c r="B371" s="3473" t="s">
        <v>1077</v>
      </c>
      <c r="C371" s="3474">
        <v>0.15</v>
      </c>
      <c r="D371" s="3474">
        <v>0.15</v>
      </c>
      <c r="E371" s="3474">
        <v>0.15</v>
      </c>
      <c r="F371" s="3474">
        <v>0.12</v>
      </c>
      <c r="G371" s="3475">
        <v>0.15</v>
      </c>
    </row>
    <row r="372" spans="1:7">
      <c r="A372" s="3484" t="s">
        <v>3164</v>
      </c>
      <c r="B372" s="3473" t="s">
        <v>3172</v>
      </c>
      <c r="C372" s="3474">
        <v>0.15</v>
      </c>
      <c r="D372" s="3474">
        <v>0.15</v>
      </c>
      <c r="E372" s="3474">
        <v>0.15</v>
      </c>
      <c r="F372" s="3474">
        <v>0.14299999999999999</v>
      </c>
      <c r="G372" s="3475">
        <v>0.15</v>
      </c>
    </row>
    <row r="373" spans="1:7">
      <c r="A373" s="3484" t="s">
        <v>3164</v>
      </c>
      <c r="B373" s="3473" t="s">
        <v>1106</v>
      </c>
      <c r="C373" s="3474">
        <v>0.15</v>
      </c>
      <c r="D373" s="3474">
        <v>0.15</v>
      </c>
      <c r="E373" s="3474">
        <v>0.15</v>
      </c>
      <c r="F373" s="3474">
        <v>0.14599999999999999</v>
      </c>
      <c r="G373" s="3475">
        <v>0.15</v>
      </c>
    </row>
    <row r="374" spans="1:7">
      <c r="A374" s="3484" t="s">
        <v>3164</v>
      </c>
      <c r="B374" s="3473" t="s">
        <v>1114</v>
      </c>
      <c r="C374" s="3474">
        <v>0.15</v>
      </c>
      <c r="D374" s="3474">
        <v>0.15</v>
      </c>
      <c r="E374" s="3474">
        <v>0.15</v>
      </c>
      <c r="F374" s="3474">
        <v>0.14399999999999999</v>
      </c>
      <c r="G374" s="3475">
        <v>0.15</v>
      </c>
    </row>
    <row r="375" spans="1:7">
      <c r="A375" s="3484" t="s">
        <v>3164</v>
      </c>
      <c r="B375" s="3473" t="s">
        <v>3173</v>
      </c>
      <c r="C375" s="3474">
        <v>0.15</v>
      </c>
      <c r="D375" s="3474">
        <v>0.15</v>
      </c>
      <c r="E375" s="3474">
        <v>0.15</v>
      </c>
      <c r="F375" s="3474">
        <v>0.13</v>
      </c>
      <c r="G375" s="3475">
        <v>0.15</v>
      </c>
    </row>
    <row r="376" spans="1:7">
      <c r="A376" s="3484" t="s">
        <v>3164</v>
      </c>
      <c r="B376" s="3473" t="s">
        <v>1126</v>
      </c>
      <c r="C376" s="3474">
        <v>0.15</v>
      </c>
      <c r="D376" s="3474">
        <v>0.15</v>
      </c>
      <c r="E376" s="3474">
        <v>0.15</v>
      </c>
      <c r="F376" s="3474">
        <v>0.14199999999999999</v>
      </c>
      <c r="G376" s="3475">
        <v>0.15</v>
      </c>
    </row>
    <row r="377" spans="1:7" ht="15" thickBot="1">
      <c r="A377" s="3487" t="s">
        <v>3164</v>
      </c>
      <c r="B377" s="3477" t="s">
        <v>3015</v>
      </c>
      <c r="C377" s="3478">
        <v>0.15</v>
      </c>
      <c r="D377" s="3478">
        <v>0.15</v>
      </c>
      <c r="E377" s="3478">
        <v>0.15</v>
      </c>
      <c r="F377" s="3478">
        <v>0.14000000000000001</v>
      </c>
      <c r="G377" s="3480">
        <v>0.15</v>
      </c>
    </row>
    <row r="378" spans="1:7">
      <c r="A378" s="3483" t="s">
        <v>3174</v>
      </c>
      <c r="B378" s="3469" t="s">
        <v>3175</v>
      </c>
      <c r="C378" s="3470">
        <v>0.15</v>
      </c>
      <c r="D378" s="3470">
        <v>0.15</v>
      </c>
      <c r="E378" s="3470">
        <v>0.15</v>
      </c>
      <c r="F378" s="3470">
        <v>0.107</v>
      </c>
      <c r="G378" s="3471">
        <v>0.15</v>
      </c>
    </row>
    <row r="379" spans="1:7">
      <c r="A379" s="3484" t="s">
        <v>3174</v>
      </c>
      <c r="B379" s="3473" t="s">
        <v>3176</v>
      </c>
      <c r="C379" s="3474">
        <v>0.15</v>
      </c>
      <c r="D379" s="3474">
        <v>0.15</v>
      </c>
      <c r="E379" s="3474">
        <v>0.15</v>
      </c>
      <c r="F379" s="3474">
        <v>0.115</v>
      </c>
      <c r="G379" s="3475">
        <v>0.14899999999999999</v>
      </c>
    </row>
    <row r="380" spans="1:7">
      <c r="A380" s="3484" t="s">
        <v>3177</v>
      </c>
      <c r="B380" s="3473" t="s">
        <v>3178</v>
      </c>
      <c r="C380" s="3474">
        <v>0.15</v>
      </c>
      <c r="D380" s="3474">
        <v>0.15</v>
      </c>
      <c r="E380" s="3474">
        <v>0.15</v>
      </c>
      <c r="F380" s="3474">
        <v>0.1</v>
      </c>
      <c r="G380" s="3475">
        <v>0.14799999999999999</v>
      </c>
    </row>
    <row r="381" spans="1:7">
      <c r="A381" s="3484" t="s">
        <v>3177</v>
      </c>
      <c r="B381" s="3473" t="s">
        <v>3179</v>
      </c>
      <c r="C381" s="3474">
        <v>0.15</v>
      </c>
      <c r="D381" s="3474">
        <v>0.15</v>
      </c>
      <c r="E381" s="3474">
        <v>0.15</v>
      </c>
      <c r="F381" s="3474">
        <v>0.126</v>
      </c>
      <c r="G381" s="3475">
        <v>0.15</v>
      </c>
    </row>
    <row r="382" spans="1:7">
      <c r="A382" s="3484" t="s">
        <v>3177</v>
      </c>
      <c r="B382" s="3473" t="s">
        <v>3180</v>
      </c>
      <c r="C382" s="3474">
        <v>0.15</v>
      </c>
      <c r="D382" s="3474">
        <v>0.15</v>
      </c>
      <c r="E382" s="3474">
        <v>0.15</v>
      </c>
      <c r="F382" s="3474">
        <v>0.15</v>
      </c>
      <c r="G382" s="3475">
        <v>0.15</v>
      </c>
    </row>
    <row r="383" spans="1:7">
      <c r="A383" s="3484" t="s">
        <v>3177</v>
      </c>
      <c r="B383" s="3473" t="s">
        <v>3181</v>
      </c>
      <c r="C383" s="3474">
        <v>0.15</v>
      </c>
      <c r="D383" s="3474">
        <v>0.15</v>
      </c>
      <c r="E383" s="3474">
        <v>0.15</v>
      </c>
      <c r="F383" s="3474">
        <v>0.14699999999999999</v>
      </c>
      <c r="G383" s="3475">
        <v>0.15</v>
      </c>
    </row>
    <row r="384" spans="1:7" ht="15" thickBot="1">
      <c r="A384" s="3494" t="s">
        <v>3177</v>
      </c>
      <c r="B384" s="3495" t="s">
        <v>3182</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13878.77平方米。根据《建设工程规划许可证》[]、《出让合同》[]，估价对象规划建筑面积为1993.1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根据《国有土地使用证》[]，估价对象（分摊）出让国有建设用地使用权面积为13878.77平方米。根据《建设工程规划许可证》[]、《出让合同》[]，估价对象规划建筑面积为1993.1平方米。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3" sqref="F3"/>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80" t="s">
        <v>1858</v>
      </c>
      <c r="C1" s="3980"/>
      <c r="D1" s="3980"/>
      <c r="E1" s="3980"/>
      <c r="F1" s="3980"/>
      <c r="G1" s="3979" t="s">
        <v>1859</v>
      </c>
      <c r="H1" s="3979"/>
      <c r="I1" s="3979"/>
      <c r="J1" s="3979"/>
      <c r="K1" s="3979"/>
      <c r="L1" s="3979"/>
      <c r="N1" s="3979" t="s">
        <v>1860</v>
      </c>
      <c r="O1" s="3979"/>
      <c r="P1" s="3979"/>
      <c r="Q1" s="3979"/>
      <c r="S1" s="3979" t="s">
        <v>1861</v>
      </c>
      <c r="T1" s="3979"/>
      <c r="U1" s="3979"/>
      <c r="V1" s="3979"/>
      <c r="X1" s="3978" t="s">
        <v>1921</v>
      </c>
      <c r="Y1" s="3979"/>
      <c r="Z1" s="3979"/>
      <c r="AA1" s="3979"/>
      <c r="AB1" s="3979"/>
      <c r="AD1" s="3978" t="s">
        <v>1925</v>
      </c>
      <c r="AE1" s="3979"/>
      <c r="AF1" s="3979"/>
      <c r="AG1" s="3979"/>
      <c r="AH1" s="3979"/>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82">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82"/>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82"/>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88"/>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87">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82"/>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82"/>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88"/>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87">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82"/>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82"/>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83"/>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81">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82"/>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82"/>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83"/>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81">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82"/>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82"/>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83"/>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84">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85"/>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85"/>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86"/>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81">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82"/>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82"/>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83"/>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81">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82">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82">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83">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81">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82">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82">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83">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81">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82">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82">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83">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81">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82">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82">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83">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81">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82">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82">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83">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81">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82">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82">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83">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81">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82">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82">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83">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81">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82">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82">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83">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81">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82">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82">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83">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81">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82">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82">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83">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M35" sqref="AM3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9">
        <f>基准地价!G23</f>
        <v>45839</v>
      </c>
      <c r="B1" s="3347" t="s">
        <v>3262</v>
      </c>
      <c r="C1" s="3348"/>
      <c r="D1" s="3348"/>
      <c r="E1" s="3348"/>
      <c r="F1" s="3348"/>
      <c r="G1" s="3348"/>
      <c r="H1" s="3348"/>
      <c r="I1" s="3348"/>
      <c r="J1" s="3349"/>
      <c r="K1" s="3348" t="s">
        <v>2788</v>
      </c>
      <c r="L1" s="3348"/>
      <c r="M1" s="3348"/>
      <c r="N1" s="3348"/>
      <c r="O1" s="3348"/>
      <c r="P1" s="3348"/>
      <c r="Q1" s="3349"/>
      <c r="R1" s="3989" t="s">
        <v>2796</v>
      </c>
      <c r="S1" s="3990"/>
      <c r="T1" s="3990"/>
      <c r="U1" s="3990"/>
      <c r="V1" s="3990"/>
      <c r="W1" s="3990"/>
      <c r="X1" s="3349"/>
      <c r="Y1" s="3989" t="s">
        <v>2807</v>
      </c>
      <c r="Z1" s="3990"/>
      <c r="AA1" s="3990"/>
      <c r="AB1" s="3990"/>
      <c r="AC1" s="3990"/>
      <c r="AD1" s="3990"/>
    </row>
    <row r="2" spans="1:44" ht="15" thickBot="1">
      <c r="A2" s="3340"/>
      <c r="B2" s="3350"/>
      <c r="C2" s="3351"/>
      <c r="D2" s="3352" t="s">
        <v>2790</v>
      </c>
      <c r="E2" s="3353" t="s">
        <v>2791</v>
      </c>
      <c r="F2" s="3353" t="s">
        <v>2792</v>
      </c>
      <c r="G2" s="3353" t="s">
        <v>2793</v>
      </c>
      <c r="H2" s="3353" t="s">
        <v>2794</v>
      </c>
      <c r="I2" s="3353" t="s">
        <v>2737</v>
      </c>
      <c r="J2" s="3354"/>
      <c r="K2" s="3352" t="s">
        <v>2790</v>
      </c>
      <c r="L2" s="3353" t="s">
        <v>2791</v>
      </c>
      <c r="M2" s="3353" t="s">
        <v>2792</v>
      </c>
      <c r="N2" s="3353" t="s">
        <v>2793</v>
      </c>
      <c r="O2" s="3353" t="s">
        <v>2794</v>
      </c>
      <c r="P2" s="3353" t="s">
        <v>2737</v>
      </c>
      <c r="Q2" s="3354"/>
      <c r="R2" s="3352" t="s">
        <v>2797</v>
      </c>
      <c r="S2" s="3353" t="s">
        <v>2798</v>
      </c>
      <c r="T2" s="3353" t="s">
        <v>2799</v>
      </c>
      <c r="U2" s="3353" t="s">
        <v>2800</v>
      </c>
      <c r="V2" s="3353" t="s">
        <v>2801</v>
      </c>
      <c r="W2" s="3353" t="s">
        <v>2802</v>
      </c>
      <c r="X2" s="3354"/>
      <c r="Y2" s="3352" t="s">
        <v>2790</v>
      </c>
      <c r="Z2" s="3353" t="s">
        <v>1470</v>
      </c>
      <c r="AA2" s="3353" t="s">
        <v>2808</v>
      </c>
      <c r="AB2" s="3353" t="s">
        <v>1469</v>
      </c>
      <c r="AC2" s="3353" t="s">
        <v>2794</v>
      </c>
      <c r="AD2" s="3353" t="s">
        <v>2454</v>
      </c>
      <c r="AF2" t="s">
        <v>3310</v>
      </c>
      <c r="AG2" t="s">
        <v>2738</v>
      </c>
      <c r="AH2" t="s">
        <v>1212</v>
      </c>
      <c r="AI2" t="s">
        <v>851</v>
      </c>
      <c r="AJ2" t="s">
        <v>905</v>
      </c>
      <c r="AK2" t="s">
        <v>2736</v>
      </c>
      <c r="AM2" t="s">
        <v>3310</v>
      </c>
      <c r="AN2" t="s">
        <v>2738</v>
      </c>
      <c r="AO2" t="s">
        <v>1212</v>
      </c>
      <c r="AP2" t="s">
        <v>851</v>
      </c>
      <c r="AQ2" t="s">
        <v>905</v>
      </c>
      <c r="AR2" t="s">
        <v>2736</v>
      </c>
    </row>
    <row r="3" spans="1:44">
      <c r="A3" s="3341" t="s">
        <v>2779</v>
      </c>
      <c r="B3" s="3355"/>
      <c r="C3" s="3356"/>
      <c r="D3" s="3356">
        <f>ROUND(AVERAGEIF(D4:D24,"&lt;&gt;0"),2)</f>
        <v>0.37</v>
      </c>
      <c r="E3" s="3356">
        <f>ROUND(AVERAGEIF(E4:E24,"&lt;&gt;0"),2)</f>
        <v>0.16</v>
      </c>
      <c r="F3" s="3356">
        <f>ROUND(AVERAGEIF(F4:F24,"&lt;&gt;0"),2)</f>
        <v>-0.12</v>
      </c>
      <c r="G3" s="3356">
        <f>ROUND(AVERAGEIF(G4:G24,"&lt;&gt;0"),2)</f>
        <v>0.44</v>
      </c>
      <c r="H3" s="3356">
        <f>ROUND(AVERAGEIF(H4:H24,"&lt;&gt;0"),2)</f>
        <v>0.5</v>
      </c>
      <c r="I3" s="3356">
        <f>F3</f>
        <v>-0.12</v>
      </c>
      <c r="J3" s="3357"/>
      <c r="K3" s="3358">
        <f>ROUND(AVERAGEIF(K4:K24,"&lt;&gt;0"),4)</f>
        <v>3.7000000000000002E-3</v>
      </c>
      <c r="L3" s="3359">
        <f>ROUND(AVERAGEIF(L4:L24,"&lt;&gt;0"),4)</f>
        <v>1.6000000000000001E-3</v>
      </c>
      <c r="M3" s="3359">
        <f>ROUND(AVERAGEIF(M4:M24,"&lt;&gt;0"),4)</f>
        <v>-1.1999999999999999E-3</v>
      </c>
      <c r="N3" s="3359">
        <f>ROUND(AVERAGEIF(N4:N24,"&lt;&gt;0"),4)</f>
        <v>4.4000000000000003E-3</v>
      </c>
      <c r="O3" s="3359">
        <f>ROUND(AVERAGEIF(O4:O24,"&lt;&gt;0"),4)</f>
        <v>5.0000000000000001E-3</v>
      </c>
      <c r="P3" s="3359">
        <f>M3</f>
        <v>-1.1999999999999999E-3</v>
      </c>
      <c r="Q3" s="3357"/>
      <c r="R3" s="3374">
        <f>ROUND(SUMPRODUCT(PRODUCT(1+K4:K24)),4)</f>
        <v>1.0680000000000001</v>
      </c>
      <c r="S3" s="3375">
        <f>ROUND(SUMPRODUCT(PRODUCT(1+L4:L24)),4)</f>
        <v>1.0290999999999999</v>
      </c>
      <c r="T3" s="3375">
        <f>ROUND(SUMPRODUCT(PRODUCT(1+M4:M24)),4)</f>
        <v>0.97850000000000004</v>
      </c>
      <c r="U3" s="3375">
        <f>ROUND(SUMPRODUCT(PRODUCT(1+N4:N24)),4)</f>
        <v>1.0807</v>
      </c>
      <c r="V3" s="3375">
        <f>ROUND(SUMPRODUCT(PRODUCT(1+O4:O24)),4)</f>
        <v>1.093</v>
      </c>
      <c r="W3" s="3374">
        <f>T3</f>
        <v>0.97850000000000004</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3312</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1.0577000000000001</v>
      </c>
      <c r="S5" s="3380">
        <f>ROUND(IF(项目基本情况!$B$8="出让",SUMPRODUCT(PRODUCT(1+L5:$L$24)),SUMPRODUCT(PRODUCT(1+L5:$L$23))),4)</f>
        <v>1.0275000000000001</v>
      </c>
      <c r="T5" s="3380">
        <f>ROUND(IF(项目基本情况!$B$8="出让",SUMPRODUCT(PRODUCT(1+M5:$M$24)),SUMPRODUCT(PRODUCT(1+M5:$M$23))),4)</f>
        <v>0.98089999999999999</v>
      </c>
      <c r="U5" s="3380">
        <f>ROUND(IF(项目基本情况!$B$8="出让",SUMPRODUCT(PRODUCT(1+N5:$N$24)),SUMPRODUCT(PRODUCT(1+N5:$N$23))),4)</f>
        <v>1.0689</v>
      </c>
      <c r="V5" s="3380">
        <f>ROUND(IF(项目基本情况!$B$8="出让",SUMPRODUCT(PRODUCT(1+O5:$O$24)),SUMPRODUCT(PRODUCT(1+O5:$O$23))),4)</f>
        <v>1.0891</v>
      </c>
      <c r="W5" s="3380">
        <f t="shared" ref="W5:W11" si="7">T5</f>
        <v>0.98089999999999999</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105.77000000000001</v>
      </c>
      <c r="AG5" s="3679">
        <f t="shared" ref="AG5" si="15">$AG$24*S5</f>
        <v>102.75000000000001</v>
      </c>
      <c r="AH5" s="3679">
        <f t="shared" ref="AH5" si="16">$AH$24*T5</f>
        <v>98.09</v>
      </c>
      <c r="AI5" s="3679">
        <f t="shared" ref="AI5" si="17">$AI$24*U5</f>
        <v>106.89</v>
      </c>
      <c r="AJ5" s="3679">
        <f t="shared" ref="AJ5" si="18">$AJ$24*V5</f>
        <v>108.91</v>
      </c>
      <c r="AK5" s="3679">
        <f t="shared" ref="AK5" si="19">$AK$24*W5</f>
        <v>98.09</v>
      </c>
      <c r="AM5" s="3678">
        <v>100</v>
      </c>
      <c r="AN5" s="3678">
        <v>100</v>
      </c>
      <c r="AO5" s="3678">
        <v>100</v>
      </c>
      <c r="AP5" s="3678">
        <v>100</v>
      </c>
      <c r="AQ5" s="3678">
        <v>100</v>
      </c>
      <c r="AR5" s="3678">
        <v>100</v>
      </c>
    </row>
    <row r="6" spans="1:44">
      <c r="A6" s="3662" t="s">
        <v>3311</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1.0577000000000001</v>
      </c>
      <c r="S6" s="3380">
        <f>ROUND(IF(项目基本情况!$B$8="出让",SUMPRODUCT(PRODUCT(1+L6:$L$24)),SUMPRODUCT(PRODUCT(1+L6:$L$23))),4)</f>
        <v>1.0275000000000001</v>
      </c>
      <c r="T6" s="3380">
        <f>ROUND(IF(项目基本情况!$B$8="出让",SUMPRODUCT(PRODUCT(1+M6:$M$24)),SUMPRODUCT(PRODUCT(1+M6:$M$23))),4)</f>
        <v>0.98089999999999999</v>
      </c>
      <c r="U6" s="3380">
        <f>ROUND(IF(项目基本情况!$B$8="出让",SUMPRODUCT(PRODUCT(1+N6:$N$24)),SUMPRODUCT(PRODUCT(1+N6:$N$23))),4)</f>
        <v>1.0689</v>
      </c>
      <c r="V6" s="3380">
        <f>ROUND(IF(项目基本情况!$B$8="出让",SUMPRODUCT(PRODUCT(1+O6:$O$24)),SUMPRODUCT(PRODUCT(1+O6:$O$23))),4)</f>
        <v>1.0891</v>
      </c>
      <c r="W6" s="3380">
        <f t="shared" si="7"/>
        <v>0.98089999999999999</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105.77000000000001</v>
      </c>
      <c r="AG6" s="3679">
        <f t="shared" ref="AG6" si="33">$AG$24*S6</f>
        <v>102.75000000000001</v>
      </c>
      <c r="AH6" s="3679">
        <f t="shared" ref="AH6" si="34">$AH$24*T6</f>
        <v>98.09</v>
      </c>
      <c r="AI6" s="3679">
        <f t="shared" ref="AI6" si="35">$AI$24*U6</f>
        <v>106.89</v>
      </c>
      <c r="AJ6" s="3679">
        <f t="shared" ref="AJ6" si="36">$AJ$24*V6</f>
        <v>108.91</v>
      </c>
      <c r="AK6" s="3679">
        <f t="shared" ref="AK6" si="37">$AK$24*W6</f>
        <v>98.09</v>
      </c>
      <c r="AM6" s="3679">
        <f>AM5/(1+D5/100)</f>
        <v>100</v>
      </c>
      <c r="AN6" s="3679">
        <f t="shared" ref="AN6:AR6" si="38">AN5/(1+E5/100)</f>
        <v>100</v>
      </c>
      <c r="AO6" s="3679">
        <f t="shared" si="38"/>
        <v>100</v>
      </c>
      <c r="AP6" s="3679">
        <f t="shared" si="38"/>
        <v>100</v>
      </c>
      <c r="AQ6" s="3679">
        <f t="shared" si="38"/>
        <v>100</v>
      </c>
      <c r="AR6" s="3679">
        <f t="shared" si="38"/>
        <v>100</v>
      </c>
    </row>
    <row r="7" spans="1:44">
      <c r="A7" s="3344" t="s">
        <v>3313</v>
      </c>
      <c r="B7" s="3405">
        <v>2025</v>
      </c>
      <c r="C7" s="3406">
        <v>2</v>
      </c>
      <c r="D7" s="3406">
        <v>0.05</v>
      </c>
      <c r="E7" s="3406">
        <v>-0.62</v>
      </c>
      <c r="F7" s="3406">
        <v>-1.05</v>
      </c>
      <c r="G7" s="3406">
        <v>0.09</v>
      </c>
      <c r="H7" s="3407">
        <v>0.17</v>
      </c>
      <c r="I7" s="3408">
        <f t="shared" ref="I7" si="39">F7</f>
        <v>-1.05</v>
      </c>
      <c r="J7" s="3367"/>
      <c r="K7" s="3368">
        <f t="shared" ref="K7" si="40">D7/100</f>
        <v>5.0000000000000001E-4</v>
      </c>
      <c r="L7" s="3369">
        <f t="shared" ref="L7" si="41">E7/100</f>
        <v>-6.1999999999999998E-3</v>
      </c>
      <c r="M7" s="3369">
        <f t="shared" ref="M7" si="42">F7/100</f>
        <v>-1.0500000000000001E-2</v>
      </c>
      <c r="N7" s="3369">
        <f t="shared" ref="N7" si="43">G7/100</f>
        <v>8.9999999999999998E-4</v>
      </c>
      <c r="O7" s="3369">
        <f t="shared" ref="O7" si="44">H7/100</f>
        <v>1.7000000000000001E-3</v>
      </c>
      <c r="P7" s="3369">
        <f t="shared" si="6"/>
        <v>-1.0500000000000001E-2</v>
      </c>
      <c r="Q7" s="3367"/>
      <c r="R7" s="3367">
        <f>ROUND(IF(项目基本情况!$B$8="出让",SUMPRODUCT(PRODUCT(1+K7:$K$24)),SUMPRODUCT(PRODUCT(1+K7:$K$23))),4)</f>
        <v>1.0577000000000001</v>
      </c>
      <c r="S7" s="3367">
        <f>ROUND(IF(项目基本情况!$B$8="出让",SUMPRODUCT(PRODUCT(1+L7:$L$24)),SUMPRODUCT(PRODUCT(1+L7:$L$23))),4)</f>
        <v>1.0275000000000001</v>
      </c>
      <c r="T7" s="3367">
        <f>ROUND(IF(项目基本情况!$B$8="出让",SUMPRODUCT(PRODUCT(1+M7:$M$24)),SUMPRODUCT(PRODUCT(1+M7:$M$23))),4)</f>
        <v>0.98089999999999999</v>
      </c>
      <c r="U7" s="3367">
        <f>ROUND(IF(项目基本情况!$B$8="出让",SUMPRODUCT(PRODUCT(1+N7:$N$24)),SUMPRODUCT(PRODUCT(1+N7:$N$23))),4)</f>
        <v>1.0689</v>
      </c>
      <c r="V7" s="3367">
        <f>ROUND(IF(项目基本情况!$B$8="出让",SUMPRODUCT(PRODUCT(1+O7:$O$24)),SUMPRODUCT(PRODUCT(1+O7:$O$23))),4)</f>
        <v>1.0891</v>
      </c>
      <c r="W7" s="3367">
        <f t="shared" si="7"/>
        <v>0.98089999999999999</v>
      </c>
      <c r="X7" s="3364"/>
      <c r="Y7" s="3389">
        <f t="shared" ref="Y7" si="45">IF(D7=0,0,ROUND(AVERAGE(D7:D20)/100,4))</f>
        <v>2.3E-3</v>
      </c>
      <c r="Z7" s="3389">
        <f t="shared" ref="Z7" si="46">IF(E7=0,0,ROUND(AVERAGE(E7:E20)/100,4))</f>
        <v>1E-3</v>
      </c>
      <c r="AA7" s="3389">
        <f t="shared" ref="AA7" si="47">IF(F7=0,0,ROUND(AVERAGE(F7:F20)/100,4))</f>
        <v>-1.9E-3</v>
      </c>
      <c r="AB7" s="3389">
        <f t="shared" ref="AB7" si="48">IF(G7=0,0,ROUND(AVERAGE(G7:G20)/100,4))</f>
        <v>2.8999999999999998E-3</v>
      </c>
      <c r="AC7" s="3389">
        <f t="shared" ref="AC7" si="49">IF(H7=0,0,ROUND(AVERAGE(H7:H20)/100,4))</f>
        <v>4.7000000000000002E-3</v>
      </c>
      <c r="AD7" s="3389">
        <f t="shared" ref="AD7" si="50">AA7</f>
        <v>-1.9E-3</v>
      </c>
      <c r="AF7" s="3679">
        <f t="shared" ref="AF7" si="51">$AF$24*R7</f>
        <v>105.77000000000001</v>
      </c>
      <c r="AG7" s="3679">
        <f t="shared" ref="AG7" si="52">$AG$24*S7</f>
        <v>102.75000000000001</v>
      </c>
      <c r="AH7" s="3679">
        <f t="shared" ref="AH7" si="53">$AH$24*T7</f>
        <v>98.09</v>
      </c>
      <c r="AI7" s="3679">
        <f t="shared" ref="AI7" si="54">$AI$24*U7</f>
        <v>106.89</v>
      </c>
      <c r="AJ7" s="3679">
        <f t="shared" ref="AJ7" si="55">$AJ$24*V7</f>
        <v>108.91</v>
      </c>
      <c r="AK7" s="3679">
        <f t="shared" ref="AK7" si="56">$AK$24*W7</f>
        <v>98.09</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3259</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1.0571999999999999</v>
      </c>
      <c r="S8" s="3380">
        <f>ROUND(IF(项目基本情况!$B$8="出让",SUMPRODUCT(PRODUCT(1+L8:$L$24)),SUMPRODUCT(PRODUCT(1+L8:$L$23))),4)</f>
        <v>1.0339</v>
      </c>
      <c r="T8" s="3380">
        <f>ROUND(IF(项目基本情况!$B$8="出让",SUMPRODUCT(PRODUCT(1+M8:$M$24)),SUMPRODUCT(PRODUCT(1+M8:$M$23))),4)</f>
        <v>0.99129999999999996</v>
      </c>
      <c r="U8" s="3380">
        <f>ROUND(IF(项目基本情况!$B$8="出让",SUMPRODUCT(PRODUCT(1+N8:$N$24)),SUMPRODUCT(PRODUCT(1+N8:$N$23))),4)</f>
        <v>1.0679000000000001</v>
      </c>
      <c r="V8" s="3380">
        <f>ROUND(IF(项目基本情况!$B$8="出让",SUMPRODUCT(PRODUCT(1+O8:$O$24)),SUMPRODUCT(PRODUCT(1+O8:$O$23))),4)</f>
        <v>1.0871999999999999</v>
      </c>
      <c r="W8" s="3380">
        <f t="shared" si="7"/>
        <v>0.99129999999999996</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105.72</v>
      </c>
      <c r="AG8" s="3679">
        <f t="shared" ref="AG8:AG22" si="76">$AG$24*S8</f>
        <v>103.39</v>
      </c>
      <c r="AH8" s="3679">
        <f t="shared" ref="AH8:AH22" si="77">$AH$24*T8</f>
        <v>99.13</v>
      </c>
      <c r="AI8" s="3679">
        <f t="shared" ref="AI8:AI22" si="78">$AI$24*U8</f>
        <v>106.79</v>
      </c>
      <c r="AJ8" s="3679">
        <f t="shared" ref="AJ8:AJ22" si="79">$AJ$24*V8</f>
        <v>108.72</v>
      </c>
      <c r="AK8" s="3679">
        <f t="shared" ref="AK8:AK22" si="80">$AK$24*W8</f>
        <v>99.13</v>
      </c>
      <c r="AM8" s="3679">
        <f t="shared" si="57"/>
        <v>99.950024987506254</v>
      </c>
      <c r="AN8" s="3679">
        <f t="shared" si="58"/>
        <v>100.6238679814852</v>
      </c>
      <c r="AO8" s="3679">
        <f t="shared" si="59"/>
        <v>101.06114199090449</v>
      </c>
      <c r="AP8" s="3679">
        <f t="shared" si="60"/>
        <v>99.910080927165566</v>
      </c>
      <c r="AQ8" s="3679">
        <f t="shared" si="61"/>
        <v>99.830288509533787</v>
      </c>
      <c r="AR8" s="3679">
        <f t="shared" si="62"/>
        <v>101.06114199090449</v>
      </c>
    </row>
    <row r="9" spans="1:44">
      <c r="A9" s="3662" t="s">
        <v>3314</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1.0511999999999999</v>
      </c>
      <c r="S9" s="3380">
        <f>ROUND(IF(项目基本情况!$B$8="出让",SUMPRODUCT(PRODUCT(1+L9:$L$24)),SUMPRODUCT(PRODUCT(1+L9:$L$23))),4)</f>
        <v>1.0398000000000001</v>
      </c>
      <c r="T9" s="3380">
        <f>ROUND(IF(项目基本情况!$B$8="出让",SUMPRODUCT(PRODUCT(1+M9:$M$24)),SUMPRODUCT(PRODUCT(1+M9:$M$23))),4)</f>
        <v>1.0003</v>
      </c>
      <c r="U9" s="3380">
        <f>ROUND(IF(项目基本情况!$B$8="出让",SUMPRODUCT(PRODUCT(1+N9:$N$24)),SUMPRODUCT(PRODUCT(1+N9:$N$23))),4)</f>
        <v>1.0561</v>
      </c>
      <c r="V9" s="3380">
        <f>ROUND(IF(项目基本情况!$B$8="出让",SUMPRODUCT(PRODUCT(1+O9:$O$24)),SUMPRODUCT(PRODUCT(1+O9:$O$23))),4)</f>
        <v>1.0827</v>
      </c>
      <c r="W9" s="3380">
        <f t="shared" si="7"/>
        <v>1.0003</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105.11999999999999</v>
      </c>
      <c r="AG9" s="3679">
        <f t="shared" si="76"/>
        <v>103.98</v>
      </c>
      <c r="AH9" s="3679">
        <f t="shared" si="77"/>
        <v>100.03</v>
      </c>
      <c r="AI9" s="3679">
        <f t="shared" si="78"/>
        <v>105.61</v>
      </c>
      <c r="AJ9" s="3679">
        <f t="shared" si="79"/>
        <v>108.27</v>
      </c>
      <c r="AK9" s="3679">
        <f t="shared" si="80"/>
        <v>100.03</v>
      </c>
      <c r="AM9" s="3679">
        <f t="shared" si="57"/>
        <v>99.383538816253605</v>
      </c>
      <c r="AN9" s="3679">
        <f t="shared" si="58"/>
        <v>101.20071204011386</v>
      </c>
      <c r="AO9" s="3679">
        <f t="shared" si="59"/>
        <v>101.97895256398031</v>
      </c>
      <c r="AP9" s="3679">
        <f t="shared" si="60"/>
        <v>98.80348192955455</v>
      </c>
      <c r="AQ9" s="3679">
        <f t="shared" si="61"/>
        <v>99.412754938790869</v>
      </c>
      <c r="AR9" s="3679">
        <f t="shared" si="62"/>
        <v>101.97895256398031</v>
      </c>
    </row>
    <row r="10" spans="1:44">
      <c r="A10" s="3662" t="s">
        <v>3254</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1.0620000000000001</v>
      </c>
      <c r="S10" s="3380">
        <f>ROUND(IF(项目基本情况!$B$8="出让",SUMPRODUCT(PRODUCT(1+L10:$L$24)),SUMPRODUCT(PRODUCT(1+L10:$L$23))),4)</f>
        <v>1.0448</v>
      </c>
      <c r="T10" s="3380">
        <f>ROUND(IF(项目基本情况!$B$8="出让",SUMPRODUCT(PRODUCT(1+M10:$M$24)),SUMPRODUCT(PRODUCT(1+M10:$M$23))),4)</f>
        <v>1.0079</v>
      </c>
      <c r="U10" s="3380">
        <f>ROUND(IF(项目基本情况!$B$8="出让",SUMPRODUCT(PRODUCT(1+N10:$N$24)),SUMPRODUCT(PRODUCT(1+N10:$N$23))),4)</f>
        <v>1.0672999999999999</v>
      </c>
      <c r="V10" s="3380">
        <f>ROUND(IF(项目基本情况!$B$8="出让",SUMPRODUCT(PRODUCT(1+O10:$O$24)),SUMPRODUCT(PRODUCT(1+O10:$O$23))),4)</f>
        <v>1.0818000000000001</v>
      </c>
      <c r="W10" s="3380">
        <f t="shared" si="7"/>
        <v>1.0079</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106.2</v>
      </c>
      <c r="AG10" s="3679">
        <f t="shared" si="76"/>
        <v>104.47999999999999</v>
      </c>
      <c r="AH10" s="3679">
        <f t="shared" si="77"/>
        <v>100.79</v>
      </c>
      <c r="AI10" s="3679">
        <f t="shared" si="78"/>
        <v>106.72999999999999</v>
      </c>
      <c r="AJ10" s="3679">
        <f t="shared" si="79"/>
        <v>108.18</v>
      </c>
      <c r="AK10" s="3679">
        <f t="shared" si="80"/>
        <v>100.79</v>
      </c>
      <c r="AM10" s="3679">
        <f t="shared" si="57"/>
        <v>100.40769732900949</v>
      </c>
      <c r="AN10" s="3679">
        <f t="shared" si="58"/>
        <v>101.68881836828162</v>
      </c>
      <c r="AO10" s="3679">
        <f t="shared" si="59"/>
        <v>102.74957437176857</v>
      </c>
      <c r="AP10" s="3679">
        <f t="shared" si="60"/>
        <v>99.851927164784783</v>
      </c>
      <c r="AQ10" s="3679">
        <f t="shared" si="61"/>
        <v>99.333288308144361</v>
      </c>
      <c r="AR10" s="3679">
        <f t="shared" si="62"/>
        <v>102.74957437176857</v>
      </c>
    </row>
    <row r="11" spans="1:44">
      <c r="A11" s="3343" t="s">
        <v>3260</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1.0748</v>
      </c>
      <c r="S11" s="3380">
        <f>ROUND(IF(项目基本情况!$B$8="出让",SUMPRODUCT(PRODUCT(1+L11:$L$24)),SUMPRODUCT(PRODUCT(1+L11:$L$23))),4)</f>
        <v>1.0498000000000001</v>
      </c>
      <c r="T11" s="3380">
        <f>ROUND(IF(项目基本情况!$B$8="出让",SUMPRODUCT(PRODUCT(1+M11:$M$24)),SUMPRODUCT(PRODUCT(1+M11:$M$23))),4)</f>
        <v>1.0107999999999999</v>
      </c>
      <c r="U11" s="3380">
        <f>ROUND(IF(项目基本情况!$B$8="出让",SUMPRODUCT(PRODUCT(1+N11:$N$24)),SUMPRODUCT(PRODUCT(1+N11:$N$23))),4)</f>
        <v>1.0752999999999999</v>
      </c>
      <c r="V11" s="3380">
        <f>ROUND(IF(项目基本情况!$B$8="出让",SUMPRODUCT(PRODUCT(1+O11:$O$24)),SUMPRODUCT(PRODUCT(1+O11:$O$23))),4)</f>
        <v>1.0841000000000001</v>
      </c>
      <c r="W11" s="3380">
        <f t="shared" si="7"/>
        <v>1.0107999999999999</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107.48</v>
      </c>
      <c r="AG11" s="3679">
        <f t="shared" si="76"/>
        <v>104.98</v>
      </c>
      <c r="AH11" s="3679">
        <f t="shared" si="77"/>
        <v>101.08</v>
      </c>
      <c r="AI11" s="3679">
        <f t="shared" si="78"/>
        <v>107.52999999999999</v>
      </c>
      <c r="AJ11" s="3679">
        <f t="shared" si="79"/>
        <v>108.41000000000001</v>
      </c>
      <c r="AK11" s="3679">
        <f t="shared" si="80"/>
        <v>101.08</v>
      </c>
      <c r="AM11" s="3679">
        <f t="shared" si="57"/>
        <v>101.61693890194262</v>
      </c>
      <c r="AN11" s="3679">
        <f t="shared" si="58"/>
        <v>102.16901272810371</v>
      </c>
      <c r="AO11" s="3679">
        <f t="shared" si="59"/>
        <v>103.04841477461495</v>
      </c>
      <c r="AP11" s="3679">
        <f t="shared" si="60"/>
        <v>100.59634008138704</v>
      </c>
      <c r="AQ11" s="3679">
        <f t="shared" si="61"/>
        <v>99.542327195254401</v>
      </c>
      <c r="AR11" s="3679">
        <f t="shared" si="62"/>
        <v>103.04841477461495</v>
      </c>
    </row>
    <row r="12" spans="1:44">
      <c r="A12" s="3343" t="s">
        <v>3257</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1.0811999999999999</v>
      </c>
      <c r="S12" s="3380">
        <f>ROUND(IF(项目基本情况!$B$8="出让",SUMPRODUCT(PRODUCT(1+L12:$L$24)),SUMPRODUCT(PRODUCT(1+L12:$L$23))),4)</f>
        <v>1.052</v>
      </c>
      <c r="T12" s="3380">
        <f>ROUND(IF(项目基本情况!$B$8="出让",SUMPRODUCT(PRODUCT(1+M12:$M$24)),SUMPRODUCT(PRODUCT(1+M12:$M$23))),4)</f>
        <v>1.0249999999999999</v>
      </c>
      <c r="U12" s="3380">
        <f>ROUND(IF(项目基本情况!$B$8="出让",SUMPRODUCT(PRODUCT(1+N12:$N$24)),SUMPRODUCT(PRODUCT(1+N12:$N$23))),4)</f>
        <v>1.0888</v>
      </c>
      <c r="V12" s="3380">
        <f>ROUND(IF(项目基本情况!$B$8="出让",SUMPRODUCT(PRODUCT(1+O12:$O$24)),SUMPRODUCT(PRODUCT(1+O12:$O$23))),4)</f>
        <v>1.0804</v>
      </c>
      <c r="W12" s="3380">
        <f t="shared" ref="W12" si="110">T12</f>
        <v>1.0249999999999999</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108.11999999999999</v>
      </c>
      <c r="AG12" s="3679">
        <f t="shared" si="76"/>
        <v>105.2</v>
      </c>
      <c r="AH12" s="3679">
        <f t="shared" si="77"/>
        <v>102.49999999999999</v>
      </c>
      <c r="AI12" s="3679">
        <f t="shared" si="78"/>
        <v>108.88</v>
      </c>
      <c r="AJ12" s="3679">
        <f t="shared" si="79"/>
        <v>108.04</v>
      </c>
      <c r="AK12" s="3679">
        <f t="shared" si="80"/>
        <v>102.49999999999999</v>
      </c>
      <c r="AM12" s="3679">
        <f t="shared" si="57"/>
        <v>102.22003712095626</v>
      </c>
      <c r="AN12" s="3679">
        <f t="shared" si="58"/>
        <v>102.38401916835726</v>
      </c>
      <c r="AO12" s="3679">
        <f t="shared" si="59"/>
        <v>104.49038204686165</v>
      </c>
      <c r="AP12" s="3679">
        <f t="shared" si="60"/>
        <v>101.85939659921733</v>
      </c>
      <c r="AQ12" s="3679">
        <f t="shared" si="61"/>
        <v>99.205030092938401</v>
      </c>
      <c r="AR12" s="3679">
        <f t="shared" si="62"/>
        <v>104.49038204686165</v>
      </c>
    </row>
    <row r="13" spans="1:44">
      <c r="A13" s="3343" t="s">
        <v>3252</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1.0804</v>
      </c>
      <c r="S13" s="3380">
        <f>ROUND(IF(项目基本情况!$B$8="出让",SUMPRODUCT(PRODUCT(1+L13:$L$24)),SUMPRODUCT(PRODUCT(1+L13:$L$23))),4)</f>
        <v>1.0471999999999999</v>
      </c>
      <c r="T13" s="3380">
        <f>ROUND(IF(项目基本情况!$B$8="出让",SUMPRODUCT(PRODUCT(1+M13:$M$24)),SUMPRODUCT(PRODUCT(1+M13:$M$23))),4)</f>
        <v>1.0266</v>
      </c>
      <c r="U13" s="3380">
        <f>ROUND(IF(项目基本情况!$B$8="出让",SUMPRODUCT(PRODUCT(1+N13:$N$24)),SUMPRODUCT(PRODUCT(1+N13:$N$23))),4)</f>
        <v>1.0859000000000001</v>
      </c>
      <c r="V13" s="3380">
        <f>ROUND(IF(项目基本情况!$B$8="出让",SUMPRODUCT(PRODUCT(1+O13:$O$24)),SUMPRODUCT(PRODUCT(1+O13:$O$23))),4)</f>
        <v>1.0741000000000001</v>
      </c>
      <c r="W13" s="3380">
        <f t="shared" ref="W13" si="119">T13</f>
        <v>1.0266</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108.04</v>
      </c>
      <c r="AG13" s="3679">
        <f t="shared" si="76"/>
        <v>104.71999999999998</v>
      </c>
      <c r="AH13" s="3679">
        <f t="shared" si="77"/>
        <v>102.66</v>
      </c>
      <c r="AI13" s="3679">
        <f t="shared" si="78"/>
        <v>108.59</v>
      </c>
      <c r="AJ13" s="3679">
        <f t="shared" si="79"/>
        <v>107.41000000000001</v>
      </c>
      <c r="AK13" s="3679">
        <f t="shared" si="80"/>
        <v>102.66</v>
      </c>
      <c r="AM13" s="3679">
        <f t="shared" si="57"/>
        <v>102.13832645978844</v>
      </c>
      <c r="AN13" s="3679">
        <f t="shared" si="58"/>
        <v>101.91520920600962</v>
      </c>
      <c r="AO13" s="3679">
        <f t="shared" si="59"/>
        <v>104.65783458219317</v>
      </c>
      <c r="AP13" s="3679">
        <f t="shared" si="60"/>
        <v>101.5952489519423</v>
      </c>
      <c r="AQ13" s="3679">
        <f t="shared" si="61"/>
        <v>98.623153487362956</v>
      </c>
      <c r="AR13" s="3679">
        <f t="shared" si="62"/>
        <v>104.65783458219317</v>
      </c>
    </row>
    <row r="14" spans="1:44">
      <c r="A14" s="3343" t="s">
        <v>3251</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1.0783</v>
      </c>
      <c r="S14" s="3380">
        <f>ROUND(IF(项目基本情况!$B$8="出让",SUMPRODUCT(PRODUCT(1+L14:$L$24)),SUMPRODUCT(PRODUCT(1+L14:$L$23))),4)</f>
        <v>1.0447</v>
      </c>
      <c r="T14" s="3380">
        <f>ROUND(IF(项目基本情况!$B$8="出让",SUMPRODUCT(PRODUCT(1+M14:$M$24)),SUMPRODUCT(PRODUCT(1+M14:$M$23))),4)</f>
        <v>1.0282</v>
      </c>
      <c r="U14" s="3380">
        <f>ROUND(IF(项目基本情况!$B$8="出让",SUMPRODUCT(PRODUCT(1+N14:$N$24)),SUMPRODUCT(PRODUCT(1+N14:$N$23))),4)</f>
        <v>1.0841000000000001</v>
      </c>
      <c r="V14" s="3380">
        <f>ROUND(IF(项目基本情况!$B$8="出让",SUMPRODUCT(PRODUCT(1+O14:$O$24)),SUMPRODUCT(PRODUCT(1+O14:$O$23))),4)</f>
        <v>1.0674999999999999</v>
      </c>
      <c r="W14" s="3380">
        <f t="shared" ref="W14:W16" si="131">T14</f>
        <v>1.0282</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107.83</v>
      </c>
      <c r="AG14" s="3679">
        <f t="shared" si="76"/>
        <v>104.47</v>
      </c>
      <c r="AH14" s="3679">
        <f t="shared" si="77"/>
        <v>102.82</v>
      </c>
      <c r="AI14" s="3679">
        <f t="shared" si="78"/>
        <v>108.41000000000001</v>
      </c>
      <c r="AJ14" s="3679">
        <f t="shared" si="79"/>
        <v>106.74999999999999</v>
      </c>
      <c r="AK14" s="3679">
        <f t="shared" si="80"/>
        <v>102.82</v>
      </c>
      <c r="AM14" s="3679">
        <f t="shared" si="57"/>
        <v>101.94463165963514</v>
      </c>
      <c r="AN14" s="3679">
        <f t="shared" si="58"/>
        <v>101.67119833001759</v>
      </c>
      <c r="AO14" s="3679">
        <f t="shared" si="59"/>
        <v>104.8255554709467</v>
      </c>
      <c r="AP14" s="3679">
        <f t="shared" si="60"/>
        <v>101.4228301407031</v>
      </c>
      <c r="AQ14" s="3679">
        <f t="shared" si="61"/>
        <v>98.025199768773433</v>
      </c>
      <c r="AR14" s="3679">
        <f t="shared" si="62"/>
        <v>104.8255554709467</v>
      </c>
    </row>
    <row r="15" spans="1:44">
      <c r="A15" s="3343" t="s">
        <v>3249</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1.0755999999999999</v>
      </c>
      <c r="S15" s="3380">
        <f>ROUND(IF(项目基本情况!$B$8="出让",SUMPRODUCT(PRODUCT(1+L15:$L$24)),SUMPRODUCT(PRODUCT(1+L15:$L$23))),4)</f>
        <v>1.0395000000000001</v>
      </c>
      <c r="T15" s="3380">
        <f>ROUND(IF(项目基本情况!$B$8="出让",SUMPRODUCT(PRODUCT(1+M15:$M$24)),SUMPRODUCT(PRODUCT(1+M15:$M$23))),4)</f>
        <v>1.0250999999999999</v>
      </c>
      <c r="U15" s="3380">
        <f>ROUND(IF(项目基本情况!$B$8="出让",SUMPRODUCT(PRODUCT(1+N15:$N$24)),SUMPRODUCT(PRODUCT(1+N15:$N$23))),4)</f>
        <v>1.0818000000000001</v>
      </c>
      <c r="V15" s="3380">
        <f>ROUND(IF(项目基本情况!$B$8="出让",SUMPRODUCT(PRODUCT(1+O15:$O$24)),SUMPRODUCT(PRODUCT(1+O15:$O$23))),4)</f>
        <v>1.0629999999999999</v>
      </c>
      <c r="W15" s="3380">
        <f t="shared" si="131"/>
        <v>1.0250999999999999</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107.55999999999999</v>
      </c>
      <c r="AG15" s="3679">
        <f t="shared" si="76"/>
        <v>103.95</v>
      </c>
      <c r="AH15" s="3679">
        <f t="shared" si="77"/>
        <v>102.50999999999999</v>
      </c>
      <c r="AI15" s="3679">
        <f t="shared" si="78"/>
        <v>108.18</v>
      </c>
      <c r="AJ15" s="3679">
        <f t="shared" si="79"/>
        <v>106.3</v>
      </c>
      <c r="AK15" s="3679">
        <f t="shared" si="80"/>
        <v>102.50999999999999</v>
      </c>
      <c r="AM15" s="3679">
        <f t="shared" si="57"/>
        <v>101.69040564552134</v>
      </c>
      <c r="AN15" s="3679">
        <f t="shared" si="58"/>
        <v>101.16537147265433</v>
      </c>
      <c r="AO15" s="3679">
        <f t="shared" si="59"/>
        <v>104.50160050936765</v>
      </c>
      <c r="AP15" s="3679">
        <f t="shared" si="60"/>
        <v>101.21028853478006</v>
      </c>
      <c r="AQ15" s="3679">
        <f t="shared" si="61"/>
        <v>97.605496135391249</v>
      </c>
      <c r="AR15" s="3679">
        <f t="shared" si="62"/>
        <v>104.50160050936765</v>
      </c>
    </row>
    <row r="16" spans="1:44">
      <c r="A16" s="3343" t="s">
        <v>3247</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1.0659000000000001</v>
      </c>
      <c r="S16" s="3380">
        <f>ROUND(IF(项目基本情况!$B$8="出让",SUMPRODUCT(PRODUCT(1+L16:$L$24)),SUMPRODUCT(PRODUCT(1+L16:$L$23))),4)</f>
        <v>1.0326</v>
      </c>
      <c r="T16" s="3380">
        <f>ROUND(IF(项目基本情况!$B$8="出让",SUMPRODUCT(PRODUCT(1+M16:$M$24)),SUMPRODUCT(PRODUCT(1+M16:$M$23))),4)</f>
        <v>1.0203</v>
      </c>
      <c r="U16" s="3380">
        <f>ROUND(IF(项目基本情况!$B$8="出让",SUMPRODUCT(PRODUCT(1+N16:$N$24)),SUMPRODUCT(PRODUCT(1+N16:$N$23))),4)</f>
        <v>1.0714999999999999</v>
      </c>
      <c r="V16" s="3380">
        <f>ROUND(IF(项目基本情况!$B$8="出让",SUMPRODUCT(PRODUCT(1+O16:$O$24)),SUMPRODUCT(PRODUCT(1+O16:$O$23))),4)</f>
        <v>1.0555000000000001</v>
      </c>
      <c r="W16" s="3380">
        <f t="shared" si="131"/>
        <v>1.0203</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106.59</v>
      </c>
      <c r="AG16" s="3679">
        <f t="shared" si="76"/>
        <v>103.25999999999999</v>
      </c>
      <c r="AH16" s="3679">
        <f t="shared" si="77"/>
        <v>102.03</v>
      </c>
      <c r="AI16" s="3679">
        <f t="shared" si="78"/>
        <v>107.14999999999999</v>
      </c>
      <c r="AJ16" s="3679">
        <f t="shared" si="79"/>
        <v>105.55000000000001</v>
      </c>
      <c r="AK16" s="3679">
        <f t="shared" si="80"/>
        <v>102.03</v>
      </c>
      <c r="AM16" s="3679">
        <f t="shared" si="57"/>
        <v>100.77336799675089</v>
      </c>
      <c r="AN16" s="3679">
        <f t="shared" si="58"/>
        <v>100.50205789057652</v>
      </c>
      <c r="AO16" s="3679">
        <f t="shared" si="59"/>
        <v>104.01274062841411</v>
      </c>
      <c r="AP16" s="3679">
        <f t="shared" si="60"/>
        <v>100.24790861210386</v>
      </c>
      <c r="AQ16" s="3679">
        <f t="shared" si="61"/>
        <v>96.917382718092782</v>
      </c>
      <c r="AR16" s="3679">
        <f t="shared" si="62"/>
        <v>104.01274062841411</v>
      </c>
    </row>
    <row r="17" spans="1:44">
      <c r="A17" s="3343" t="s">
        <v>3245</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1.0565</v>
      </c>
      <c r="S17" s="3380">
        <f>ROUND(IF(项目基本情况!B8="出让",SUMPRODUCT(PRODUCT(1+L17:L24)),SUMPRODUCT(PRODUCT(1+L17:L23))),4)</f>
        <v>1.0250999999999999</v>
      </c>
      <c r="T17" s="3380">
        <f>ROUND(IF(项目基本情况!B8="出让",SUMPRODUCT(PRODUCT(1+M17:M24)),SUMPRODUCT(PRODUCT(1+M17:M23))),4)</f>
        <v>1.0145</v>
      </c>
      <c r="U17" s="3380">
        <f>ROUND(IF(项目基本情况!B8="出让",SUMPRODUCT(PRODUCT(1+N17:N24)),SUMPRODUCT(PRODUCT(1+N17:N23))),4)</f>
        <v>1.0618000000000001</v>
      </c>
      <c r="V17" s="3380">
        <f>ROUND(IF(项目基本情况!B8="出让",SUMPRODUCT(PRODUCT(1+O17:O24)),SUMPRODUCT(PRODUCT(1+O17:O23))),4)</f>
        <v>1.0502</v>
      </c>
      <c r="W17" s="3380">
        <f t="shared" ref="W17:W24" si="137">T17</f>
        <v>1.0145</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105.65</v>
      </c>
      <c r="AG17" s="3679">
        <f t="shared" si="76"/>
        <v>102.50999999999999</v>
      </c>
      <c r="AH17" s="3679">
        <f t="shared" si="77"/>
        <v>101.44999999999999</v>
      </c>
      <c r="AI17" s="3679">
        <f t="shared" si="78"/>
        <v>106.18</v>
      </c>
      <c r="AJ17" s="3679">
        <f t="shared" si="79"/>
        <v>105.02</v>
      </c>
      <c r="AK17" s="3679">
        <f t="shared" si="80"/>
        <v>101.44999999999999</v>
      </c>
      <c r="AM17" s="3679">
        <f t="shared" si="57"/>
        <v>99.884396864655471</v>
      </c>
      <c r="AN17" s="3679">
        <f t="shared" si="58"/>
        <v>99.763805728187918</v>
      </c>
      <c r="AO17" s="3679">
        <f t="shared" si="59"/>
        <v>103.42322822751726</v>
      </c>
      <c r="AP17" s="3679">
        <f t="shared" si="60"/>
        <v>99.334035485635994</v>
      </c>
      <c r="AQ17" s="3679">
        <f t="shared" si="61"/>
        <v>96.435206684669438</v>
      </c>
      <c r="AR17" s="3679">
        <f t="shared" si="62"/>
        <v>103.42322822751726</v>
      </c>
    </row>
    <row r="18" spans="1:44">
      <c r="A18" s="3343" t="s">
        <v>3242</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1.05</v>
      </c>
      <c r="S18" s="3380">
        <f>ROUND(IF(项目基本情况!B8="出让",SUMPRODUCT(PRODUCT(1+L18:L24)),SUMPRODUCT(PRODUCT(1+L18:L23))),4)</f>
        <v>1.0229999999999999</v>
      </c>
      <c r="T18" s="3380">
        <f>ROUND(IF(项目基本情况!B8="出让",SUMPRODUCT(PRODUCT(1+M18:M24)),SUMPRODUCT(PRODUCT(1+M18:M23))),4)</f>
        <v>1.0134000000000001</v>
      </c>
      <c r="U18" s="3380">
        <f>ROUND(IF(项目基本情况!B8="出让",SUMPRODUCT(PRODUCT(1+N18:N24)),SUMPRODUCT(PRODUCT(1+N18:N23))),4)</f>
        <v>1.0545</v>
      </c>
      <c r="V18" s="3380">
        <f>ROUND(IF(项目基本情况!B8="出让",SUMPRODUCT(PRODUCT(1+O18:O24)),SUMPRODUCT(PRODUCT(1+O18:O23))),4)</f>
        <v>1.0447</v>
      </c>
      <c r="W18" s="3380">
        <f t="shared" si="137"/>
        <v>1.0134000000000001</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105</v>
      </c>
      <c r="AG18" s="3679">
        <f t="shared" si="76"/>
        <v>102.3</v>
      </c>
      <c r="AH18" s="3679">
        <f t="shared" si="77"/>
        <v>101.34</v>
      </c>
      <c r="AI18" s="3679">
        <f t="shared" si="78"/>
        <v>105.45</v>
      </c>
      <c r="AJ18" s="3679">
        <f t="shared" si="79"/>
        <v>104.47</v>
      </c>
      <c r="AK18" s="3679">
        <f t="shared" si="80"/>
        <v>101.34</v>
      </c>
      <c r="AM18" s="3679">
        <f t="shared" si="57"/>
        <v>99.268929501744651</v>
      </c>
      <c r="AN18" s="3679">
        <f t="shared" si="58"/>
        <v>99.564676375437045</v>
      </c>
      <c r="AO18" s="3679">
        <f t="shared" si="59"/>
        <v>103.30958768106807</v>
      </c>
      <c r="AP18" s="3679">
        <f t="shared" si="60"/>
        <v>98.653327525708619</v>
      </c>
      <c r="AQ18" s="3679">
        <f t="shared" si="61"/>
        <v>95.926794672903043</v>
      </c>
      <c r="AR18" s="3679">
        <f t="shared" si="62"/>
        <v>103.30958768106807</v>
      </c>
    </row>
    <row r="19" spans="1:44">
      <c r="A19" s="3343" t="s">
        <v>3243</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1.0430999999999999</v>
      </c>
      <c r="S19" s="3380">
        <f>ROUND(IF(项目基本情况!B8="出让",SUMPRODUCT(PRODUCT(1+L19:L24)),SUMPRODUCT(PRODUCT(1+L19:L23))),4)</f>
        <v>1.0197000000000001</v>
      </c>
      <c r="T19" s="3380">
        <f>ROUND(IF(项目基本情况!B8="出让",SUMPRODUCT(PRODUCT(1+M19:M24)),SUMPRODUCT(PRODUCT(1+M19:M23))),4)</f>
        <v>1.0109999999999999</v>
      </c>
      <c r="U19" s="3380">
        <f>ROUND(IF(项目基本情况!B8="出让",SUMPRODUCT(PRODUCT(1+N19:N24)),SUMPRODUCT(PRODUCT(1+N19:N23))),4)</f>
        <v>1.0468999999999999</v>
      </c>
      <c r="V19" s="3380">
        <f>ROUND(IF(项目基本情况!B8="出让",SUMPRODUCT(PRODUCT(1+O19:O24)),SUMPRODUCT(PRODUCT(1+O19:O23))),4)</f>
        <v>1.0382</v>
      </c>
      <c r="W19" s="3380">
        <f t="shared" si="137"/>
        <v>1.0109999999999999</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104.30999999999999</v>
      </c>
      <c r="AG19" s="3679">
        <f t="shared" si="76"/>
        <v>101.97</v>
      </c>
      <c r="AH19" s="3679">
        <f t="shared" si="77"/>
        <v>101.1</v>
      </c>
      <c r="AI19" s="3679">
        <f t="shared" si="78"/>
        <v>104.69</v>
      </c>
      <c r="AJ19" s="3679">
        <f t="shared" si="79"/>
        <v>103.82000000000001</v>
      </c>
      <c r="AK19" s="3679">
        <f t="shared" si="80"/>
        <v>101.1</v>
      </c>
      <c r="AM19" s="3679">
        <f t="shared" si="57"/>
        <v>98.618050369307227</v>
      </c>
      <c r="AN19" s="3679">
        <f t="shared" si="58"/>
        <v>99.247085701193214</v>
      </c>
      <c r="AO19" s="3679">
        <f t="shared" si="59"/>
        <v>103.07252088303709</v>
      </c>
      <c r="AP19" s="3679">
        <f t="shared" si="60"/>
        <v>97.948101197089571</v>
      </c>
      <c r="AQ19" s="3679">
        <f t="shared" si="61"/>
        <v>95.326239364904154</v>
      </c>
      <c r="AR19" s="3679">
        <f t="shared" si="62"/>
        <v>103.07252088303709</v>
      </c>
    </row>
    <row r="20" spans="1:44">
      <c r="A20" s="3343" t="s">
        <v>2780</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1.0335000000000001</v>
      </c>
      <c r="S20" s="3380">
        <f>ROUND(IF(项目基本情况!B8="出让",SUMPRODUCT(PRODUCT(1+L20:L24)),SUMPRODUCT(PRODUCT(1+L20:L23))),4)</f>
        <v>1.0182</v>
      </c>
      <c r="T20" s="3380">
        <f>ROUND(IF(项目基本情况!B8="出让",SUMPRODUCT(PRODUCT(1+M20:M24)),SUMPRODUCT(PRODUCT(1+M20:M23))),4)</f>
        <v>1.0108999999999999</v>
      </c>
      <c r="U20" s="3380">
        <f>ROUND(IF(项目基本情况!B8="出让",SUMPRODUCT(PRODUCT(1+N20:N24)),SUMPRODUCT(PRODUCT(1+N20:N23))),4)</f>
        <v>1.0361</v>
      </c>
      <c r="V20" s="3380">
        <f>ROUND(IF(项目基本情况!B8="出让",SUMPRODUCT(PRODUCT(1+O20:O24)),SUMPRODUCT(PRODUCT(1+O20:O23))),4)</f>
        <v>1.0270999999999999</v>
      </c>
      <c r="W20" s="3380">
        <f t="shared" si="137"/>
        <v>1.0108999999999999</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103.35000000000001</v>
      </c>
      <c r="AG20" s="3679">
        <f t="shared" si="76"/>
        <v>101.82</v>
      </c>
      <c r="AH20" s="3679">
        <f t="shared" si="77"/>
        <v>101.08999999999999</v>
      </c>
      <c r="AI20" s="3679">
        <f t="shared" si="78"/>
        <v>103.61</v>
      </c>
      <c r="AJ20" s="3679">
        <f t="shared" si="79"/>
        <v>102.71</v>
      </c>
      <c r="AK20" s="3679">
        <f t="shared" si="80"/>
        <v>101.08999999999999</v>
      </c>
      <c r="AM20" s="3679">
        <f t="shared" si="57"/>
        <v>97.709353382846743</v>
      </c>
      <c r="AN20" s="3679">
        <f t="shared" si="58"/>
        <v>99.098438044127022</v>
      </c>
      <c r="AO20" s="3679">
        <f t="shared" si="59"/>
        <v>103.06221466157093</v>
      </c>
      <c r="AP20" s="3679">
        <f t="shared" si="60"/>
        <v>96.930332703700714</v>
      </c>
      <c r="AQ20" s="3679">
        <f t="shared" si="61"/>
        <v>94.307716031761146</v>
      </c>
      <c r="AR20" s="3679">
        <f t="shared" si="62"/>
        <v>103.06221466157093</v>
      </c>
    </row>
    <row r="21" spans="1:44">
      <c r="A21" s="3343" t="s">
        <v>2781</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1.0244</v>
      </c>
      <c r="S21" s="3380">
        <f>ROUND(IF(项目基本情况!B8="出让",SUMPRODUCT(PRODUCT(1+L21:L24)),SUMPRODUCT(PRODUCT(1+L21:L23))),4)</f>
        <v>1.0138</v>
      </c>
      <c r="T21" s="3380">
        <f>ROUND(IF(项目基本情况!B8="出让",SUMPRODUCT(PRODUCT(1+M21:M24)),SUMPRODUCT(PRODUCT(1+M21:M23))),4)</f>
        <v>1.0072000000000001</v>
      </c>
      <c r="U21" s="3380">
        <f>ROUND(IF(项目基本情况!B8="出让",SUMPRODUCT(PRODUCT(1+N21:N24)),SUMPRODUCT(PRODUCT(1+N21:N23))),4)</f>
        <v>1.0262</v>
      </c>
      <c r="V21" s="3380">
        <f>ROUND(IF(项目基本情况!B8="出让",SUMPRODUCT(PRODUCT(1+O21:O24)),SUMPRODUCT(PRODUCT(1+O21:O23))),4)</f>
        <v>1.0205</v>
      </c>
      <c r="W21" s="3380">
        <f t="shared" si="137"/>
        <v>1.0072000000000001</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102.44</v>
      </c>
      <c r="AG21" s="3679">
        <f t="shared" si="76"/>
        <v>101.38000000000001</v>
      </c>
      <c r="AH21" s="3679">
        <f t="shared" si="77"/>
        <v>100.72000000000001</v>
      </c>
      <c r="AI21" s="3679">
        <f t="shared" si="78"/>
        <v>102.62</v>
      </c>
      <c r="AJ21" s="3679">
        <f t="shared" si="79"/>
        <v>102.05</v>
      </c>
      <c r="AK21" s="3679">
        <f t="shared" si="80"/>
        <v>100.72000000000001</v>
      </c>
      <c r="AM21" s="3679">
        <f t="shared" si="57"/>
        <v>96.847411421198089</v>
      </c>
      <c r="AN21" s="3679">
        <f t="shared" si="58"/>
        <v>98.664315057872386</v>
      </c>
      <c r="AO21" s="3679">
        <f t="shared" si="59"/>
        <v>102.68229018787579</v>
      </c>
      <c r="AP21" s="3679">
        <f t="shared" si="60"/>
        <v>96.008649666898478</v>
      </c>
      <c r="AQ21" s="3679">
        <f t="shared" si="61"/>
        <v>93.70798492822054</v>
      </c>
      <c r="AR21" s="3679">
        <f t="shared" si="62"/>
        <v>102.68229018787579</v>
      </c>
    </row>
    <row r="22" spans="1:44">
      <c r="A22" s="3343" t="s">
        <v>2782</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1.0139</v>
      </c>
      <c r="S22" s="3380">
        <f>ROUND(IF(项目基本情况!B8="出让",SUMPRODUCT(PRODUCT(1+L22:L24)),SUMPRODUCT(PRODUCT(1+L22:L23))),4)</f>
        <v>1.0113000000000001</v>
      </c>
      <c r="T22" s="3380">
        <f>ROUND(IF(项目基本情况!B8="出让",SUMPRODUCT(PRODUCT(1+M22:M24)),SUMPRODUCT(PRODUCT(1+M22:M23))),4)</f>
        <v>1.0065</v>
      </c>
      <c r="U22" s="3380">
        <f>ROUND(IF(项目基本情况!B8="出让",SUMPRODUCT(PRODUCT(1+N22:N24)),SUMPRODUCT(PRODUCT(1+N22:N23))),4)</f>
        <v>1.0143</v>
      </c>
      <c r="V22" s="3380">
        <f>ROUND(IF(项目基本情况!B8="出让",SUMPRODUCT(PRODUCT(1+O22:O24)),SUMPRODUCT(PRODUCT(1+O22:O23))),4)</f>
        <v>1.0148999999999999</v>
      </c>
      <c r="W22" s="3380">
        <f t="shared" si="137"/>
        <v>1.0065</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101.39</v>
      </c>
      <c r="AG22" s="3679">
        <f t="shared" si="76"/>
        <v>101.13000000000001</v>
      </c>
      <c r="AH22" s="3679">
        <f t="shared" si="77"/>
        <v>100.64999999999999</v>
      </c>
      <c r="AI22" s="3679">
        <f t="shared" si="78"/>
        <v>101.42999999999999</v>
      </c>
      <c r="AJ22" s="3679">
        <f t="shared" si="79"/>
        <v>101.49</v>
      </c>
      <c r="AK22" s="3679">
        <f t="shared" si="80"/>
        <v>100.64999999999999</v>
      </c>
      <c r="AM22" s="3679">
        <f t="shared" si="57"/>
        <v>95.860052876569426</v>
      </c>
      <c r="AN22" s="3679">
        <f t="shared" si="58"/>
        <v>98.428087647518353</v>
      </c>
      <c r="AO22" s="3679">
        <f t="shared" si="59"/>
        <v>102.61046286387109</v>
      </c>
      <c r="AP22" s="3679">
        <f t="shared" si="60"/>
        <v>94.898339099435077</v>
      </c>
      <c r="AQ22" s="3679">
        <f t="shared" si="61"/>
        <v>93.195410172273029</v>
      </c>
      <c r="AR22" s="3679">
        <f t="shared" si="62"/>
        <v>102.61046286387109</v>
      </c>
    </row>
    <row r="23" spans="1:44">
      <c r="A23" s="3343" t="s">
        <v>2783</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1.0092000000000001</v>
      </c>
      <c r="S23" s="3380">
        <f>ROUND(IF(项目基本情况!B8="出让",SUMPRODUCT(PRODUCT(1+L23:L24)),SUMPRODUCT(PRODUCT(1+L23:L23))),4)</f>
        <v>1.0072000000000001</v>
      </c>
      <c r="T23" s="3380">
        <f>ROUND(IF(项目基本情况!B8="出让",SUMPRODUCT(PRODUCT(1+M23:M24)),SUMPRODUCT(PRODUCT(1+M23:M23))),4)</f>
        <v>1.0041</v>
      </c>
      <c r="U23" s="3380">
        <f>ROUND(IF(项目基本情况!B8="出让",SUMPRODUCT(PRODUCT(1+N23:N24)),SUMPRODUCT(PRODUCT(1+N23:N23))),4)</f>
        <v>1.0095000000000001</v>
      </c>
      <c r="V23" s="3380">
        <f>ROUND(IF(项目基本情况!B8="出让",SUMPRODUCT(PRODUCT(1+O23:O24)),SUMPRODUCT(PRODUCT(1+O23:O23))),4)</f>
        <v>1.0101</v>
      </c>
      <c r="W23" s="3380">
        <f t="shared" si="137"/>
        <v>1.0041</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100.92000000000002</v>
      </c>
      <c r="AG23" s="3679">
        <f>$AG$24*S23</f>
        <v>100.72000000000001</v>
      </c>
      <c r="AH23" s="3679">
        <f>$AH$24*T23</f>
        <v>100.41</v>
      </c>
      <c r="AI23" s="3679">
        <f>$AI$24*U23</f>
        <v>100.95</v>
      </c>
      <c r="AJ23" s="3679">
        <f>$AJ$24*V23</f>
        <v>101.01</v>
      </c>
      <c r="AK23" s="3679">
        <f>$AK$24*W23</f>
        <v>100.41</v>
      </c>
      <c r="AM23" s="3679">
        <f t="shared" si="57"/>
        <v>95.411618270697161</v>
      </c>
      <c r="AN23" s="3679">
        <f t="shared" si="58"/>
        <v>98.02618030825451</v>
      </c>
      <c r="AO23" s="3679">
        <f t="shared" si="59"/>
        <v>102.36478737417308</v>
      </c>
      <c r="AP23" s="3679">
        <f t="shared" si="60"/>
        <v>94.445003084628866</v>
      </c>
      <c r="AQ23" s="3679">
        <f t="shared" si="61"/>
        <v>92.750209168265357</v>
      </c>
      <c r="AR23" s="3679">
        <f t="shared" si="62"/>
        <v>102.36478737417308</v>
      </c>
    </row>
    <row r="24" spans="1:44" ht="15" thickBot="1">
      <c r="A24" s="3345" t="s">
        <v>2784</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94.541833403386008</v>
      </c>
      <c r="AN24" s="3679">
        <f t="shared" si="58"/>
        <v>97.325437160697476</v>
      </c>
      <c r="AO24" s="3679">
        <f t="shared" si="59"/>
        <v>101.94680547173894</v>
      </c>
      <c r="AP24" s="3679">
        <f t="shared" si="60"/>
        <v>93.556219004090011</v>
      </c>
      <c r="AQ24" s="3679">
        <f t="shared" si="61"/>
        <v>91.82279889938161</v>
      </c>
      <c r="AR24" s="3679">
        <f t="shared" si="62"/>
        <v>101.94680547173894</v>
      </c>
    </row>
    <row r="25" spans="1:44" ht="1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3264</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2795</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3263</v>
      </c>
      <c r="C29" s="3348"/>
      <c r="D29" s="3348"/>
      <c r="E29" s="3348"/>
      <c r="F29" s="3348"/>
      <c r="G29" s="3348"/>
      <c r="H29" s="3348"/>
      <c r="I29" s="3348"/>
      <c r="J29" s="3349"/>
      <c r="K29" s="3348" t="s">
        <v>2788</v>
      </c>
      <c r="L29" s="3348"/>
      <c r="M29" s="3348"/>
      <c r="N29" s="3348"/>
      <c r="O29" s="3348"/>
      <c r="P29" s="3348"/>
      <c r="Q29" s="3349"/>
      <c r="R29" s="3989" t="s">
        <v>2803</v>
      </c>
      <c r="S29" s="3990"/>
      <c r="T29" s="3990"/>
      <c r="U29" s="3990"/>
      <c r="V29" s="3990"/>
      <c r="W29" s="3990"/>
      <c r="X29" s="3349"/>
      <c r="Y29" s="3989" t="s">
        <v>1925</v>
      </c>
      <c r="Z29" s="3990"/>
      <c r="AA29" s="3990"/>
      <c r="AB29" s="3990"/>
      <c r="AC29" s="3990"/>
      <c r="AD29" s="3990"/>
    </row>
    <row r="30" spans="1:44" ht="15" thickBot="1">
      <c r="A30" s="3340"/>
      <c r="B30" s="3350"/>
      <c r="C30" s="3351"/>
      <c r="D30" s="3352" t="s">
        <v>2790</v>
      </c>
      <c r="E30" s="3353" t="s">
        <v>2791</v>
      </c>
      <c r="F30" s="3353" t="s">
        <v>2792</v>
      </c>
      <c r="G30" s="3353" t="s">
        <v>1469</v>
      </c>
      <c r="H30" s="3353"/>
      <c r="I30" s="3353" t="s">
        <v>2737</v>
      </c>
      <c r="J30" s="3354"/>
      <c r="K30" s="3352" t="s">
        <v>2790</v>
      </c>
      <c r="L30" s="3353" t="s">
        <v>2791</v>
      </c>
      <c r="M30" s="3353" t="s">
        <v>2792</v>
      </c>
      <c r="N30" s="3353" t="s">
        <v>2793</v>
      </c>
      <c r="O30" s="3353"/>
      <c r="P30" s="3353" t="s">
        <v>2737</v>
      </c>
      <c r="Q30" s="3354"/>
      <c r="R30" s="3352" t="s">
        <v>2804</v>
      </c>
      <c r="S30" s="3353" t="s">
        <v>2805</v>
      </c>
      <c r="T30" s="3353" t="s">
        <v>2792</v>
      </c>
      <c r="U30" s="3353" t="s">
        <v>1469</v>
      </c>
      <c r="V30" s="3353"/>
      <c r="W30" s="3353" t="s">
        <v>2806</v>
      </c>
      <c r="X30" s="3354"/>
      <c r="Y30" s="3352" t="s">
        <v>2789</v>
      </c>
      <c r="Z30" s="3353" t="s">
        <v>2791</v>
      </c>
      <c r="AA30" s="3353" t="s">
        <v>2792</v>
      </c>
      <c r="AB30" s="3353" t="s">
        <v>1469</v>
      </c>
      <c r="AC30" s="3353"/>
      <c r="AD30" s="3353" t="s">
        <v>2809</v>
      </c>
      <c r="AG30" t="s">
        <v>2738</v>
      </c>
      <c r="AH30" t="s">
        <v>1212</v>
      </c>
      <c r="AI30" t="s">
        <v>851</v>
      </c>
      <c r="AK30" t="s">
        <v>2736</v>
      </c>
      <c r="AN30" t="s">
        <v>2738</v>
      </c>
      <c r="AO30" t="s">
        <v>1212</v>
      </c>
      <c r="AP30" t="s">
        <v>851</v>
      </c>
      <c r="AR30" t="s">
        <v>2736</v>
      </c>
    </row>
    <row r="31" spans="1:44">
      <c r="A31" s="3341" t="s">
        <v>2785</v>
      </c>
      <c r="B31" s="3355"/>
      <c r="C31" s="3356"/>
      <c r="D31" s="3356"/>
      <c r="E31" s="3356">
        <f>ROUND(AVERAGEIF(E32:E52,"&lt;&gt;0"),2)</f>
        <v>0.09</v>
      </c>
      <c r="F31" s="3356">
        <f>ROUND(AVERAGEIF(F32:F52,"&lt;&gt;0"),2)</f>
        <v>0.01</v>
      </c>
      <c r="G31" s="3356">
        <f>ROUND(AVERAGEIF(G32:G52,"&lt;&gt;0"),2)</f>
        <v>0.24</v>
      </c>
      <c r="H31" s="3356"/>
      <c r="I31" s="3356">
        <f>F31</f>
        <v>0.01</v>
      </c>
      <c r="J31" s="3357"/>
      <c r="K31" s="3358"/>
      <c r="L31" s="3359">
        <f>ROUND(AVERAGEIF(L32:L52,"&lt;&gt;0"),4)</f>
        <v>8.9999999999999998E-4</v>
      </c>
      <c r="M31" s="3359">
        <f>ROUND(AVERAGEIF(M32:M52,"&lt;&gt;0"),4)</f>
        <v>1E-4</v>
      </c>
      <c r="N31" s="3359">
        <f>ROUND(AVERAGEIF(N32:N52,"&lt;&gt;0"),4)</f>
        <v>2.3999999999999998E-3</v>
      </c>
      <c r="O31" s="3359"/>
      <c r="P31" s="3359">
        <f>M31</f>
        <v>1E-4</v>
      </c>
      <c r="Q31" s="3357"/>
      <c r="R31" s="3374"/>
      <c r="S31" s="3375">
        <f>ROUND(SUMPRODUCT(PRODUCT(1+L32:L52)),4)</f>
        <v>1.0153000000000001</v>
      </c>
      <c r="T31" s="3375">
        <f>ROUND(SUMPRODUCT(PRODUCT(1+M32:M52)),4)</f>
        <v>1.0016</v>
      </c>
      <c r="U31" s="3375">
        <f>ROUND(SUMPRODUCT(PRODUCT(1+N32:N52)),4)</f>
        <v>1.044</v>
      </c>
      <c r="V31" s="3375"/>
      <c r="W31" s="3374">
        <f>T31</f>
        <v>1.0016</v>
      </c>
      <c r="X31" s="3357"/>
      <c r="Y31" s="3382"/>
      <c r="Z31" s="3383">
        <f>ROUND(AVERAGEIF(Z32:Z52,"&lt;&gt;0"),4)</f>
        <v>3.5000000000000001E-3</v>
      </c>
      <c r="AA31" s="3384">
        <f>ROUND(AVERAGEIF(AA32:AA52,"&lt;&gt;0"),4)</f>
        <v>2.8E-3</v>
      </c>
      <c r="AB31" s="3382">
        <f>ROUND(AVERAGEIF(AB32:AB52,"&lt;&gt;0"),4)</f>
        <v>6.6E-3</v>
      </c>
      <c r="AC31" s="3385"/>
      <c r="AD31" s="3382">
        <f>AA31</f>
        <v>2.8E-3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3312</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1.0118</v>
      </c>
      <c r="T33" s="3380">
        <f>ROUND(IF(项目基本情况!$B$8="出让",SUMPRODUCT(PRODUCT(1+M33:M$52)),SUMPRODUCT(PRODUCT(1+M33:M$51))),4)</f>
        <v>0.99680000000000002</v>
      </c>
      <c r="U33" s="3380">
        <f>ROUND(IF(项目基本情况!$B$8="出让",SUMPRODUCT(PRODUCT(1+N33:N$52)),SUMPRODUCT(PRODUCT(1+N33:N$51))),4)</f>
        <v>1.0338000000000001</v>
      </c>
      <c r="V33" s="3380"/>
      <c r="W33" s="3380">
        <f t="shared" ref="W33:W39" si="143">T33</f>
        <v>0.99680000000000002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101.18</v>
      </c>
      <c r="AH33" s="3679">
        <f t="shared" ref="AH33:AH36" si="149">$AH$52*T33</f>
        <v>99.68</v>
      </c>
      <c r="AI33" s="3679">
        <f t="shared" ref="AI33:AI36" si="150">$AI$52*U33</f>
        <v>103.38000000000001</v>
      </c>
      <c r="AJ33" s="3679"/>
      <c r="AK33" s="3679">
        <f t="shared" ref="AK33:AK36" si="151">$AK$52*W33</f>
        <v>99.68</v>
      </c>
      <c r="AN33" s="3678">
        <v>100</v>
      </c>
      <c r="AO33" s="3678">
        <v>100</v>
      </c>
      <c r="AP33" s="3678">
        <v>100</v>
      </c>
      <c r="AQ33" s="3678"/>
      <c r="AR33" s="3678">
        <v>100</v>
      </c>
    </row>
    <row r="34" spans="1:44">
      <c r="A34" s="3662" t="s">
        <v>3311</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1.0118</v>
      </c>
      <c r="T34" s="3380">
        <f>ROUND(IF(项目基本情况!$B$8="出让",SUMPRODUCT(PRODUCT(1+M34:M$52)),SUMPRODUCT(PRODUCT(1+M34:M$51))),4)</f>
        <v>0.99680000000000002</v>
      </c>
      <c r="U34" s="3380">
        <f>ROUND(IF(项目基本情况!$B$8="出让",SUMPRODUCT(PRODUCT(1+N34:N$52)),SUMPRODUCT(PRODUCT(1+N34:N$51))),4)</f>
        <v>1.0338000000000001</v>
      </c>
      <c r="V34" s="3380"/>
      <c r="W34" s="3380">
        <f t="shared" si="143"/>
        <v>0.99680000000000002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101.18</v>
      </c>
      <c r="AH34" s="3679">
        <f t="shared" si="149"/>
        <v>99.68</v>
      </c>
      <c r="AI34" s="3679">
        <f t="shared" si="150"/>
        <v>103.38000000000001</v>
      </c>
      <c r="AJ34" s="3679"/>
      <c r="AK34" s="3679">
        <f t="shared" si="151"/>
        <v>99.68</v>
      </c>
      <c r="AN34" s="3679">
        <f>AN33/(1+E33/100)</f>
        <v>100</v>
      </c>
      <c r="AO34" s="3679">
        <f t="shared" ref="AO34:AR34" si="159">AO33/(1+F33/100)</f>
        <v>100</v>
      </c>
      <c r="AP34" s="3679">
        <f t="shared" si="159"/>
        <v>100</v>
      </c>
      <c r="AQ34" s="3679"/>
      <c r="AR34" s="3679">
        <f t="shared" si="159"/>
        <v>100</v>
      </c>
    </row>
    <row r="35" spans="1:44">
      <c r="A35" s="3344" t="s">
        <v>3315</v>
      </c>
      <c r="B35" s="3405">
        <v>2025</v>
      </c>
      <c r="C35" s="3406">
        <v>2</v>
      </c>
      <c r="D35" s="3406"/>
      <c r="E35" s="3406">
        <v>-0.31</v>
      </c>
      <c r="F35" s="3406">
        <v>-1.03</v>
      </c>
      <c r="G35" s="3406">
        <v>0.03</v>
      </c>
      <c r="H35" s="3407"/>
      <c r="I35" s="3408">
        <f t="shared" ref="I35" si="160">F35</f>
        <v>-1.03</v>
      </c>
      <c r="J35" s="3367"/>
      <c r="K35" s="3368"/>
      <c r="L35" s="3369">
        <f t="shared" ref="L35" si="161">E35/100</f>
        <v>-3.0999999999999999E-3</v>
      </c>
      <c r="M35" s="3369">
        <f t="shared" ref="M35" si="162">F35/100</f>
        <v>-1.03E-2</v>
      </c>
      <c r="N35" s="3369">
        <f t="shared" ref="N35" si="163">G35/100</f>
        <v>2.9999999999999997E-4</v>
      </c>
      <c r="O35" s="3369"/>
      <c r="P35" s="3369">
        <f t="shared" si="142"/>
        <v>-1.03E-2</v>
      </c>
      <c r="Q35" s="3367"/>
      <c r="R35" s="3367"/>
      <c r="S35" s="3367">
        <f>ROUND(IF(项目基本情况!$B$8="出让",SUMPRODUCT(PRODUCT(1+L35:L$52)),SUMPRODUCT(PRODUCT(1+L35:L$51))),4)</f>
        <v>1.0118</v>
      </c>
      <c r="T35" s="3367">
        <f>ROUND(IF(项目基本情况!$B$8="出让",SUMPRODUCT(PRODUCT(1+M35:M$52)),SUMPRODUCT(PRODUCT(1+M35:M$51))),4)</f>
        <v>0.99680000000000002</v>
      </c>
      <c r="U35" s="3367">
        <f>ROUND(IF(项目基本情况!$B$8="出让",SUMPRODUCT(PRODUCT(1+N35:N$52)),SUMPRODUCT(PRODUCT(1+N35:N$51))),4)</f>
        <v>1.0338000000000001</v>
      </c>
      <c r="V35" s="3367"/>
      <c r="W35" s="3367">
        <f t="shared" si="143"/>
        <v>0.99680000000000002</v>
      </c>
      <c r="X35" s="3364"/>
      <c r="Y35" s="3389"/>
      <c r="Z35" s="3390">
        <f t="shared" ref="Z35" si="164">IF(E35=0,0,ROUND(AVERAGE(E35:E48)/100,4))</f>
        <v>-2.9999999999999997E-4</v>
      </c>
      <c r="AA35" s="3390">
        <f t="shared" ref="AA35" si="165">IF(F35=0,0,ROUND(AVERAGE(F35:F48)/100,4))</f>
        <v>-8.0000000000000004E-4</v>
      </c>
      <c r="AB35" s="3390">
        <f t="shared" ref="AB35" si="166">IF(G35=0,0,ROUND(AVERAGE(G35:G48)/100,4))</f>
        <v>5.0000000000000001E-4</v>
      </c>
      <c r="AC35" s="3391"/>
      <c r="AD35" s="3389">
        <f t="shared" si="147"/>
        <v>-8.0000000000000004E-4</v>
      </c>
      <c r="AG35" s="3679">
        <f t="shared" si="148"/>
        <v>101.18</v>
      </c>
      <c r="AH35" s="3679">
        <f t="shared" si="149"/>
        <v>99.68</v>
      </c>
      <c r="AI35" s="3679">
        <f t="shared" si="150"/>
        <v>103.38000000000001</v>
      </c>
      <c r="AJ35" s="3679"/>
      <c r="AK35" s="3679">
        <f t="shared" si="151"/>
        <v>99.68</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3259</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1.0148999999999999</v>
      </c>
      <c r="T36" s="3380">
        <f>ROUND(IF(项目基本情况!$B$8="出让",SUMPRODUCT(PRODUCT(1+M36:M$52)),SUMPRODUCT(PRODUCT(1+M36:M$51))),4)</f>
        <v>1.0072000000000001</v>
      </c>
      <c r="U36" s="3380">
        <f>ROUND(IF(项目基本情况!$B$8="出让",SUMPRODUCT(PRODUCT(1+N36:N$52)),SUMPRODUCT(PRODUCT(1+N36:N$51))),4)</f>
        <v>1.0335000000000001</v>
      </c>
      <c r="V36" s="3380"/>
      <c r="W36" s="3380">
        <f t="shared" si="143"/>
        <v>1.0072000000000001</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101.49</v>
      </c>
      <c r="AH36" s="3679">
        <f t="shared" si="149"/>
        <v>100.72000000000001</v>
      </c>
      <c r="AI36" s="3679">
        <f t="shared" si="150"/>
        <v>103.35000000000001</v>
      </c>
      <c r="AJ36" s="3679"/>
      <c r="AK36" s="3679">
        <f t="shared" si="151"/>
        <v>100.72000000000001</v>
      </c>
      <c r="AN36" s="3679">
        <f t="shared" si="167"/>
        <v>100.31096398836392</v>
      </c>
      <c r="AO36" s="3679">
        <f t="shared" si="168"/>
        <v>101.04071940992219</v>
      </c>
      <c r="AP36" s="3679">
        <f t="shared" si="169"/>
        <v>99.970008997300809</v>
      </c>
      <c r="AQ36" s="3679"/>
      <c r="AR36" s="3679">
        <f t="shared" si="170"/>
        <v>101.04071940992219</v>
      </c>
    </row>
    <row r="37" spans="1:44">
      <c r="A37" s="3662" t="s">
        <v>3314</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1.0301</v>
      </c>
      <c r="T37" s="3380">
        <f>ROUND(IF(项目基本情况!$B$8="出让",SUMPRODUCT(PRODUCT(1+M37:M$52)),SUMPRODUCT(PRODUCT(1+M37:M$51))),4)</f>
        <v>1.0170999999999999</v>
      </c>
      <c r="U37" s="3380">
        <f>ROUND(IF(项目基本情况!$B$8="出让",SUMPRODUCT(PRODUCT(1+N37:N$52)),SUMPRODUCT(PRODUCT(1+N37:N$51))),4)</f>
        <v>1.0387999999999999</v>
      </c>
      <c r="V37" s="3380"/>
      <c r="W37" s="3380">
        <f t="shared" si="143"/>
        <v>1.0170999999999999</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103.01</v>
      </c>
      <c r="AH37" s="3679">
        <f t="shared" ref="AH37:AH51" si="186">$AH$52*T37</f>
        <v>101.71</v>
      </c>
      <c r="AI37" s="3679">
        <f t="shared" ref="AI37:AI51" si="187">$AI$52*U37</f>
        <v>103.88</v>
      </c>
      <c r="AJ37" s="3679"/>
      <c r="AK37" s="3679">
        <f t="shared" ref="AK37:AK51" si="188">$AK$52*W37</f>
        <v>101.71</v>
      </c>
      <c r="AN37" s="3679">
        <f t="shared" si="167"/>
        <v>101.80753474917682</v>
      </c>
      <c r="AO37" s="3679">
        <f t="shared" si="168"/>
        <v>102.04071845073943</v>
      </c>
      <c r="AP37" s="3679">
        <f t="shared" si="169"/>
        <v>100.48246959222114</v>
      </c>
      <c r="AQ37" s="3679"/>
      <c r="AR37" s="3679">
        <f t="shared" si="170"/>
        <v>102.04071845073943</v>
      </c>
    </row>
    <row r="38" spans="1:44">
      <c r="A38" s="3662" t="s">
        <v>3255</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1.0364</v>
      </c>
      <c r="T38" s="3380">
        <f>ROUND(IF(项目基本情况!$B$8="出让",SUMPRODUCT(PRODUCT(1+M38:M$52)),SUMPRODUCT(PRODUCT(1+M38:M$51))),4)</f>
        <v>1.0244</v>
      </c>
      <c r="U38" s="3380">
        <f>ROUND(IF(项目基本情况!$B$8="出让",SUMPRODUCT(PRODUCT(1+N38:N$52)),SUMPRODUCT(PRODUCT(1+N38:N$51))),4)</f>
        <v>1.048</v>
      </c>
      <c r="V38" s="3380"/>
      <c r="W38" s="3380">
        <f t="shared" si="143"/>
        <v>1.0244</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103.64</v>
      </c>
      <c r="AH38" s="3679">
        <f t="shared" si="186"/>
        <v>102.44</v>
      </c>
      <c r="AI38" s="3679">
        <f t="shared" si="187"/>
        <v>104.80000000000001</v>
      </c>
      <c r="AJ38" s="3679"/>
      <c r="AK38" s="3679">
        <f t="shared" si="188"/>
        <v>102.44</v>
      </c>
      <c r="AN38" s="3679">
        <f t="shared" si="167"/>
        <v>102.4323722197171</v>
      </c>
      <c r="AO38" s="3679">
        <f t="shared" si="168"/>
        <v>102.7703882070092</v>
      </c>
      <c r="AP38" s="3679">
        <f t="shared" si="169"/>
        <v>101.37456577100599</v>
      </c>
      <c r="AQ38" s="3679"/>
      <c r="AR38" s="3679">
        <f t="shared" si="170"/>
        <v>102.7703882070092</v>
      </c>
    </row>
    <row r="39" spans="1:44">
      <c r="A39" s="3343" t="s">
        <v>3261</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1.0432999999999999</v>
      </c>
      <c r="T39" s="3380">
        <f>ROUND(IF(项目基本情况!$B$8="出让",SUMPRODUCT(PRODUCT(1+M39:M$52)),SUMPRODUCT(PRODUCT(1+M39:M$51))),4)</f>
        <v>1.0298</v>
      </c>
      <c r="U39" s="3380">
        <f>ROUND(IF(项目基本情况!$B$8="出让",SUMPRODUCT(PRODUCT(1+N39:N$52)),SUMPRODUCT(PRODUCT(1+N39:N$51))),4)</f>
        <v>1.079</v>
      </c>
      <c r="V39" s="3380"/>
      <c r="W39" s="3380">
        <f t="shared" si="143"/>
        <v>1.0298</v>
      </c>
      <c r="X39" s="3364"/>
      <c r="Y39" s="3389"/>
      <c r="Z39" s="3390">
        <f t="shared" si="193"/>
        <v>3.3E-3</v>
      </c>
      <c r="AA39" s="3392">
        <f t="shared" si="193"/>
        <v>2.3999999999999998E-3</v>
      </c>
      <c r="AB39" s="3389">
        <f t="shared" si="193"/>
        <v>6.1999999999999998E-3</v>
      </c>
      <c r="AC39" s="3391"/>
      <c r="AD39" s="3389">
        <f t="shared" si="147"/>
        <v>2.3999999999999998E-3</v>
      </c>
      <c r="AG39" s="3679">
        <f t="shared" si="185"/>
        <v>104.32999999999998</v>
      </c>
      <c r="AH39" s="3679">
        <f t="shared" si="186"/>
        <v>102.98</v>
      </c>
      <c r="AI39" s="3679">
        <f t="shared" si="187"/>
        <v>107.89999999999999</v>
      </c>
      <c r="AJ39" s="3679"/>
      <c r="AK39" s="3679">
        <f t="shared" si="188"/>
        <v>102.98</v>
      </c>
      <c r="AN39" s="3679">
        <f t="shared" si="167"/>
        <v>103.11291747505244</v>
      </c>
      <c r="AO39" s="3679">
        <f t="shared" si="168"/>
        <v>103.30758766285605</v>
      </c>
      <c r="AP39" s="3679">
        <f t="shared" si="169"/>
        <v>104.36998432101923</v>
      </c>
      <c r="AQ39" s="3679"/>
      <c r="AR39" s="3679">
        <f t="shared" si="170"/>
        <v>103.30758766285605</v>
      </c>
    </row>
    <row r="40" spans="1:44">
      <c r="A40" s="3343" t="s">
        <v>3258</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1.0465</v>
      </c>
      <c r="T40" s="3380">
        <f>ROUND(IF(项目基本情况!$B$8="出让",SUMPRODUCT(PRODUCT(1+M40:M$52)),SUMPRODUCT(PRODUCT(1+M40:M$51))),4)</f>
        <v>1.0338000000000001</v>
      </c>
      <c r="U40" s="3380">
        <f>ROUND(IF(项目基本情况!$B$8="出让",SUMPRODUCT(PRODUCT(1+N40:N$52)),SUMPRODUCT(PRODUCT(1+N40:N$51))),4)</f>
        <v>1.0659000000000001</v>
      </c>
      <c r="V40" s="3380"/>
      <c r="W40" s="3380">
        <f t="shared" ref="W40" si="200">T40</f>
        <v>1.0338000000000001</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104.65</v>
      </c>
      <c r="AH40" s="3679">
        <f t="shared" si="186"/>
        <v>103.38000000000001</v>
      </c>
      <c r="AI40" s="3679">
        <f t="shared" si="187"/>
        <v>106.59</v>
      </c>
      <c r="AJ40" s="3679"/>
      <c r="AK40" s="3679">
        <f t="shared" si="188"/>
        <v>103.38000000000001</v>
      </c>
      <c r="AN40" s="3679">
        <f t="shared" si="167"/>
        <v>103.43356151575126</v>
      </c>
      <c r="AO40" s="3679">
        <f t="shared" si="168"/>
        <v>103.7120647152455</v>
      </c>
      <c r="AP40" s="3679">
        <f t="shared" si="169"/>
        <v>103.10183179000221</v>
      </c>
      <c r="AQ40" s="3679"/>
      <c r="AR40" s="3679">
        <f t="shared" si="170"/>
        <v>103.7120647152455</v>
      </c>
    </row>
    <row r="41" spans="1:44">
      <c r="A41" s="3343" t="s">
        <v>3253</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1.0439000000000001</v>
      </c>
      <c r="T41" s="3380">
        <f>ROUND(IF(项目基本情况!$B$8="出让",SUMPRODUCT(PRODUCT(1+M41:M$52)),SUMPRODUCT(PRODUCT(1+M41:M$51))),4)</f>
        <v>1.0297000000000001</v>
      </c>
      <c r="U41" s="3380">
        <f>ROUND(IF(项目基本情况!$B$8="出让",SUMPRODUCT(PRODUCT(1+N41:N$52)),SUMPRODUCT(PRODUCT(1+N41:N$51))),4)</f>
        <v>1.0727</v>
      </c>
      <c r="V41" s="3380"/>
      <c r="W41" s="3380">
        <f t="shared" ref="W41" si="207">T41</f>
        <v>1.0297000000000001</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104.39</v>
      </c>
      <c r="AH41" s="3679">
        <f t="shared" si="186"/>
        <v>102.97</v>
      </c>
      <c r="AI41" s="3679">
        <f t="shared" si="187"/>
        <v>107.27</v>
      </c>
      <c r="AJ41" s="3679"/>
      <c r="AK41" s="3679">
        <f t="shared" si="188"/>
        <v>102.97</v>
      </c>
      <c r="AN41" s="3679">
        <f t="shared" si="167"/>
        <v>103.17562245960227</v>
      </c>
      <c r="AO41" s="3679">
        <f t="shared" si="168"/>
        <v>103.29886923829234</v>
      </c>
      <c r="AP41" s="3679">
        <f t="shared" si="169"/>
        <v>103.75549138573231</v>
      </c>
      <c r="AQ41" s="3679"/>
      <c r="AR41" s="3679">
        <f t="shared" si="170"/>
        <v>103.29886923829234</v>
      </c>
    </row>
    <row r="42" spans="1:44">
      <c r="A42" s="3343" t="s">
        <v>3251</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1.0431999999999999</v>
      </c>
      <c r="T42" s="3380">
        <f>ROUND(IF(项目基本情况!$B$8="出让",SUMPRODUCT(PRODUCT(1+M42:M$52)),SUMPRODUCT(PRODUCT(1+M42:M$51))),4)</f>
        <v>1.0286999999999999</v>
      </c>
      <c r="U42" s="3380">
        <f>ROUND(IF(项目基本情况!$B$8="出让",SUMPRODUCT(PRODUCT(1+N42:N$52)),SUMPRODUCT(PRODUCT(1+N42:N$51))),4)</f>
        <v>1.0723</v>
      </c>
      <c r="V42" s="3380"/>
      <c r="W42" s="3380">
        <f t="shared" ref="W42:W44" si="216">T42</f>
        <v>1.0286999999999999</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104.32</v>
      </c>
      <c r="AH42" s="3679">
        <f t="shared" si="186"/>
        <v>102.86999999999999</v>
      </c>
      <c r="AI42" s="3679">
        <f t="shared" si="187"/>
        <v>107.23</v>
      </c>
      <c r="AJ42" s="3679"/>
      <c r="AK42" s="3679">
        <f t="shared" si="188"/>
        <v>102.86999999999999</v>
      </c>
      <c r="AN42" s="3679">
        <f t="shared" si="167"/>
        <v>103.10345004457108</v>
      </c>
      <c r="AO42" s="3679">
        <f t="shared" si="168"/>
        <v>103.20598385282482</v>
      </c>
      <c r="AP42" s="3679">
        <f t="shared" si="169"/>
        <v>103.72437407351026</v>
      </c>
      <c r="AQ42" s="3679"/>
      <c r="AR42" s="3679">
        <f t="shared" si="170"/>
        <v>103.20598385282482</v>
      </c>
    </row>
    <row r="43" spans="1:44">
      <c r="A43" s="3343" t="s">
        <v>3250</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1.0396000000000001</v>
      </c>
      <c r="T43" s="3380">
        <f>ROUND(IF(项目基本情况!$B$8="出让",SUMPRODUCT(PRODUCT(1+M43:M$52)),SUMPRODUCT(PRODUCT(1+M43:M$51))),4)</f>
        <v>1.0269999999999999</v>
      </c>
      <c r="U43" s="3380">
        <f>ROUND(IF(项目基本情况!$B$8="出让",SUMPRODUCT(PRODUCT(1+N43:N$52)),SUMPRODUCT(PRODUCT(1+N43:N$51))),4)</f>
        <v>1.0668</v>
      </c>
      <c r="V43" s="3380"/>
      <c r="W43" s="3380">
        <f t="shared" si="216"/>
        <v>1.0269999999999999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103.96000000000001</v>
      </c>
      <c r="AH43" s="3679">
        <f t="shared" si="186"/>
        <v>102.69999999999999</v>
      </c>
      <c r="AI43" s="3679">
        <f t="shared" si="187"/>
        <v>106.67999999999999</v>
      </c>
      <c r="AJ43" s="3679"/>
      <c r="AK43" s="3679">
        <f t="shared" si="188"/>
        <v>102.69999999999999</v>
      </c>
      <c r="AN43" s="3679">
        <f t="shared" si="167"/>
        <v>102.74384658153569</v>
      </c>
      <c r="AO43" s="3679">
        <f t="shared" si="168"/>
        <v>103.03083143937786</v>
      </c>
      <c r="AP43" s="3679">
        <f t="shared" si="169"/>
        <v>103.18779752637312</v>
      </c>
      <c r="AQ43" s="3679"/>
      <c r="AR43" s="3679">
        <f t="shared" si="170"/>
        <v>103.03083143937786</v>
      </c>
    </row>
    <row r="44" spans="1:44">
      <c r="A44" s="3343" t="s">
        <v>3248</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1.0344</v>
      </c>
      <c r="T44" s="3380">
        <f>ROUND(IF(项目基本情况!$B$8="出让",SUMPRODUCT(PRODUCT(1+M44:M$52)),SUMPRODUCT(PRODUCT(1+M44:M$51))),4)</f>
        <v>1.0224</v>
      </c>
      <c r="U44" s="3380">
        <f>ROUND(IF(项目基本情况!$B$8="出让",SUMPRODUCT(PRODUCT(1+N44:N$52)),SUMPRODUCT(PRODUCT(1+N44:N$51))),4)</f>
        <v>1.0573999999999999</v>
      </c>
      <c r="V44" s="3380"/>
      <c r="W44" s="3380">
        <f t="shared" si="216"/>
        <v>1.0224</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103.44</v>
      </c>
      <c r="AH44" s="3679">
        <f t="shared" si="186"/>
        <v>102.24</v>
      </c>
      <c r="AI44" s="3679">
        <f t="shared" si="187"/>
        <v>105.74</v>
      </c>
      <c r="AJ44" s="3679"/>
      <c r="AK44" s="3679">
        <f t="shared" si="188"/>
        <v>102.24</v>
      </c>
      <c r="AN44" s="3679">
        <f t="shared" si="167"/>
        <v>102.23268316570717</v>
      </c>
      <c r="AO44" s="3679">
        <f t="shared" si="168"/>
        <v>102.56926972561261</v>
      </c>
      <c r="AP44" s="3679">
        <f t="shared" si="169"/>
        <v>102.27752753134416</v>
      </c>
      <c r="AQ44" s="3679"/>
      <c r="AR44" s="3679">
        <f t="shared" si="170"/>
        <v>102.56926972561261</v>
      </c>
    </row>
    <row r="45" spans="1:44">
      <c r="A45" s="3343" t="s">
        <v>3246</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1.0286999999999999</v>
      </c>
      <c r="T45" s="3380">
        <f>ROUND(IF(项目基本情况!$B$8="出让",SUMPRODUCT(PRODUCT(1+M45:M$52)),SUMPRODUCT(PRODUCT(1+M45:M$51))),4)</f>
        <v>1.0164</v>
      </c>
      <c r="U45" s="3380">
        <f>ROUND(IF(项目基本情况!$B$8="出让",SUMPRODUCT(PRODUCT(1+N45:N$52)),SUMPRODUCT(PRODUCT(1+N45:N$51))),4)</f>
        <v>1.0506</v>
      </c>
      <c r="V45" s="3380"/>
      <c r="W45" s="3380">
        <f t="shared" ref="W45:W52" si="222">T45</f>
        <v>1.0164</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102.86999999999999</v>
      </c>
      <c r="AH45" s="3679">
        <f t="shared" si="186"/>
        <v>101.64</v>
      </c>
      <c r="AI45" s="3679">
        <f t="shared" si="187"/>
        <v>105.06</v>
      </c>
      <c r="AJ45" s="3679"/>
      <c r="AK45" s="3679">
        <f t="shared" si="188"/>
        <v>101.64</v>
      </c>
      <c r="AN45" s="3679">
        <f t="shared" si="167"/>
        <v>101.67347903103646</v>
      </c>
      <c r="AO45" s="3679">
        <f t="shared" si="168"/>
        <v>101.96766052849449</v>
      </c>
      <c r="AP45" s="3679">
        <f t="shared" si="169"/>
        <v>101.62711400173308</v>
      </c>
      <c r="AQ45" s="3679"/>
      <c r="AR45" s="3679">
        <f t="shared" si="170"/>
        <v>101.96766052849449</v>
      </c>
    </row>
    <row r="46" spans="1:44">
      <c r="A46" s="3343" t="s">
        <v>3244</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1.0241</v>
      </c>
      <c r="T46" s="3380">
        <f>ROUND(IF(项目基本情况!$B$8="出让",SUMPRODUCT(PRODUCT(1+M46:M$52)),SUMPRODUCT(PRODUCT(1+M46:M$51))),4)</f>
        <v>1.0144</v>
      </c>
      <c r="U46" s="3380">
        <f>ROUND(IF(项目基本情况!$B$8="出让",SUMPRODUCT(PRODUCT(1+N46:N$52)),SUMPRODUCT(PRODUCT(1+N46:N$51))),4)</f>
        <v>1.0467</v>
      </c>
      <c r="V46" s="3380"/>
      <c r="W46" s="3380">
        <f t="shared" si="222"/>
        <v>1.0144</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102.41</v>
      </c>
      <c r="AH46" s="3679">
        <f t="shared" si="186"/>
        <v>101.44</v>
      </c>
      <c r="AI46" s="3679">
        <f t="shared" si="187"/>
        <v>104.67</v>
      </c>
      <c r="AJ46" s="3679"/>
      <c r="AK46" s="3679">
        <f t="shared" si="188"/>
        <v>101.44</v>
      </c>
      <c r="AN46" s="3679">
        <f t="shared" si="167"/>
        <v>101.21799803985711</v>
      </c>
      <c r="AO46" s="3679">
        <f t="shared" si="168"/>
        <v>101.76413226396656</v>
      </c>
      <c r="AP46" s="3679">
        <f t="shared" si="169"/>
        <v>101.24239290868009</v>
      </c>
      <c r="AQ46" s="3679"/>
      <c r="AR46" s="3679">
        <f t="shared" si="170"/>
        <v>101.76413226396656</v>
      </c>
    </row>
    <row r="47" spans="1:44">
      <c r="A47" s="3343" t="s">
        <v>3243</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1.0210999999999999</v>
      </c>
      <c r="T47" s="3380">
        <f>ROUND(IF(项目基本情况!$B$8="出让",SUMPRODUCT(PRODUCT(1+M47:M$52)),SUMPRODUCT(PRODUCT(1+M47:M$51))),4)</f>
        <v>1.0114000000000001</v>
      </c>
      <c r="U47" s="3380">
        <f>ROUND(IF(项目基本情况!$B$8="出让",SUMPRODUCT(PRODUCT(1+N47:N$52)),SUMPRODUCT(PRODUCT(1+N47:N$51))),4)</f>
        <v>1.0381</v>
      </c>
      <c r="V47" s="3380"/>
      <c r="W47" s="3380">
        <f t="shared" si="222"/>
        <v>1.0114000000000001</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102.10999999999999</v>
      </c>
      <c r="AH47" s="3679">
        <f t="shared" si="186"/>
        <v>101.14000000000001</v>
      </c>
      <c r="AI47" s="3679">
        <f t="shared" si="187"/>
        <v>103.81</v>
      </c>
      <c r="AJ47" s="3679"/>
      <c r="AK47" s="3679">
        <f t="shared" si="188"/>
        <v>101.14000000000001</v>
      </c>
      <c r="AN47" s="3679">
        <f t="shared" si="167"/>
        <v>100.9152522830081</v>
      </c>
      <c r="AO47" s="3679">
        <f t="shared" si="168"/>
        <v>101.46986964200475</v>
      </c>
      <c r="AP47" s="3679">
        <f t="shared" si="169"/>
        <v>100.40899822342566</v>
      </c>
      <c r="AQ47" s="3679"/>
      <c r="AR47" s="3679">
        <f t="shared" si="170"/>
        <v>101.46986964200475</v>
      </c>
    </row>
    <row r="48" spans="1:44">
      <c r="A48" s="3343" t="s">
        <v>2780</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1.0222</v>
      </c>
      <c r="T48" s="3380">
        <f>ROUND(IF(项目基本情况!$B$8="出让",SUMPRODUCT(PRODUCT(1+M48:M$52)),SUMPRODUCT(PRODUCT(1+M48:M$51))),4)</f>
        <v>1.0127999999999999</v>
      </c>
      <c r="U48" s="3380">
        <f>ROUND(IF(项目基本情况!$B$8="出让",SUMPRODUCT(PRODUCT(1+N48:N$52)),SUMPRODUCT(PRODUCT(1+N48:N$51))),4)</f>
        <v>1.0326</v>
      </c>
      <c r="V48" s="3380"/>
      <c r="W48" s="3380">
        <f t="shared" si="222"/>
        <v>1.0127999999999999</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102.22</v>
      </c>
      <c r="AH48" s="3679">
        <f t="shared" si="186"/>
        <v>101.27999999999999</v>
      </c>
      <c r="AI48" s="3679">
        <f t="shared" si="187"/>
        <v>103.25999999999999</v>
      </c>
      <c r="AJ48" s="3679"/>
      <c r="AK48" s="3679">
        <f t="shared" si="188"/>
        <v>101.27999999999999</v>
      </c>
      <c r="AN48" s="3679">
        <f t="shared" si="167"/>
        <v>101.02638130244078</v>
      </c>
      <c r="AO48" s="3679">
        <f t="shared" si="168"/>
        <v>101.60195217983853</v>
      </c>
      <c r="AP48" s="3679">
        <f t="shared" si="169"/>
        <v>99.879636151820989</v>
      </c>
      <c r="AQ48" s="3679"/>
      <c r="AR48" s="3679">
        <f t="shared" si="170"/>
        <v>101.60195217983853</v>
      </c>
    </row>
    <row r="49" spans="1:44">
      <c r="A49" s="3343" t="s">
        <v>2781</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1.0161</v>
      </c>
      <c r="T49" s="3380">
        <f>ROUND(IF(项目基本情况!$B$8="出让",SUMPRODUCT(PRODUCT(1+M49:M$52)),SUMPRODUCT(PRODUCT(1+M49:M$51))),4)</f>
        <v>1.0082</v>
      </c>
      <c r="U49" s="3380">
        <f>ROUND(IF(项目基本情况!$B$8="出让",SUMPRODUCT(PRODUCT(1+N49:N$52)),SUMPRODUCT(PRODUCT(1+N49:N$51))),4)</f>
        <v>1.0270999999999999</v>
      </c>
      <c r="V49" s="3380"/>
      <c r="W49" s="3380">
        <f t="shared" si="222"/>
        <v>1.0082</v>
      </c>
      <c r="X49" s="3364"/>
      <c r="Y49" s="3389"/>
      <c r="Z49" s="3390">
        <f t="shared" si="223"/>
        <v>4.8999999999999998E-3</v>
      </c>
      <c r="AA49" s="3392">
        <f t="shared" si="223"/>
        <v>3.3E-3</v>
      </c>
      <c r="AB49" s="3389">
        <f t="shared" si="223"/>
        <v>9.1999999999999998E-3</v>
      </c>
      <c r="AC49" s="3391"/>
      <c r="AD49" s="3389">
        <f t="shared" si="223"/>
        <v>3.3E-3</v>
      </c>
      <c r="AG49" s="3679">
        <f t="shared" si="185"/>
        <v>101.61</v>
      </c>
      <c r="AH49" s="3679">
        <f t="shared" si="186"/>
        <v>100.82</v>
      </c>
      <c r="AI49" s="3679">
        <f t="shared" si="187"/>
        <v>102.71</v>
      </c>
      <c r="AJ49" s="3679"/>
      <c r="AK49" s="3679">
        <f t="shared" si="188"/>
        <v>100.82</v>
      </c>
      <c r="AN49" s="3679">
        <f t="shared" si="167"/>
        <v>100.42383827280396</v>
      </c>
      <c r="AO49" s="3679">
        <f t="shared" si="168"/>
        <v>101.14679161755951</v>
      </c>
      <c r="AP49" s="3679">
        <f t="shared" si="169"/>
        <v>99.353064907809596</v>
      </c>
      <c r="AQ49" s="3679"/>
      <c r="AR49" s="3679">
        <f t="shared" si="170"/>
        <v>101.14679161755951</v>
      </c>
    </row>
    <row r="50" spans="1:44">
      <c r="A50" s="3343" t="s">
        <v>2782</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1.0102</v>
      </c>
      <c r="T50" s="3380">
        <f>ROUND(IF(项目基本情况!$B$8="出让",SUMPRODUCT(PRODUCT(1+M50:M$52)),SUMPRODUCT(PRODUCT(1+M50:M$51))),4)</f>
        <v>1.0074000000000001</v>
      </c>
      <c r="U50" s="3380">
        <f>ROUND(IF(项目基本情况!$B$8="出让",SUMPRODUCT(PRODUCT(1+N50:N$52)),SUMPRODUCT(PRODUCT(1+N50:N$51))),4)</f>
        <v>1.0202</v>
      </c>
      <c r="V50" s="3380"/>
      <c r="W50" s="3380">
        <f t="shared" si="222"/>
        <v>1.0074000000000001</v>
      </c>
      <c r="X50" s="3364"/>
      <c r="Y50" s="3389"/>
      <c r="Z50" s="3390">
        <f t="shared" si="223"/>
        <v>4.5999999999999999E-3</v>
      </c>
      <c r="AA50" s="3392">
        <f t="shared" si="223"/>
        <v>4.1000000000000003E-3</v>
      </c>
      <c r="AB50" s="3389">
        <f t="shared" si="223"/>
        <v>0.01</v>
      </c>
      <c r="AC50" s="3391"/>
      <c r="AD50" s="3389">
        <f t="shared" si="223"/>
        <v>4.1000000000000003E-3</v>
      </c>
      <c r="AG50" s="3679">
        <f t="shared" si="185"/>
        <v>101.02</v>
      </c>
      <c r="AH50" s="3679">
        <f t="shared" si="186"/>
        <v>100.74000000000001</v>
      </c>
      <c r="AI50" s="3679">
        <f t="shared" si="187"/>
        <v>102.02</v>
      </c>
      <c r="AJ50" s="3679"/>
      <c r="AK50" s="3679">
        <f t="shared" si="188"/>
        <v>100.74000000000001</v>
      </c>
      <c r="AN50" s="3679">
        <f t="shared" si="167"/>
        <v>99.844738787834515</v>
      </c>
      <c r="AO50" s="3679">
        <f t="shared" si="168"/>
        <v>101.06593886646635</v>
      </c>
      <c r="AP50" s="3679">
        <f t="shared" si="169"/>
        <v>98.682027123370688</v>
      </c>
      <c r="AQ50" s="3679"/>
      <c r="AR50" s="3679">
        <f t="shared" si="170"/>
        <v>101.06593886646635</v>
      </c>
    </row>
    <row r="51" spans="1:44">
      <c r="A51" s="3343" t="s">
        <v>2786</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1.0055000000000001</v>
      </c>
      <c r="T51" s="3380">
        <f>ROUND(IF(项目基本情况!$B$8="出让",SUMPRODUCT(PRODUCT(1+M51:M$52)),SUMPRODUCT(PRODUCT(1+M51:M$51))),4)</f>
        <v>1.0045999999999999</v>
      </c>
      <c r="U51" s="3380">
        <f>ROUND(IF(项目基本情况!$B$8="出让",SUMPRODUCT(PRODUCT(1+N51:N$52)),SUMPRODUCT(PRODUCT(1+N51:N$51))),4)</f>
        <v>1.0109999999999999</v>
      </c>
      <c r="V51" s="3380"/>
      <c r="W51" s="3380">
        <f t="shared" si="222"/>
        <v>1.0045999999999999</v>
      </c>
      <c r="X51" s="3364"/>
      <c r="Y51" s="3389"/>
      <c r="Z51" s="3390">
        <f t="shared" si="223"/>
        <v>4.4999999999999997E-3</v>
      </c>
      <c r="AA51" s="3392">
        <f t="shared" si="223"/>
        <v>4.7000000000000002E-3</v>
      </c>
      <c r="AB51" s="3389">
        <f t="shared" si="223"/>
        <v>1.04E-2</v>
      </c>
      <c r="AC51" s="3391"/>
      <c r="AD51" s="3389">
        <f t="shared" si="223"/>
        <v>4.7000000000000002E-3</v>
      </c>
      <c r="AG51" s="3679">
        <f t="shared" si="185"/>
        <v>100.55000000000001</v>
      </c>
      <c r="AH51" s="3679">
        <f t="shared" si="186"/>
        <v>100.46</v>
      </c>
      <c r="AI51" s="3679">
        <f t="shared" si="187"/>
        <v>101.1</v>
      </c>
      <c r="AJ51" s="3679"/>
      <c r="AK51" s="3679">
        <f t="shared" si="188"/>
        <v>100.46</v>
      </c>
      <c r="AN51" s="3679">
        <f t="shared" si="167"/>
        <v>99.377663768124336</v>
      </c>
      <c r="AO51" s="3679">
        <f t="shared" si="168"/>
        <v>100.78374438219622</v>
      </c>
      <c r="AP51" s="3679">
        <f t="shared" si="169"/>
        <v>97.7921188419093</v>
      </c>
      <c r="AQ51" s="3679"/>
      <c r="AR51" s="3679">
        <f t="shared" si="170"/>
        <v>100.78374438219622</v>
      </c>
    </row>
    <row r="52" spans="1:44" ht="15" thickBot="1">
      <c r="A52" s="3345" t="s">
        <v>2787</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98.83407634820918</v>
      </c>
      <c r="AO52" s="3679">
        <f t="shared" si="168"/>
        <v>100.32226197710156</v>
      </c>
      <c r="AP52" s="3679">
        <f t="shared" si="169"/>
        <v>96.728109635914251</v>
      </c>
      <c r="AQ52" s="3679"/>
      <c r="AR52" s="3679">
        <f t="shared" si="170"/>
        <v>100.32226197710156</v>
      </c>
    </row>
    <row r="53" spans="1:44" ht="15" thickTop="1"/>
    <row r="54" spans="1:44">
      <c r="A54" s="3661"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2" t="s">
        <v>1807</v>
      </c>
      <c r="C8" s="1612">
        <f ca="1">ROUND(F8*F10*F9*(1-F11)/10000,0)</f>
        <v>0</v>
      </c>
      <c r="D8" s="1609" t="s">
        <v>1817</v>
      </c>
      <c r="E8" s="59" t="s">
        <v>585</v>
      </c>
      <c r="F8" s="751">
        <f ca="1">INDIRECT("'数据-取费表'!u"&amp;$G$1)</f>
        <v>0</v>
      </c>
      <c r="G8" s="1405"/>
      <c r="H8" s="2151" t="s">
        <v>1353</v>
      </c>
      <c r="I8" s="3992" t="s">
        <v>1807</v>
      </c>
      <c r="J8" s="749">
        <f ca="1">ROUND(M8*M10*M9*(1-M11)/10000,0)</f>
        <v>0</v>
      </c>
      <c r="K8" s="332" t="s">
        <v>1817</v>
      </c>
      <c r="L8" s="750" t="s">
        <v>1267</v>
      </c>
      <c r="M8" s="751">
        <f ca="1">INDIRECT("'数据-取费表'!z"&amp;$G$1)</f>
        <v>0</v>
      </c>
    </row>
    <row r="9" spans="1:25" ht="18" customHeight="1">
      <c r="A9" s="2147"/>
      <c r="B9" s="3993"/>
      <c r="C9" s="1613"/>
      <c r="D9" s="1610"/>
      <c r="E9" s="59" t="s">
        <v>586</v>
      </c>
      <c r="F9" s="751">
        <f ca="1">IF(INDIRECT("'数据-取费表'!ah"&amp;$G$1)="",INDIRECT("'数据-取费表'!k"&amp;$G$1),INDIRECT("'数据-取费表'!ah"&amp;$G$1))</f>
        <v>0</v>
      </c>
      <c r="G9" s="1405"/>
      <c r="H9" s="2136"/>
      <c r="I9" s="3993"/>
      <c r="J9" s="754"/>
      <c r="K9" s="755"/>
      <c r="L9" s="750" t="s">
        <v>1268</v>
      </c>
      <c r="M9" s="751">
        <f ca="1">F9</f>
        <v>0</v>
      </c>
    </row>
    <row r="10" spans="1:25" ht="18" customHeight="1">
      <c r="A10" s="2140"/>
      <c r="B10" s="3994"/>
      <c r="C10" s="1613"/>
      <c r="D10" s="1610"/>
      <c r="E10" s="59" t="s">
        <v>587</v>
      </c>
      <c r="F10" s="751">
        <f ca="1">INDIRECT("'数据-取费表'!ai"&amp;$G$1)</f>
        <v>0</v>
      </c>
      <c r="G10" s="1405"/>
      <c r="H10" s="2136"/>
      <c r="I10" s="3994"/>
      <c r="J10" s="754"/>
      <c r="K10" s="755"/>
      <c r="L10" s="750" t="s">
        <v>1269</v>
      </c>
      <c r="M10" s="751">
        <f ca="1">INDIRECT("'数据-取费表'!ai"&amp;$G$1)</f>
        <v>0</v>
      </c>
    </row>
    <row r="11" spans="1:25" ht="18" customHeight="1">
      <c r="A11" s="752"/>
      <c r="B11" s="3995"/>
      <c r="C11" s="1613"/>
      <c r="D11" s="1610"/>
      <c r="E11" s="59" t="s">
        <v>588</v>
      </c>
      <c r="F11" s="760">
        <f ca="1">INDIRECT("'数据-取费表'!w"&amp;$G$1)</f>
        <v>0</v>
      </c>
      <c r="G11" s="1405"/>
      <c r="H11" s="2152"/>
      <c r="I11" s="3994"/>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3241</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3.0599999999999999E-2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3241</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91"/>
      <c r="J36" s="1803"/>
      <c r="K36" s="1804"/>
      <c r="L36" s="1803"/>
      <c r="M36" s="1803"/>
    </row>
    <row r="37" spans="1:18" ht="18" customHeight="1">
      <c r="A37" s="780"/>
      <c r="B37" s="759"/>
      <c r="C37" s="67"/>
      <c r="D37" s="781"/>
      <c r="E37" s="750" t="s">
        <v>621</v>
      </c>
      <c r="F37" s="751">
        <f ca="1">INDIRECT("'数据-取费表'!r"&amp;$G$1)</f>
        <v>0</v>
      </c>
      <c r="G37" s="1786"/>
      <c r="H37" s="1789"/>
      <c r="I37" s="3991"/>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-0.5</v>
      </c>
      <c r="K54" s="3996"/>
      <c r="L54" s="3997"/>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92" t="s">
        <v>1807</v>
      </c>
      <c r="C6" s="749" t="e">
        <f ca="1">ROUND(F6*F8*F7*(1-F9)/10000,0)</f>
        <v>#N/A</v>
      </c>
      <c r="D6" s="2144" t="s">
        <v>1806</v>
      </c>
      <c r="E6" s="750" t="s">
        <v>1267</v>
      </c>
      <c r="F6" s="751" t="e">
        <f ca="1">INDIRECT("'数据-取费表'!u"&amp;$G$1)</f>
        <v>#N/A</v>
      </c>
      <c r="G6" s="1786"/>
      <c r="H6" s="2151" t="s">
        <v>1812</v>
      </c>
      <c r="I6" s="3992" t="s">
        <v>1807</v>
      </c>
      <c r="J6" s="749" t="e">
        <f ca="1">ROUND(M6*M8*M7*(1-M9)/10000,0)</f>
        <v>#N/A</v>
      </c>
      <c r="K6" s="332" t="s">
        <v>1266</v>
      </c>
      <c r="L6" s="750" t="s">
        <v>1267</v>
      </c>
      <c r="M6" s="751" t="e">
        <f ca="1">INDIRECT("'数据-取费表'!z"&amp;$G$1)</f>
        <v>#N/A</v>
      </c>
    </row>
    <row r="7" spans="1:33" ht="18" customHeight="1">
      <c r="A7" s="2147"/>
      <c r="B7" s="3993"/>
      <c r="C7" s="754"/>
      <c r="D7" s="755"/>
      <c r="E7" s="750" t="s">
        <v>1268</v>
      </c>
      <c r="F7" s="751" t="e">
        <f ca="1">IF(INDIRECT("'数据-取费表'!ah"&amp;$G$1)="",INDIRECT("'数据-取费表'!k"&amp;$G$1),INDIRECT("'数据-取费表'!ah"&amp;$G$1))</f>
        <v>#N/A</v>
      </c>
      <c r="G7" s="1786"/>
      <c r="H7" s="2136"/>
      <c r="I7" s="3993"/>
      <c r="J7" s="754"/>
      <c r="K7" s="755"/>
      <c r="L7" s="750" t="s">
        <v>1268</v>
      </c>
      <c r="M7" s="751" t="e">
        <f ca="1">F7</f>
        <v>#N/A</v>
      </c>
    </row>
    <row r="8" spans="1:33" ht="18" customHeight="1">
      <c r="A8" s="2140"/>
      <c r="B8" s="3994"/>
      <c r="C8" s="754"/>
      <c r="D8" s="755"/>
      <c r="E8" s="750" t="s">
        <v>1269</v>
      </c>
      <c r="F8" s="751" t="e">
        <f ca="1">INDIRECT("'数据-取费表'!ai"&amp;$G$1)</f>
        <v>#N/A</v>
      </c>
      <c r="G8" s="1786"/>
      <c r="H8" s="2136"/>
      <c r="I8" s="3994"/>
      <c r="J8" s="754"/>
      <c r="K8" s="755"/>
      <c r="L8" s="750" t="s">
        <v>1269</v>
      </c>
      <c r="M8" s="751" t="e">
        <f ca="1">INDIRECT("'数据-取费表'!ai"&amp;$G$1)</f>
        <v>#N/A</v>
      </c>
    </row>
    <row r="9" spans="1:33" ht="18" customHeight="1">
      <c r="A9" s="752"/>
      <c r="B9" s="3995"/>
      <c r="C9" s="754"/>
      <c r="D9" s="755"/>
      <c r="E9" s="750" t="s">
        <v>1270</v>
      </c>
      <c r="F9" s="760" t="e">
        <f ca="1">INDIRECT("'数据-取费表'!w"&amp;$G$1)</f>
        <v>#N/A</v>
      </c>
      <c r="G9" s="1786"/>
      <c r="H9" s="2152"/>
      <c r="I9" s="3994"/>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0.05</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0.02</v>
      </c>
      <c r="G18" s="3003"/>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3241</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3"/>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3.0599999999999999E-2</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3000"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3241</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98" t="s">
        <v>2226</v>
      </c>
      <c r="L53" s="3999"/>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5.6000000000000001E-2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M35" sqref="AM3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4006" t="s">
        <v>2300</v>
      </c>
      <c r="K2" s="4007"/>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4008" t="s">
        <v>2310</v>
      </c>
      <c r="K3" s="4009"/>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4008" t="s">
        <v>2312</v>
      </c>
      <c r="K4" s="4009"/>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4014" t="s">
        <v>2316</v>
      </c>
      <c r="B6" s="4015"/>
      <c r="C6" s="4016"/>
      <c r="D6" s="3098"/>
      <c r="E6" s="3099"/>
      <c r="F6" s="3100"/>
      <c r="G6" s="3101"/>
      <c r="H6" s="3076"/>
      <c r="I6" s="3077"/>
      <c r="J6" s="4000">
        <v>1</v>
      </c>
      <c r="K6" s="4001"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4000"/>
      <c r="K7" s="4002"/>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4017" t="s">
        <v>2330</v>
      </c>
      <c r="C8" s="4018"/>
      <c r="D8" s="3117" t="s">
        <v>2331</v>
      </c>
      <c r="E8" s="3118" t="s">
        <v>2332</v>
      </c>
      <c r="F8" s="3119" t="s">
        <v>2333</v>
      </c>
      <c r="G8" s="3120"/>
      <c r="H8" s="3076"/>
      <c r="I8" s="3077"/>
      <c r="J8" s="4000"/>
      <c r="K8" s="4002"/>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4017" t="s">
        <v>2336</v>
      </c>
      <c r="C9" s="4018"/>
      <c r="D9" s="3117">
        <f>ROUND(D6*E9,0)</f>
        <v>0</v>
      </c>
      <c r="E9" s="3121"/>
      <c r="F9" s="3122" t="s">
        <v>2337</v>
      </c>
      <c r="G9" s="3101"/>
      <c r="H9" s="3076"/>
      <c r="I9" s="3077"/>
      <c r="J9" s="4000"/>
      <c r="K9" s="4002"/>
      <c r="L9" s="3111" t="s">
        <v>2338</v>
      </c>
      <c r="M9" s="3112"/>
      <c r="N9" s="3088"/>
      <c r="O9" s="3113"/>
      <c r="P9" s="3113"/>
      <c r="Q9" s="3114">
        <v>365</v>
      </c>
      <c r="R9" s="3115">
        <f t="shared" si="0"/>
        <v>0</v>
      </c>
      <c r="S9" s="3068"/>
      <c r="T9" s="3068"/>
      <c r="U9" s="3068"/>
      <c r="V9" s="3077"/>
    </row>
    <row r="10" spans="1:22" s="3081" customFormat="1" ht="13.2" customHeight="1">
      <c r="A10" s="3116">
        <v>2</v>
      </c>
      <c r="B10" s="4017" t="s">
        <v>2339</v>
      </c>
      <c r="C10" s="4018"/>
      <c r="D10" s="3117">
        <f>ROUND(D6*E10,0)</f>
        <v>0</v>
      </c>
      <c r="E10" s="3121"/>
      <c r="F10" s="3122" t="s">
        <v>2340</v>
      </c>
      <c r="G10" s="3101"/>
      <c r="H10" s="3076"/>
      <c r="I10" s="3077"/>
      <c r="J10" s="4000"/>
      <c r="K10" s="4002"/>
      <c r="L10" s="3111" t="s">
        <v>2341</v>
      </c>
      <c r="M10" s="3112"/>
      <c r="N10" s="3088"/>
      <c r="O10" s="3113"/>
      <c r="P10" s="3113"/>
      <c r="Q10" s="3114">
        <v>365</v>
      </c>
      <c r="R10" s="3115">
        <f t="shared" si="0"/>
        <v>0</v>
      </c>
      <c r="S10" s="3068"/>
      <c r="T10" s="3068"/>
      <c r="U10" s="3068"/>
      <c r="V10" s="3077"/>
    </row>
    <row r="11" spans="1:22" s="3081" customFormat="1" ht="13.2" customHeight="1">
      <c r="A11" s="3116">
        <v>3</v>
      </c>
      <c r="B11" s="4017" t="s">
        <v>2342</v>
      </c>
      <c r="C11" s="4018"/>
      <c r="D11" s="3117">
        <f>D12+D14+D15+D16</f>
        <v>0</v>
      </c>
      <c r="E11" s="3123" t="e">
        <f>D11/D6</f>
        <v>#DIV/0!</v>
      </c>
      <c r="F11" s="3119"/>
      <c r="G11" s="3120"/>
      <c r="H11" s="3076"/>
      <c r="I11" s="3077"/>
      <c r="J11" s="4000"/>
      <c r="K11" s="4002"/>
      <c r="L11" s="3111" t="s">
        <v>2343</v>
      </c>
      <c r="M11" s="3112"/>
      <c r="N11" s="3088"/>
      <c r="O11" s="3113"/>
      <c r="P11" s="3113"/>
      <c r="Q11" s="3114">
        <v>365</v>
      </c>
      <c r="R11" s="3115">
        <f t="shared" si="0"/>
        <v>0</v>
      </c>
      <c r="S11" s="3068"/>
      <c r="T11" s="3068"/>
      <c r="U11" s="3068"/>
      <c r="V11" s="3077"/>
    </row>
    <row r="12" spans="1:22" s="3081" customFormat="1" ht="13.2" customHeight="1">
      <c r="A12" s="3124" t="s">
        <v>2344</v>
      </c>
      <c r="B12" s="4010" t="s">
        <v>2345</v>
      </c>
      <c r="C12" s="4011"/>
      <c r="D12" s="3125">
        <f>ROUND(D13*1.2%*(1-30%),0)</f>
        <v>0</v>
      </c>
      <c r="E12" s="3126">
        <v>1.2E-2</v>
      </c>
      <c r="F12" s="3119" t="s">
        <v>2346</v>
      </c>
      <c r="G12" s="3120"/>
      <c r="H12" s="3076"/>
      <c r="I12" s="3077"/>
      <c r="J12" s="4000"/>
      <c r="K12" s="4002"/>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4000"/>
      <c r="K13" s="4002"/>
      <c r="L13" s="3111" t="s">
        <v>2349</v>
      </c>
      <c r="M13" s="3112"/>
      <c r="N13" s="3088"/>
      <c r="O13" s="3113"/>
      <c r="P13" s="3113"/>
      <c r="Q13" s="3114">
        <v>365</v>
      </c>
      <c r="R13" s="3115">
        <f t="shared" si="0"/>
        <v>0</v>
      </c>
      <c r="S13" s="3068"/>
      <c r="T13" s="3068"/>
      <c r="U13" s="3068"/>
      <c r="V13" s="3077"/>
    </row>
    <row r="14" spans="1:22" s="3081" customFormat="1" ht="13.2" customHeight="1">
      <c r="A14" s="3124" t="s">
        <v>2350</v>
      </c>
      <c r="B14" s="4010" t="s">
        <v>2351</v>
      </c>
      <c r="C14" s="4011"/>
      <c r="D14" s="3125">
        <f>ROUND(E14*B5/10000,0)</f>
        <v>0</v>
      </c>
      <c r="E14" s="3114"/>
      <c r="F14" s="3119" t="s">
        <v>2352</v>
      </c>
      <c r="G14" s="3120"/>
      <c r="H14" s="3076"/>
      <c r="I14" s="3077"/>
      <c r="J14" s="4000"/>
      <c r="K14" s="4003"/>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4010" t="s">
        <v>2355</v>
      </c>
      <c r="C15" s="4011"/>
      <c r="D15" s="3125">
        <f>ROUND(D6*E15,0)</f>
        <v>0</v>
      </c>
      <c r="E15" s="3126">
        <v>5.5E-2</v>
      </c>
      <c r="F15" s="3119" t="s">
        <v>2356</v>
      </c>
      <c r="G15" s="3101"/>
      <c r="H15" s="3076"/>
      <c r="I15" s="3077"/>
      <c r="J15" s="4000">
        <v>2</v>
      </c>
      <c r="K15" s="4001"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4010" t="s">
        <v>2366</v>
      </c>
      <c r="C16" s="4011"/>
      <c r="D16" s="3136">
        <f>D6*E16</f>
        <v>0</v>
      </c>
      <c r="E16" s="3137"/>
      <c r="F16" s="3122" t="s">
        <v>2367</v>
      </c>
      <c r="G16" s="3101"/>
      <c r="H16" s="3076"/>
      <c r="I16" s="3077"/>
      <c r="J16" s="4000"/>
      <c r="K16" s="4002"/>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4012" t="s">
        <v>2369</v>
      </c>
      <c r="C17" s="4013"/>
      <c r="D17" s="3139">
        <f>ROUND(D6*E17,0)</f>
        <v>0</v>
      </c>
      <c r="E17" s="3140"/>
      <c r="F17" s="3141" t="s">
        <v>2370</v>
      </c>
      <c r="G17" s="3101"/>
      <c r="H17" s="3076"/>
      <c r="I17" s="3077"/>
      <c r="J17" s="4000"/>
      <c r="K17" s="4002"/>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4000"/>
      <c r="K18" s="4002"/>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4000"/>
      <c r="K19" s="4003"/>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4000">
        <v>3</v>
      </c>
      <c r="K20" s="4001"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4000"/>
      <c r="K21" s="4002"/>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4000"/>
      <c r="K22" s="4002"/>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4000"/>
      <c r="K23" s="4002"/>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4000"/>
      <c r="K24" s="4003"/>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4004">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4005"/>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4006" t="s">
        <v>2412</v>
      </c>
      <c r="K32" s="4007"/>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4008" t="s">
        <v>2416</v>
      </c>
      <c r="K33" s="4009"/>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4008" t="s">
        <v>2418</v>
      </c>
      <c r="K34" s="4009"/>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4000">
        <v>1</v>
      </c>
      <c r="K36" s="4001"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4000"/>
      <c r="K37" s="4002"/>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4000"/>
      <c r="K38" s="4002"/>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4000"/>
      <c r="K39" s="4002"/>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4000"/>
      <c r="K40" s="4003"/>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4004">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4005"/>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9" sqref="F19"/>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11689.8043</v>
      </c>
      <c r="C2" s="3010"/>
      <c r="D2" s="3010"/>
      <c r="E2" s="3010"/>
      <c r="F2" s="3010"/>
      <c r="G2" s="3010"/>
    </row>
    <row r="3" spans="1:25" s="1783" customFormat="1" ht="18" customHeight="1">
      <c r="A3" s="1237" t="s">
        <v>1218</v>
      </c>
      <c r="B3" s="412">
        <f ca="1">ROUND(B2*10000/'数据-汇总表'!E3,0)</f>
        <v>58651</v>
      </c>
      <c r="C3" s="3010"/>
      <c r="D3" s="3010"/>
      <c r="E3" s="3010"/>
      <c r="F3" s="3010"/>
      <c r="G3" s="3010"/>
    </row>
    <row r="4" spans="1:25" s="1783" customFormat="1" ht="18" customHeight="1">
      <c r="A4" s="413" t="s">
        <v>428</v>
      </c>
      <c r="B4" s="414">
        <f ca="1">ROUND(B2*10000/'数据-汇总表'!D3,0)</f>
        <v>8423</v>
      </c>
      <c r="C4" s="2964"/>
      <c r="D4" s="3010"/>
      <c r="E4" s="3010"/>
      <c r="F4" s="3010"/>
      <c r="G4" s="3010"/>
    </row>
    <row r="5" spans="1:25" s="1783" customFormat="1" ht="18" customHeight="1" thickBot="1">
      <c r="A5" s="416"/>
      <c r="B5" s="417">
        <f ca="1">ROUND(B2/('数据-汇总表'!D3/666.67),0)</f>
        <v>562</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3707">
        <f>C8+C9</f>
        <v>11559.627500000001</v>
      </c>
      <c r="D7" s="716"/>
      <c r="E7" s="717"/>
      <c r="F7" s="717"/>
      <c r="G7" s="2128"/>
    </row>
    <row r="8" spans="1:25" s="1905" customFormat="1" ht="13.5" customHeight="1">
      <c r="A8" s="2119" t="s">
        <v>1786</v>
      </c>
      <c r="B8" s="2122" t="s">
        <v>1788</v>
      </c>
      <c r="C8" s="3708">
        <f>ROUND(D8*E8/10000,4)</f>
        <v>11559.627500000001</v>
      </c>
      <c r="D8" s="3013">
        <f>'数据-汇总表'!D19</f>
        <v>13878.77</v>
      </c>
      <c r="E8" s="3014">
        <f>'比较法-成本'!C44</f>
        <v>8329</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3707">
        <f>C11+C14+C15</f>
        <v>277.5754</v>
      </c>
      <c r="D10" s="726"/>
      <c r="E10" s="716"/>
      <c r="F10" s="727"/>
      <c r="G10" s="725" t="s">
        <v>562</v>
      </c>
    </row>
    <row r="11" spans="1:25" s="1905" customFormat="1" ht="13.5" customHeight="1">
      <c r="A11" s="2119" t="s">
        <v>1786</v>
      </c>
      <c r="B11" s="719" t="s">
        <v>558</v>
      </c>
      <c r="C11" s="3709">
        <f>'数据-取费表'!B29</f>
        <v>277.5754</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3706">
        <f>ROUND(D13*E13/10000,4)</f>
        <v>277.5754</v>
      </c>
      <c r="D13" s="3013">
        <f>D8</f>
        <v>13878.77</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ROUND(IF('数据-取费表'!B19&lt;=1,((C7+C16)*'数据-取费表'!B19+C10*'数据-取费表'!B19/2)*F17,((C7+C16)*(POWER((1+F17),'数据-取费表'!B19)-1)+C10*(POWER((1+F17),'数据-取费表'!B19/2)-1))),4)</f>
        <v>350.95249999999999</v>
      </c>
      <c r="D17" s="728"/>
      <c r="E17" s="729"/>
      <c r="F17" s="730">
        <f ca="1">存贷款利率!E3</f>
        <v>0.03</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707">
        <f>ROUND((C7+C10+C16)*F18,4)</f>
        <v>1420.4643000000001</v>
      </c>
      <c r="D18" s="728"/>
      <c r="E18" s="729"/>
      <c r="F18" s="1209">
        <v>0.12</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707">
        <f ca="1">C7+C10+C16+C17+C18</f>
        <v>13608.619699999999</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707">
        <f ca="1">C19+C20</f>
        <v>13608.619699999999</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707">
        <f ca="1">ROUND(C21*F22,4)</f>
        <v>11689.8043</v>
      </c>
      <c r="D22" s="726"/>
      <c r="E22" s="716"/>
      <c r="F22" s="732">
        <f>'数据-取费表'!AP16</f>
        <v>0.85899999999999999</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3710">
        <f ca="1">C22</f>
        <v>11689.8043</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13" t="s">
        <v>471</v>
      </c>
      <c r="D4" s="3914"/>
      <c r="E4" s="3935" t="s">
        <v>472</v>
      </c>
      <c r="F4" s="3936"/>
      <c r="G4" s="3913" t="s">
        <v>473</v>
      </c>
      <c r="H4" s="3914"/>
      <c r="I4" s="3913" t="s">
        <v>474</v>
      </c>
      <c r="J4" s="3914"/>
      <c r="K4" s="818" t="s">
        <v>475</v>
      </c>
      <c r="L4" s="1856"/>
      <c r="M4" s="1857"/>
      <c r="N4" s="1857"/>
      <c r="O4" s="1857"/>
      <c r="P4" s="3915" t="s">
        <v>476</v>
      </c>
      <c r="Q4" s="3916"/>
      <c r="R4" s="3899" t="s">
        <v>472</v>
      </c>
      <c r="S4" s="3900"/>
      <c r="T4" s="3899" t="s">
        <v>473</v>
      </c>
      <c r="U4" s="3900"/>
      <c r="V4" s="3921" t="s">
        <v>474</v>
      </c>
      <c r="W4" s="3921"/>
      <c r="X4" s="1380"/>
      <c r="Y4" s="3899" t="s">
        <v>476</v>
      </c>
      <c r="Z4" s="3900"/>
      <c r="AA4" s="3894" t="s">
        <v>472</v>
      </c>
      <c r="AB4" s="3894" t="s">
        <v>473</v>
      </c>
      <c r="AC4" s="3894" t="s">
        <v>474</v>
      </c>
    </row>
    <row r="5" spans="1:29">
      <c r="A5" s="485"/>
      <c r="B5" s="486"/>
      <c r="C5" s="3924" t="s">
        <v>2192</v>
      </c>
      <c r="D5" s="3925"/>
      <c r="E5" s="4019" t="s">
        <v>2193</v>
      </c>
      <c r="F5" s="3938"/>
      <c r="G5" s="3924" t="s">
        <v>2194</v>
      </c>
      <c r="H5" s="3925"/>
      <c r="I5" s="3924" t="s">
        <v>2195</v>
      </c>
      <c r="J5" s="3925"/>
      <c r="K5" s="819"/>
      <c r="L5" s="1856"/>
      <c r="M5" s="1857"/>
      <c r="N5" s="1857"/>
      <c r="O5" s="1857"/>
      <c r="P5" s="3917"/>
      <c r="Q5" s="3918"/>
      <c r="R5" s="3901"/>
      <c r="S5" s="3902"/>
      <c r="T5" s="3901"/>
      <c r="U5" s="3902"/>
      <c r="V5" s="3921"/>
      <c r="W5" s="3921"/>
      <c r="X5" s="1380"/>
      <c r="Y5" s="3901"/>
      <c r="Z5" s="3902"/>
      <c r="AA5" s="3895"/>
      <c r="AB5" s="3895"/>
      <c r="AC5" s="3895"/>
    </row>
    <row r="6" spans="1:29" ht="15" thickBot="1">
      <c r="A6" s="487"/>
      <c r="B6" s="488"/>
      <c r="C6" s="3922" t="s">
        <v>2196</v>
      </c>
      <c r="D6" s="3923"/>
      <c r="E6" s="3940" t="s">
        <v>2196</v>
      </c>
      <c r="F6" s="3941"/>
      <c r="G6" s="3922" t="s">
        <v>2196</v>
      </c>
      <c r="H6" s="3923"/>
      <c r="I6" s="3922" t="s">
        <v>2196</v>
      </c>
      <c r="J6" s="3923"/>
      <c r="K6" s="819" t="s">
        <v>477</v>
      </c>
      <c r="L6" s="1856"/>
      <c r="M6" s="1857"/>
      <c r="N6" s="1857"/>
      <c r="O6" s="1857"/>
      <c r="P6" s="3919"/>
      <c r="Q6" s="3920"/>
      <c r="R6" s="3901"/>
      <c r="S6" s="3902"/>
      <c r="T6" s="3903"/>
      <c r="U6" s="3904"/>
      <c r="V6" s="3921"/>
      <c r="W6" s="3921"/>
      <c r="X6" s="1380"/>
      <c r="Y6" s="3903"/>
      <c r="Z6" s="3904"/>
      <c r="AA6" s="3896"/>
      <c r="AB6" s="3896"/>
      <c r="AC6" s="3896"/>
    </row>
    <row r="7" spans="1:29" s="1118" customFormat="1" ht="15" thickBot="1">
      <c r="A7" s="2392"/>
      <c r="B7" s="2399" t="s">
        <v>478</v>
      </c>
      <c r="C7" s="489">
        <f>'数据-取费表'!B2</f>
        <v>45839</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97" t="s">
        <v>479</v>
      </c>
      <c r="Q7" s="3906"/>
      <c r="R7" s="1381" t="s">
        <v>10</v>
      </c>
      <c r="S7" s="1382">
        <f t="shared" ref="S7:S15" si="0">F7</f>
        <v>0</v>
      </c>
      <c r="T7" s="1381" t="s">
        <v>10</v>
      </c>
      <c r="U7" s="1382">
        <f t="shared" ref="U7:U15" si="1">H7</f>
        <v>0</v>
      </c>
      <c r="V7" s="1381" t="s">
        <v>10</v>
      </c>
      <c r="W7" s="1382">
        <f t="shared" ref="W7:W15" si="2">J7</f>
        <v>0</v>
      </c>
      <c r="X7" s="1383"/>
      <c r="Y7" s="3897" t="s">
        <v>479</v>
      </c>
      <c r="Z7" s="3898"/>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97" t="s">
        <v>482</v>
      </c>
      <c r="Q8" s="3898"/>
      <c r="R8" s="1381" t="s">
        <v>10</v>
      </c>
      <c r="S8" s="1382">
        <f t="shared" si="0"/>
        <v>0</v>
      </c>
      <c r="T8" s="1381" t="s">
        <v>10</v>
      </c>
      <c r="U8" s="1382">
        <f t="shared" si="1"/>
        <v>0</v>
      </c>
      <c r="V8" s="1381" t="s">
        <v>10</v>
      </c>
      <c r="W8" s="1382">
        <f t="shared" si="2"/>
        <v>0</v>
      </c>
      <c r="X8" s="1383"/>
      <c r="Y8" s="3897" t="s">
        <v>482</v>
      </c>
      <c r="Z8" s="3898"/>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05" t="s">
        <v>484</v>
      </c>
      <c r="Q9" s="1050" t="str">
        <f t="shared" ref="Q9:Q15" si="6">B9</f>
        <v>用途</v>
      </c>
      <c r="R9" s="1381" t="s">
        <v>5</v>
      </c>
      <c r="S9" s="1382">
        <f t="shared" si="0"/>
        <v>100</v>
      </c>
      <c r="T9" s="1381" t="s">
        <v>5</v>
      </c>
      <c r="U9" s="1382">
        <f t="shared" si="1"/>
        <v>100</v>
      </c>
      <c r="V9" s="1381" t="s">
        <v>5</v>
      </c>
      <c r="W9" s="1382">
        <f t="shared" si="2"/>
        <v>100</v>
      </c>
      <c r="X9" s="1383"/>
      <c r="Y9" s="3851"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1"/>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05"/>
      <c r="Q11" s="1050" t="str">
        <f t="shared" si="6"/>
        <v>容积率</v>
      </c>
      <c r="R11" s="1381" t="s">
        <v>8</v>
      </c>
      <c r="S11" s="1382" t="e">
        <f t="shared" si="0"/>
        <v>#N/A</v>
      </c>
      <c r="T11" s="1381" t="s">
        <v>8</v>
      </c>
      <c r="U11" s="1382" t="e">
        <f t="shared" si="1"/>
        <v>#N/A</v>
      </c>
      <c r="V11" s="1381" t="s">
        <v>8</v>
      </c>
      <c r="W11" s="1382" t="e">
        <f t="shared" si="2"/>
        <v>#N/A</v>
      </c>
      <c r="X11" s="1383"/>
      <c r="Y11" s="385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05"/>
      <c r="Q12" s="1050">
        <f t="shared" si="6"/>
        <v>111</v>
      </c>
      <c r="R12" s="1381" t="s">
        <v>8</v>
      </c>
      <c r="S12" s="1382">
        <f t="shared" si="0"/>
        <v>100</v>
      </c>
      <c r="T12" s="1381" t="s">
        <v>8</v>
      </c>
      <c r="U12" s="1382">
        <f t="shared" si="1"/>
        <v>100</v>
      </c>
      <c r="V12" s="1381" t="s">
        <v>8</v>
      </c>
      <c r="W12" s="1382">
        <f t="shared" si="2"/>
        <v>100</v>
      </c>
      <c r="X12" s="1383"/>
      <c r="Y12" s="385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05"/>
      <c r="Q13" s="1050">
        <f t="shared" si="6"/>
        <v>111</v>
      </c>
      <c r="R13" s="1381" t="s">
        <v>8</v>
      </c>
      <c r="S13" s="1382">
        <f t="shared" si="0"/>
        <v>100</v>
      </c>
      <c r="T13" s="1381" t="s">
        <v>8</v>
      </c>
      <c r="U13" s="1382">
        <f t="shared" si="1"/>
        <v>100</v>
      </c>
      <c r="V13" s="1381" t="s">
        <v>8</v>
      </c>
      <c r="W13" s="1382">
        <f t="shared" si="2"/>
        <v>100</v>
      </c>
      <c r="X13" s="1383"/>
      <c r="Y13" s="3851"/>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05"/>
      <c r="Q14" s="1050">
        <f t="shared" si="6"/>
        <v>111</v>
      </c>
      <c r="R14" s="1381" t="s">
        <v>8</v>
      </c>
      <c r="S14" s="1382">
        <f t="shared" si="0"/>
        <v>100</v>
      </c>
      <c r="T14" s="1381" t="s">
        <v>8</v>
      </c>
      <c r="U14" s="1382">
        <f t="shared" si="1"/>
        <v>100</v>
      </c>
      <c r="V14" s="1381" t="s">
        <v>8</v>
      </c>
      <c r="W14" s="1382">
        <f t="shared" si="2"/>
        <v>100</v>
      </c>
      <c r="X14" s="1383"/>
      <c r="Y14" s="3851"/>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07" t="s">
        <v>489</v>
      </c>
      <c r="Q15" s="1385" t="str">
        <f t="shared" si="6"/>
        <v>居住社区成熟度</v>
      </c>
      <c r="R15" s="1386" t="s">
        <v>8</v>
      </c>
      <c r="S15" s="1387">
        <f t="shared" si="0"/>
        <v>100</v>
      </c>
      <c r="T15" s="1386" t="s">
        <v>8</v>
      </c>
      <c r="U15" s="1387">
        <f t="shared" si="1"/>
        <v>100</v>
      </c>
      <c r="V15" s="1386" t="s">
        <v>8</v>
      </c>
      <c r="W15" s="1387">
        <f t="shared" si="2"/>
        <v>100</v>
      </c>
      <c r="X15" s="1380"/>
      <c r="Y15" s="3907"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08"/>
      <c r="Q16" s="1385"/>
      <c r="R16" s="1386"/>
      <c r="S16" s="1387"/>
      <c r="T16" s="1386"/>
      <c r="U16" s="1387"/>
      <c r="V16" s="1386"/>
      <c r="W16" s="1387"/>
      <c r="X16" s="1380"/>
      <c r="Y16" s="3908"/>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08"/>
      <c r="Q17" s="1385" t="str">
        <f>B17</f>
        <v>交通便捷度</v>
      </c>
      <c r="R17" s="1386" t="s">
        <v>8</v>
      </c>
      <c r="S17" s="1387">
        <f>F17</f>
        <v>100</v>
      </c>
      <c r="T17" s="1386" t="s">
        <v>8</v>
      </c>
      <c r="U17" s="1387">
        <f>H17</f>
        <v>100</v>
      </c>
      <c r="V17" s="1386" t="s">
        <v>8</v>
      </c>
      <c r="W17" s="1387">
        <f>J17</f>
        <v>100</v>
      </c>
      <c r="X17" s="1380"/>
      <c r="Y17" s="390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08"/>
      <c r="Q18" s="1385"/>
      <c r="R18" s="1386"/>
      <c r="S18" s="1387"/>
      <c r="T18" s="1386"/>
      <c r="U18" s="1387"/>
      <c r="V18" s="1386"/>
      <c r="W18" s="1387"/>
      <c r="X18" s="1380"/>
      <c r="Y18" s="3908"/>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08"/>
      <c r="Q19" s="1385" t="str">
        <f>B19</f>
        <v>公共配套设施</v>
      </c>
      <c r="R19" s="1386" t="s">
        <v>8</v>
      </c>
      <c r="S19" s="1387">
        <f>F19</f>
        <v>100</v>
      </c>
      <c r="T19" s="1386" t="s">
        <v>8</v>
      </c>
      <c r="U19" s="1387">
        <f>H19</f>
        <v>100</v>
      </c>
      <c r="V19" s="1386" t="s">
        <v>8</v>
      </c>
      <c r="W19" s="1387">
        <f>J19</f>
        <v>100</v>
      </c>
      <c r="X19" s="1380"/>
      <c r="Y19" s="390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08"/>
      <c r="Q20" s="1385"/>
      <c r="R20" s="1386"/>
      <c r="S20" s="1387"/>
      <c r="T20" s="1386"/>
      <c r="U20" s="1387"/>
      <c r="V20" s="1386"/>
      <c r="W20" s="1387"/>
      <c r="X20" s="1380"/>
      <c r="Y20" s="3908"/>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08"/>
      <c r="Q21" s="2193" t="str">
        <f>B21</f>
        <v>基础设施水平</v>
      </c>
      <c r="R21" s="1386" t="s">
        <v>8</v>
      </c>
      <c r="S21" s="1387">
        <f>F21</f>
        <v>100</v>
      </c>
      <c r="T21" s="1386" t="s">
        <v>8</v>
      </c>
      <c r="U21" s="1387">
        <f>H21</f>
        <v>100</v>
      </c>
      <c r="V21" s="1386" t="s">
        <v>8</v>
      </c>
      <c r="W21" s="1387">
        <f>J21</f>
        <v>100</v>
      </c>
      <c r="X21" s="2195"/>
      <c r="Y21" s="390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08"/>
      <c r="Q22" s="2193"/>
      <c r="R22" s="1386"/>
      <c r="S22" s="1387"/>
      <c r="T22" s="1386"/>
      <c r="U22" s="1387"/>
      <c r="V22" s="1386"/>
      <c r="W22" s="1387"/>
      <c r="X22" s="2195"/>
      <c r="Y22" s="3908"/>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08"/>
      <c r="Q23" s="1385" t="str">
        <f>B23</f>
        <v>自然及人文环境</v>
      </c>
      <c r="R23" s="1386" t="s">
        <v>8</v>
      </c>
      <c r="S23" s="1387">
        <f>F23</f>
        <v>100</v>
      </c>
      <c r="T23" s="1386" t="s">
        <v>8</v>
      </c>
      <c r="U23" s="1387">
        <f>H23</f>
        <v>100</v>
      </c>
      <c r="V23" s="1386" t="s">
        <v>8</v>
      </c>
      <c r="W23" s="1387">
        <f>J23</f>
        <v>100</v>
      </c>
      <c r="X23" s="1380"/>
      <c r="Y23" s="390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08"/>
      <c r="Q24" s="1385"/>
      <c r="R24" s="1386"/>
      <c r="S24" s="1387"/>
      <c r="T24" s="1386"/>
      <c r="U24" s="1387"/>
      <c r="V24" s="1386"/>
      <c r="W24" s="1387"/>
      <c r="X24" s="1380"/>
      <c r="Y24" s="3908"/>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08"/>
      <c r="Q25" s="1385" t="str">
        <f t="shared" ref="Q25:Q46" si="8">B25</f>
        <v>楼层-1</v>
      </c>
      <c r="R25" s="1386" t="s">
        <v>8</v>
      </c>
      <c r="S25" s="1387">
        <f>F25</f>
        <v>100</v>
      </c>
      <c r="T25" s="1386" t="s">
        <v>8</v>
      </c>
      <c r="U25" s="1387">
        <f>H25</f>
        <v>100</v>
      </c>
      <c r="V25" s="1386" t="s">
        <v>8</v>
      </c>
      <c r="W25" s="1387">
        <f>J25</f>
        <v>100</v>
      </c>
      <c r="X25" s="1380"/>
      <c r="Y25" s="3908"/>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08"/>
      <c r="Q26" s="1385" t="str">
        <f t="shared" si="8"/>
        <v>朝向</v>
      </c>
      <c r="R26" s="1386" t="s">
        <v>8</v>
      </c>
      <c r="S26" s="1387">
        <f>F26</f>
        <v>100</v>
      </c>
      <c r="T26" s="1386" t="s">
        <v>8</v>
      </c>
      <c r="U26" s="1387">
        <f>H26</f>
        <v>100</v>
      </c>
      <c r="V26" s="1386" t="s">
        <v>8</v>
      </c>
      <c r="W26" s="1387">
        <f>J26</f>
        <v>100</v>
      </c>
      <c r="X26" s="1380"/>
      <c r="Y26" s="3908"/>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08"/>
      <c r="Q27" s="1050" t="str">
        <f t="shared" si="8"/>
        <v>道路级别</v>
      </c>
      <c r="R27" s="1381" t="s">
        <v>8</v>
      </c>
      <c r="S27" s="1382">
        <f>F27</f>
        <v>100</v>
      </c>
      <c r="T27" s="1381" t="s">
        <v>8</v>
      </c>
      <c r="U27" s="1382">
        <f>H27</f>
        <v>100</v>
      </c>
      <c r="V27" s="1381" t="s">
        <v>8</v>
      </c>
      <c r="W27" s="1382">
        <f>J27</f>
        <v>100</v>
      </c>
      <c r="X27" s="1383"/>
      <c r="Y27" s="390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08"/>
      <c r="Q28" s="1385">
        <f t="shared" si="8"/>
        <v>111</v>
      </c>
      <c r="R28" s="1386" t="s">
        <v>8</v>
      </c>
      <c r="S28" s="1387">
        <f t="shared" ref="S28:S46" si="9">F28</f>
        <v>100</v>
      </c>
      <c r="T28" s="1386" t="s">
        <v>8</v>
      </c>
      <c r="U28" s="1387">
        <f t="shared" ref="U28:U46" si="10">H28</f>
        <v>100</v>
      </c>
      <c r="V28" s="1386" t="s">
        <v>8</v>
      </c>
      <c r="W28" s="1387">
        <f t="shared" ref="W28:W46" si="11">J28</f>
        <v>100</v>
      </c>
      <c r="X28" s="1380"/>
      <c r="Y28" s="390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08"/>
      <c r="Q29" s="1385">
        <f t="shared" si="8"/>
        <v>111</v>
      </c>
      <c r="R29" s="1386" t="s">
        <v>8</v>
      </c>
      <c r="S29" s="1387">
        <f t="shared" si="9"/>
        <v>100</v>
      </c>
      <c r="T29" s="1386" t="s">
        <v>8</v>
      </c>
      <c r="U29" s="1387">
        <f t="shared" si="10"/>
        <v>100</v>
      </c>
      <c r="V29" s="1386" t="s">
        <v>8</v>
      </c>
      <c r="W29" s="1387">
        <f t="shared" si="11"/>
        <v>100</v>
      </c>
      <c r="X29" s="1380"/>
      <c r="Y29" s="390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08"/>
      <c r="Q30" s="1385">
        <f t="shared" si="8"/>
        <v>111</v>
      </c>
      <c r="R30" s="1386" t="s">
        <v>8</v>
      </c>
      <c r="S30" s="1387">
        <f t="shared" si="9"/>
        <v>100</v>
      </c>
      <c r="T30" s="1386" t="s">
        <v>8</v>
      </c>
      <c r="U30" s="1387">
        <f t="shared" si="10"/>
        <v>100</v>
      </c>
      <c r="V30" s="1386" t="s">
        <v>8</v>
      </c>
      <c r="W30" s="1387">
        <f t="shared" si="11"/>
        <v>100</v>
      </c>
      <c r="X30" s="1380"/>
      <c r="Y30" s="3908"/>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08"/>
      <c r="Q31" s="1385">
        <f t="shared" si="8"/>
        <v>111</v>
      </c>
      <c r="R31" s="1386" t="s">
        <v>8</v>
      </c>
      <c r="S31" s="1387">
        <f t="shared" si="9"/>
        <v>100</v>
      </c>
      <c r="T31" s="1386" t="s">
        <v>8</v>
      </c>
      <c r="U31" s="1387">
        <f t="shared" si="10"/>
        <v>100</v>
      </c>
      <c r="V31" s="1386" t="s">
        <v>8</v>
      </c>
      <c r="W31" s="1387">
        <f t="shared" si="11"/>
        <v>100</v>
      </c>
      <c r="X31" s="1380"/>
      <c r="Y31" s="3908"/>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09" t="s">
        <v>499</v>
      </c>
      <c r="Q32" s="1385" t="str">
        <f t="shared" si="8"/>
        <v>建筑类型</v>
      </c>
      <c r="R32" s="1386" t="s">
        <v>8</v>
      </c>
      <c r="S32" s="1387">
        <f t="shared" si="9"/>
        <v>100</v>
      </c>
      <c r="T32" s="1386" t="s">
        <v>8</v>
      </c>
      <c r="U32" s="1387">
        <f t="shared" si="10"/>
        <v>100</v>
      </c>
      <c r="V32" s="1386" t="s">
        <v>8</v>
      </c>
      <c r="W32" s="1387">
        <f t="shared" si="11"/>
        <v>100</v>
      </c>
      <c r="X32" s="1380"/>
      <c r="Y32" s="3910"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10"/>
      <c r="Q33" s="1414" t="str">
        <f t="shared" si="8"/>
        <v>项目建筑规模</v>
      </c>
      <c r="R33" s="1390" t="s">
        <v>8</v>
      </c>
      <c r="S33" s="1391" t="e">
        <f t="shared" si="9"/>
        <v>#N/A</v>
      </c>
      <c r="T33" s="1390" t="s">
        <v>8</v>
      </c>
      <c r="U33" s="1391" t="e">
        <f t="shared" si="10"/>
        <v>#N/A</v>
      </c>
      <c r="V33" s="1390" t="s">
        <v>8</v>
      </c>
      <c r="W33" s="1391" t="e">
        <f t="shared" si="11"/>
        <v>#N/A</v>
      </c>
      <c r="X33" s="1392"/>
      <c r="Y33" s="391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10"/>
      <c r="Q34" s="1385" t="str">
        <f t="shared" si="8"/>
        <v>建筑结构</v>
      </c>
      <c r="R34" s="1386" t="s">
        <v>8</v>
      </c>
      <c r="S34" s="1387">
        <f t="shared" si="9"/>
        <v>100</v>
      </c>
      <c r="T34" s="1386" t="s">
        <v>8</v>
      </c>
      <c r="U34" s="1387">
        <f t="shared" si="10"/>
        <v>100</v>
      </c>
      <c r="V34" s="1386" t="s">
        <v>8</v>
      </c>
      <c r="W34" s="1387">
        <f t="shared" si="11"/>
        <v>100</v>
      </c>
      <c r="X34" s="1380"/>
      <c r="Y34" s="3910"/>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10"/>
      <c r="Q35" s="1385" t="str">
        <f t="shared" si="8"/>
        <v>建筑品质</v>
      </c>
      <c r="R35" s="1386" t="s">
        <v>8</v>
      </c>
      <c r="S35" s="1387">
        <f t="shared" si="9"/>
        <v>100</v>
      </c>
      <c r="T35" s="1386" t="s">
        <v>8</v>
      </c>
      <c r="U35" s="1387">
        <f t="shared" si="10"/>
        <v>100</v>
      </c>
      <c r="V35" s="1386" t="s">
        <v>8</v>
      </c>
      <c r="W35" s="1387">
        <f t="shared" si="11"/>
        <v>100</v>
      </c>
      <c r="X35" s="1380"/>
      <c r="Y35" s="3910"/>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10"/>
      <c r="Q36" s="1385" t="str">
        <f t="shared" si="8"/>
        <v>公共部分装修</v>
      </c>
      <c r="R36" s="1386" t="s">
        <v>8</v>
      </c>
      <c r="S36" s="1387">
        <f t="shared" si="9"/>
        <v>100</v>
      </c>
      <c r="T36" s="1386" t="s">
        <v>8</v>
      </c>
      <c r="U36" s="1387">
        <f t="shared" si="10"/>
        <v>100</v>
      </c>
      <c r="V36" s="1386" t="s">
        <v>8</v>
      </c>
      <c r="W36" s="1387">
        <f t="shared" si="11"/>
        <v>100</v>
      </c>
      <c r="X36" s="1380"/>
      <c r="Y36" s="3910"/>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10"/>
      <c r="Q37" s="1050" t="str">
        <f t="shared" si="8"/>
        <v>成新度</v>
      </c>
      <c r="R37" s="1381" t="s">
        <v>8</v>
      </c>
      <c r="S37" s="1382" t="e">
        <f t="shared" si="9"/>
        <v>#N/A</v>
      </c>
      <c r="T37" s="1381" t="s">
        <v>8</v>
      </c>
      <c r="U37" s="1382" t="e">
        <f t="shared" si="10"/>
        <v>#N/A</v>
      </c>
      <c r="V37" s="1381" t="s">
        <v>8</v>
      </c>
      <c r="W37" s="1382" t="e">
        <f t="shared" si="11"/>
        <v>#N/A</v>
      </c>
      <c r="X37" s="1383"/>
      <c r="Y37" s="3910"/>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10" t="s">
        <v>499</v>
      </c>
      <c r="Q38" s="1385" t="str">
        <f t="shared" si="8"/>
        <v>物业管理</v>
      </c>
      <c r="R38" s="1386" t="s">
        <v>8</v>
      </c>
      <c r="S38" s="1387">
        <f t="shared" si="9"/>
        <v>100</v>
      </c>
      <c r="T38" s="1386" t="s">
        <v>8</v>
      </c>
      <c r="U38" s="1387">
        <f t="shared" si="10"/>
        <v>100</v>
      </c>
      <c r="V38" s="1386" t="s">
        <v>8</v>
      </c>
      <c r="W38" s="1387">
        <f t="shared" si="11"/>
        <v>100</v>
      </c>
      <c r="X38" s="1380"/>
      <c r="Y38" s="3910"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10"/>
      <c r="Q39" s="1385" t="str">
        <f t="shared" si="8"/>
        <v>市政基础设施</v>
      </c>
      <c r="R39" s="1386" t="s">
        <v>8</v>
      </c>
      <c r="S39" s="1387">
        <f t="shared" si="9"/>
        <v>100</v>
      </c>
      <c r="T39" s="1386" t="s">
        <v>8</v>
      </c>
      <c r="U39" s="1387">
        <f t="shared" si="10"/>
        <v>100</v>
      </c>
      <c r="V39" s="1386" t="s">
        <v>8</v>
      </c>
      <c r="W39" s="1387">
        <f t="shared" si="11"/>
        <v>100</v>
      </c>
      <c r="X39" s="1380"/>
      <c r="Y39" s="3910"/>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10"/>
      <c r="Q40" s="1385" t="str">
        <f t="shared" si="8"/>
        <v>房型</v>
      </c>
      <c r="R40" s="1386" t="s">
        <v>8</v>
      </c>
      <c r="S40" s="1387">
        <f t="shared" si="9"/>
        <v>100</v>
      </c>
      <c r="T40" s="1386" t="s">
        <v>8</v>
      </c>
      <c r="U40" s="1387">
        <f t="shared" si="10"/>
        <v>100</v>
      </c>
      <c r="V40" s="1386" t="s">
        <v>8</v>
      </c>
      <c r="W40" s="1387">
        <f t="shared" si="11"/>
        <v>100</v>
      </c>
      <c r="X40" s="1380"/>
      <c r="Y40" s="3910"/>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10"/>
      <c r="Q41" s="1414" t="str">
        <f t="shared" si="8"/>
        <v>单套/主力户型建筑面积</v>
      </c>
      <c r="R41" s="1390" t="s">
        <v>8</v>
      </c>
      <c r="S41" s="1391">
        <f t="shared" si="9"/>
        <v>100</v>
      </c>
      <c r="T41" s="1390" t="s">
        <v>8</v>
      </c>
      <c r="U41" s="1391">
        <f t="shared" si="10"/>
        <v>100</v>
      </c>
      <c r="V41" s="1390" t="s">
        <v>8</v>
      </c>
      <c r="W41" s="1391">
        <f t="shared" si="11"/>
        <v>100</v>
      </c>
      <c r="X41" s="1392"/>
      <c r="Y41" s="3910"/>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10"/>
      <c r="Q42" s="1385" t="str">
        <f t="shared" si="8"/>
        <v>内部装修</v>
      </c>
      <c r="R42" s="1386" t="s">
        <v>8</v>
      </c>
      <c r="S42" s="1387">
        <f t="shared" si="9"/>
        <v>100</v>
      </c>
      <c r="T42" s="1386" t="s">
        <v>8</v>
      </c>
      <c r="U42" s="1387">
        <f t="shared" si="10"/>
        <v>100</v>
      </c>
      <c r="V42" s="1386" t="s">
        <v>8</v>
      </c>
      <c r="W42" s="1387">
        <f t="shared" si="11"/>
        <v>100</v>
      </c>
      <c r="X42" s="1380"/>
      <c r="Y42" s="3910"/>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10"/>
      <c r="Q43" s="1385" t="str">
        <f t="shared" si="8"/>
        <v>内部装修维护情况</v>
      </c>
      <c r="R43" s="1386" t="s">
        <v>8</v>
      </c>
      <c r="S43" s="1387">
        <f t="shared" si="9"/>
        <v>100</v>
      </c>
      <c r="T43" s="1386" t="s">
        <v>8</v>
      </c>
      <c r="U43" s="1387">
        <f t="shared" si="10"/>
        <v>100</v>
      </c>
      <c r="V43" s="1386" t="s">
        <v>8</v>
      </c>
      <c r="W43" s="1387">
        <f t="shared" si="11"/>
        <v>100</v>
      </c>
      <c r="X43" s="1380"/>
      <c r="Y43" s="391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10"/>
      <c r="Q44" s="1050">
        <f t="shared" si="8"/>
        <v>111</v>
      </c>
      <c r="R44" s="1381" t="s">
        <v>8</v>
      </c>
      <c r="S44" s="1382">
        <f t="shared" si="9"/>
        <v>100</v>
      </c>
      <c r="T44" s="1381" t="s">
        <v>8</v>
      </c>
      <c r="U44" s="1382">
        <f t="shared" si="10"/>
        <v>100</v>
      </c>
      <c r="V44" s="1381" t="s">
        <v>8</v>
      </c>
      <c r="W44" s="1382">
        <f t="shared" si="11"/>
        <v>100</v>
      </c>
      <c r="X44" s="1383"/>
      <c r="Y44" s="391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10"/>
      <c r="Q45" s="1385">
        <f t="shared" si="8"/>
        <v>111</v>
      </c>
      <c r="R45" s="1386" t="s">
        <v>8</v>
      </c>
      <c r="S45" s="1387">
        <f t="shared" si="9"/>
        <v>100</v>
      </c>
      <c r="T45" s="1386" t="s">
        <v>8</v>
      </c>
      <c r="U45" s="1387">
        <f t="shared" si="10"/>
        <v>100</v>
      </c>
      <c r="V45" s="1386" t="s">
        <v>8</v>
      </c>
      <c r="W45" s="1387">
        <f t="shared" si="11"/>
        <v>100</v>
      </c>
      <c r="X45" s="1380"/>
      <c r="Y45" s="3910"/>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2"/>
      <c r="Q46" s="1385">
        <f t="shared" si="8"/>
        <v>111</v>
      </c>
      <c r="R46" s="1386" t="s">
        <v>7</v>
      </c>
      <c r="S46" s="1387">
        <f t="shared" si="9"/>
        <v>100</v>
      </c>
      <c r="T46" s="1386" t="s">
        <v>7</v>
      </c>
      <c r="U46" s="1387">
        <f t="shared" si="10"/>
        <v>100</v>
      </c>
      <c r="V46" s="1386" t="s">
        <v>7</v>
      </c>
      <c r="W46" s="1387">
        <f t="shared" si="11"/>
        <v>100</v>
      </c>
      <c r="X46" s="1380"/>
      <c r="Y46" s="4022"/>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905" t="str">
        <f>A47</f>
        <v>成交单价（元/平方米）</v>
      </c>
      <c r="Q47" s="3905"/>
      <c r="R47" s="4021">
        <f>E47</f>
        <v>0</v>
      </c>
      <c r="S47" s="4021"/>
      <c r="T47" s="4021">
        <f>G47</f>
        <v>0</v>
      </c>
      <c r="U47" s="4021"/>
      <c r="V47" s="4021">
        <f>I47</f>
        <v>0</v>
      </c>
      <c r="W47" s="4021"/>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05" t="str">
        <f>A48</f>
        <v>比较价格（元/平方米）</v>
      </c>
      <c r="Q48" s="3905"/>
      <c r="R48" s="4021" t="e">
        <f>IF(F1="售价",ROUND(PRODUCT(R47,AA7:AA46),0),ROUND(PRODUCT(R47,AA7:AA46),1))</f>
        <v>#DIV/0!</v>
      </c>
      <c r="S48" s="4021"/>
      <c r="T48" s="4021" t="e">
        <f>IF(F1="售价",ROUND(PRODUCT(T47,AB7:AB46),0),ROUND(PRODUCT(T47,AB7:AB46),1))</f>
        <v>#DIV/0!</v>
      </c>
      <c r="U48" s="4021"/>
      <c r="V48" s="4021" t="e">
        <f>IF(F1="售价",ROUND(PRODUCT(V47,AC7:AC46),0),ROUND(PRODUCT(V47,AC7:AC46),1))</f>
        <v>#DIV/0!</v>
      </c>
      <c r="W48" s="4021"/>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11" t="str">
        <f>A49</f>
        <v>估价对象XX用房的比较价格（楼面单价，元/平方米）</v>
      </c>
      <c r="Q49" s="3912"/>
      <c r="R49" s="4020" t="e">
        <f>IF(F1="售价",ROUND(IF(D48="简单平均",AVERAGE(R48:V48),R48*F48+T48*H48+V48*J48),0),ROUND(IF(D48="简单平均",AVERAGE(R48:V48),R48*F48+T48*H48+V48*J48),1))</f>
        <v>#DIV/0!</v>
      </c>
      <c r="S49" s="4020"/>
      <c r="T49" s="4020"/>
      <c r="U49" s="4020"/>
      <c r="V49" s="4020"/>
      <c r="W49" s="4020"/>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13" t="s">
        <v>471</v>
      </c>
      <c r="D4" s="3914"/>
      <c r="E4" s="3935" t="s">
        <v>472</v>
      </c>
      <c r="F4" s="3936"/>
      <c r="G4" s="3913" t="s">
        <v>473</v>
      </c>
      <c r="H4" s="3914"/>
      <c r="I4" s="3913" t="s">
        <v>474</v>
      </c>
      <c r="J4" s="3914"/>
      <c r="K4" s="484" t="s">
        <v>475</v>
      </c>
      <c r="L4" s="1856"/>
      <c r="M4" s="1857"/>
      <c r="N4" s="1857"/>
      <c r="O4" s="1857"/>
      <c r="P4" s="3915" t="s">
        <v>476</v>
      </c>
      <c r="Q4" s="3916"/>
      <c r="R4" s="3899" t="s">
        <v>472</v>
      </c>
      <c r="S4" s="3900"/>
      <c r="T4" s="3899" t="s">
        <v>473</v>
      </c>
      <c r="U4" s="3900"/>
      <c r="V4" s="3921" t="s">
        <v>474</v>
      </c>
      <c r="W4" s="3921"/>
      <c r="X4" s="1380"/>
      <c r="Y4" s="3899" t="s">
        <v>476</v>
      </c>
      <c r="Z4" s="3900"/>
      <c r="AA4" s="3894" t="s">
        <v>472</v>
      </c>
      <c r="AB4" s="3921" t="s">
        <v>473</v>
      </c>
      <c r="AC4" s="3894" t="s">
        <v>474</v>
      </c>
    </row>
    <row r="5" spans="1:29">
      <c r="A5" s="485"/>
      <c r="B5" s="486"/>
      <c r="C5" s="3924" t="s">
        <v>2192</v>
      </c>
      <c r="D5" s="3925"/>
      <c r="E5" s="4019" t="s">
        <v>2193</v>
      </c>
      <c r="F5" s="3938"/>
      <c r="G5" s="3924" t="s">
        <v>2194</v>
      </c>
      <c r="H5" s="3925"/>
      <c r="I5" s="3924" t="s">
        <v>2195</v>
      </c>
      <c r="J5" s="3925"/>
      <c r="K5" s="484"/>
      <c r="L5" s="1856"/>
      <c r="M5" s="1857"/>
      <c r="N5" s="1857"/>
      <c r="O5" s="1857"/>
      <c r="P5" s="3917"/>
      <c r="Q5" s="3918"/>
      <c r="R5" s="3901"/>
      <c r="S5" s="3902"/>
      <c r="T5" s="3901"/>
      <c r="U5" s="3902"/>
      <c r="V5" s="3921"/>
      <c r="W5" s="3921"/>
      <c r="X5" s="1380"/>
      <c r="Y5" s="3901"/>
      <c r="Z5" s="3902"/>
      <c r="AA5" s="3895"/>
      <c r="AB5" s="3921"/>
      <c r="AC5" s="3895"/>
    </row>
    <row r="6" spans="1:29" ht="15" thickBot="1">
      <c r="A6" s="487"/>
      <c r="B6" s="488"/>
      <c r="C6" s="3922" t="s">
        <v>2196</v>
      </c>
      <c r="D6" s="3923"/>
      <c r="E6" s="3940" t="s">
        <v>2196</v>
      </c>
      <c r="F6" s="3941"/>
      <c r="G6" s="3922" t="s">
        <v>2196</v>
      </c>
      <c r="H6" s="3923"/>
      <c r="I6" s="3922" t="s">
        <v>2196</v>
      </c>
      <c r="J6" s="3923"/>
      <c r="K6" s="484" t="s">
        <v>477</v>
      </c>
      <c r="L6" s="1856"/>
      <c r="M6" s="1857"/>
      <c r="N6" s="1857"/>
      <c r="O6" s="1857"/>
      <c r="P6" s="3919"/>
      <c r="Q6" s="3920"/>
      <c r="R6" s="3901"/>
      <c r="S6" s="3902"/>
      <c r="T6" s="3903"/>
      <c r="U6" s="3904"/>
      <c r="V6" s="3921"/>
      <c r="W6" s="3921"/>
      <c r="X6" s="1380"/>
      <c r="Y6" s="3903"/>
      <c r="Z6" s="3904"/>
      <c r="AA6" s="3896"/>
      <c r="AB6" s="3921"/>
      <c r="AC6" s="3896"/>
    </row>
    <row r="7" spans="1:29" s="1118" customFormat="1" ht="15" thickBot="1">
      <c r="A7" s="2392"/>
      <c r="B7" s="2399" t="s">
        <v>478</v>
      </c>
      <c r="C7" s="489">
        <f>'数据-取费表'!B2</f>
        <v>45839</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97" t="s">
        <v>479</v>
      </c>
      <c r="Q7" s="3906"/>
      <c r="R7" s="1381" t="s">
        <v>5</v>
      </c>
      <c r="S7" s="1382">
        <f t="shared" ref="S7:S15" si="0">F7</f>
        <v>0</v>
      </c>
      <c r="T7" s="1381" t="s">
        <v>5</v>
      </c>
      <c r="U7" s="1382">
        <f t="shared" ref="U7:U15" si="1">H7</f>
        <v>0</v>
      </c>
      <c r="V7" s="1381" t="s">
        <v>5</v>
      </c>
      <c r="W7" s="1382">
        <f t="shared" ref="W7:W15" si="2">J7</f>
        <v>0</v>
      </c>
      <c r="X7" s="1383"/>
      <c r="Y7" s="3897" t="s">
        <v>479</v>
      </c>
      <c r="Z7" s="3898"/>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7" t="s">
        <v>482</v>
      </c>
      <c r="Q8" s="3898"/>
      <c r="R8" s="1381" t="s">
        <v>5</v>
      </c>
      <c r="S8" s="1382">
        <f t="shared" si="0"/>
        <v>0</v>
      </c>
      <c r="T8" s="1381" t="s">
        <v>5</v>
      </c>
      <c r="U8" s="1382">
        <f t="shared" si="1"/>
        <v>0</v>
      </c>
      <c r="V8" s="1381" t="s">
        <v>5</v>
      </c>
      <c r="W8" s="1382">
        <f t="shared" si="2"/>
        <v>0</v>
      </c>
      <c r="X8" s="1383"/>
      <c r="Y8" s="3897" t="s">
        <v>482</v>
      </c>
      <c r="Z8" s="3898"/>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05" t="s">
        <v>484</v>
      </c>
      <c r="Q9" s="1050" t="str">
        <f t="shared" ref="Q9:Q15" si="6">B9</f>
        <v>用途</v>
      </c>
      <c r="R9" s="1381" t="s">
        <v>5</v>
      </c>
      <c r="S9" s="1382">
        <f t="shared" si="0"/>
        <v>100</v>
      </c>
      <c r="T9" s="1381" t="s">
        <v>5</v>
      </c>
      <c r="U9" s="1382">
        <f t="shared" si="1"/>
        <v>100</v>
      </c>
      <c r="V9" s="1381" t="s">
        <v>5</v>
      </c>
      <c r="W9" s="1382">
        <f t="shared" si="2"/>
        <v>100</v>
      </c>
      <c r="X9" s="1383"/>
      <c r="Y9" s="3851"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05"/>
      <c r="Q11" s="1050" t="str">
        <f t="shared" si="6"/>
        <v>容积率</v>
      </c>
      <c r="R11" s="1381" t="s">
        <v>5</v>
      </c>
      <c r="S11" s="1382" t="e">
        <f t="shared" si="0"/>
        <v>#N/A</v>
      </c>
      <c r="T11" s="1381" t="s">
        <v>5</v>
      </c>
      <c r="U11" s="1382" t="e">
        <f t="shared" si="1"/>
        <v>#N/A</v>
      </c>
      <c r="V11" s="1381" t="s">
        <v>5</v>
      </c>
      <c r="W11" s="1382" t="e">
        <f t="shared" si="2"/>
        <v>#N/A</v>
      </c>
      <c r="X11" s="1383"/>
      <c r="Y11" s="385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05"/>
      <c r="Q12" s="1050">
        <f t="shared" si="6"/>
        <v>111</v>
      </c>
      <c r="R12" s="1381" t="s">
        <v>5</v>
      </c>
      <c r="S12" s="1382">
        <f t="shared" si="0"/>
        <v>100</v>
      </c>
      <c r="T12" s="1381" t="s">
        <v>5</v>
      </c>
      <c r="U12" s="1382">
        <f t="shared" si="1"/>
        <v>100</v>
      </c>
      <c r="V12" s="1381" t="s">
        <v>5</v>
      </c>
      <c r="W12" s="1382">
        <f t="shared" si="2"/>
        <v>100</v>
      </c>
      <c r="X12" s="1383"/>
      <c r="Y12" s="385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05"/>
      <c r="Q13" s="1050">
        <f t="shared" si="6"/>
        <v>111</v>
      </c>
      <c r="R13" s="1381" t="s">
        <v>5</v>
      </c>
      <c r="S13" s="1382">
        <f t="shared" si="0"/>
        <v>100</v>
      </c>
      <c r="T13" s="1381" t="s">
        <v>5</v>
      </c>
      <c r="U13" s="1382">
        <f t="shared" si="1"/>
        <v>100</v>
      </c>
      <c r="V13" s="1381" t="s">
        <v>5</v>
      </c>
      <c r="W13" s="1382">
        <f t="shared" si="2"/>
        <v>100</v>
      </c>
      <c r="X13" s="1383"/>
      <c r="Y13" s="3851"/>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05"/>
      <c r="Q14" s="1050">
        <f t="shared" si="6"/>
        <v>111</v>
      </c>
      <c r="R14" s="1381" t="s">
        <v>5</v>
      </c>
      <c r="S14" s="1382">
        <f t="shared" si="0"/>
        <v>100</v>
      </c>
      <c r="T14" s="1381" t="s">
        <v>5</v>
      </c>
      <c r="U14" s="1382">
        <f t="shared" si="1"/>
        <v>100</v>
      </c>
      <c r="V14" s="1381" t="s">
        <v>5</v>
      </c>
      <c r="W14" s="1382">
        <f t="shared" si="2"/>
        <v>100</v>
      </c>
      <c r="X14" s="1383"/>
      <c r="Y14" s="3851"/>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07" t="s">
        <v>489</v>
      </c>
      <c r="Q15" s="1385" t="str">
        <f t="shared" si="6"/>
        <v>商业繁华度</v>
      </c>
      <c r="R15" s="1386" t="s">
        <v>5</v>
      </c>
      <c r="S15" s="1387">
        <f t="shared" si="0"/>
        <v>100</v>
      </c>
      <c r="T15" s="1386" t="s">
        <v>5</v>
      </c>
      <c r="U15" s="1387">
        <f t="shared" si="1"/>
        <v>100</v>
      </c>
      <c r="V15" s="1386" t="s">
        <v>5</v>
      </c>
      <c r="W15" s="1387">
        <f t="shared" si="2"/>
        <v>100</v>
      </c>
      <c r="X15" s="1380"/>
      <c r="Y15" s="3907"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8"/>
      <c r="Q16" s="1385"/>
      <c r="R16" s="1386"/>
      <c r="S16" s="1387"/>
      <c r="T16" s="1386"/>
      <c r="U16" s="1387"/>
      <c r="V16" s="1386"/>
      <c r="W16" s="1387"/>
      <c r="X16" s="1380"/>
      <c r="Y16" s="3908"/>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08"/>
      <c r="Q17" s="1385" t="str">
        <f>B17</f>
        <v>交通便捷度</v>
      </c>
      <c r="R17" s="1386" t="s">
        <v>5</v>
      </c>
      <c r="S17" s="1387">
        <f>F17</f>
        <v>100</v>
      </c>
      <c r="T17" s="1386" t="s">
        <v>5</v>
      </c>
      <c r="U17" s="1387">
        <f>H17</f>
        <v>100</v>
      </c>
      <c r="V17" s="1386" t="s">
        <v>5</v>
      </c>
      <c r="W17" s="1387">
        <f>J17</f>
        <v>100</v>
      </c>
      <c r="X17" s="1380"/>
      <c r="Y17" s="390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8"/>
      <c r="Q18" s="1385"/>
      <c r="R18" s="1386"/>
      <c r="S18" s="1387"/>
      <c r="T18" s="1386"/>
      <c r="U18" s="1387"/>
      <c r="V18" s="1386"/>
      <c r="W18" s="1387"/>
      <c r="X18" s="1380"/>
      <c r="Y18" s="3908"/>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08"/>
      <c r="Q19" s="1385" t="str">
        <f>B19</f>
        <v>公共配套设施</v>
      </c>
      <c r="R19" s="1386" t="s">
        <v>5</v>
      </c>
      <c r="S19" s="1387">
        <f>F19</f>
        <v>100</v>
      </c>
      <c r="T19" s="1386" t="s">
        <v>5</v>
      </c>
      <c r="U19" s="1387">
        <f>H19</f>
        <v>100</v>
      </c>
      <c r="V19" s="1386" t="s">
        <v>5</v>
      </c>
      <c r="W19" s="1387">
        <f>J19</f>
        <v>100</v>
      </c>
      <c r="X19" s="1380"/>
      <c r="Y19" s="390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08"/>
      <c r="Q20" s="1385"/>
      <c r="R20" s="1386"/>
      <c r="S20" s="1387"/>
      <c r="T20" s="1386"/>
      <c r="U20" s="1387"/>
      <c r="V20" s="1386"/>
      <c r="W20" s="1387"/>
      <c r="X20" s="1380"/>
      <c r="Y20" s="3908"/>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08"/>
      <c r="Q21" s="2193" t="str">
        <f>B21</f>
        <v>基础设施水平</v>
      </c>
      <c r="R21" s="1386" t="s">
        <v>5</v>
      </c>
      <c r="S21" s="1387">
        <f>F21</f>
        <v>100</v>
      </c>
      <c r="T21" s="1386" t="s">
        <v>5</v>
      </c>
      <c r="U21" s="1387">
        <f>H21</f>
        <v>100</v>
      </c>
      <c r="V21" s="1386" t="s">
        <v>5</v>
      </c>
      <c r="W21" s="1387">
        <f>J21</f>
        <v>100</v>
      </c>
      <c r="X21" s="2195"/>
      <c r="Y21" s="390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08"/>
      <c r="Q22" s="2193"/>
      <c r="R22" s="1386"/>
      <c r="S22" s="1387"/>
      <c r="T22" s="1386"/>
      <c r="U22" s="1387"/>
      <c r="V22" s="1386"/>
      <c r="W22" s="1387"/>
      <c r="X22" s="2195"/>
      <c r="Y22" s="3908"/>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08"/>
      <c r="Q23" s="1385" t="str">
        <f>B23</f>
        <v>自然及人文环境</v>
      </c>
      <c r="R23" s="1386" t="s">
        <v>5</v>
      </c>
      <c r="S23" s="1387">
        <f>F23</f>
        <v>100</v>
      </c>
      <c r="T23" s="1386" t="s">
        <v>5</v>
      </c>
      <c r="U23" s="1387">
        <f>H23</f>
        <v>100</v>
      </c>
      <c r="V23" s="1386" t="s">
        <v>5</v>
      </c>
      <c r="W23" s="1387">
        <f>J23</f>
        <v>100</v>
      </c>
      <c r="X23" s="1380"/>
      <c r="Y23" s="390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08"/>
      <c r="Q24" s="1385"/>
      <c r="R24" s="1386"/>
      <c r="S24" s="1387"/>
      <c r="T24" s="1386"/>
      <c r="U24" s="1387"/>
      <c r="V24" s="1386"/>
      <c r="W24" s="1387"/>
      <c r="X24" s="1380"/>
      <c r="Y24" s="3908"/>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08"/>
      <c r="Q25" s="1385" t="str">
        <f t="shared" ref="Q25:Q46" si="8">B25</f>
        <v>临街状况</v>
      </c>
      <c r="R25" s="1386" t="s">
        <v>5</v>
      </c>
      <c r="S25" s="1387">
        <f>F25</f>
        <v>100</v>
      </c>
      <c r="T25" s="1386" t="s">
        <v>5</v>
      </c>
      <c r="U25" s="1387">
        <f>H25</f>
        <v>100</v>
      </c>
      <c r="V25" s="1386" t="s">
        <v>5</v>
      </c>
      <c r="W25" s="1387">
        <f>J25</f>
        <v>100</v>
      </c>
      <c r="X25" s="1380"/>
      <c r="Y25" s="3908"/>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08"/>
      <c r="Q26" s="1385" t="str">
        <f t="shared" si="8"/>
        <v>平面位置/可视性</v>
      </c>
      <c r="R26" s="1386" t="s">
        <v>5</v>
      </c>
      <c r="S26" s="1387">
        <f>F26</f>
        <v>100</v>
      </c>
      <c r="T26" s="1386" t="s">
        <v>5</v>
      </c>
      <c r="U26" s="1387">
        <f>H26</f>
        <v>100</v>
      </c>
      <c r="V26" s="1386" t="s">
        <v>5</v>
      </c>
      <c r="W26" s="1387">
        <f>J26</f>
        <v>100</v>
      </c>
      <c r="X26" s="1380"/>
      <c r="Y26" s="3908"/>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08"/>
      <c r="Q27" s="1050" t="str">
        <f t="shared" si="8"/>
        <v>人流量</v>
      </c>
      <c r="R27" s="1381" t="s">
        <v>5</v>
      </c>
      <c r="S27" s="1382">
        <f>F27</f>
        <v>100</v>
      </c>
      <c r="T27" s="1381" t="s">
        <v>5</v>
      </c>
      <c r="U27" s="1382">
        <f>H27</f>
        <v>100</v>
      </c>
      <c r="V27" s="1381" t="s">
        <v>5</v>
      </c>
      <c r="W27" s="1382">
        <f>J27</f>
        <v>100</v>
      </c>
      <c r="X27" s="1383"/>
      <c r="Y27" s="3908"/>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0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08"/>
      <c r="Q29" s="1385">
        <f t="shared" si="8"/>
        <v>111</v>
      </c>
      <c r="R29" s="1386" t="s">
        <v>5</v>
      </c>
      <c r="S29" s="1387">
        <f t="shared" si="9"/>
        <v>100</v>
      </c>
      <c r="T29" s="1386" t="s">
        <v>5</v>
      </c>
      <c r="U29" s="1387">
        <f t="shared" si="10"/>
        <v>100</v>
      </c>
      <c r="V29" s="1386" t="s">
        <v>5</v>
      </c>
      <c r="W29" s="1387">
        <f t="shared" si="11"/>
        <v>100</v>
      </c>
      <c r="X29" s="1380"/>
      <c r="Y29" s="390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08"/>
      <c r="Q30" s="1385">
        <f t="shared" si="8"/>
        <v>111</v>
      </c>
      <c r="R30" s="1386" t="s">
        <v>5</v>
      </c>
      <c r="S30" s="1387">
        <f t="shared" si="9"/>
        <v>100</v>
      </c>
      <c r="T30" s="1386" t="s">
        <v>5</v>
      </c>
      <c r="U30" s="1387">
        <f t="shared" si="10"/>
        <v>100</v>
      </c>
      <c r="V30" s="1386" t="s">
        <v>5</v>
      </c>
      <c r="W30" s="1387">
        <f t="shared" si="11"/>
        <v>100</v>
      </c>
      <c r="X30" s="1380"/>
      <c r="Y30" s="3908"/>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08"/>
      <c r="Q31" s="1385">
        <f t="shared" si="8"/>
        <v>111</v>
      </c>
      <c r="R31" s="1386" t="s">
        <v>5</v>
      </c>
      <c r="S31" s="1387">
        <f t="shared" si="9"/>
        <v>100</v>
      </c>
      <c r="T31" s="1386" t="s">
        <v>5</v>
      </c>
      <c r="U31" s="1387">
        <f t="shared" si="10"/>
        <v>100</v>
      </c>
      <c r="V31" s="1386" t="s">
        <v>5</v>
      </c>
      <c r="W31" s="1387">
        <f t="shared" si="11"/>
        <v>100</v>
      </c>
      <c r="X31" s="1380"/>
      <c r="Y31" s="3908"/>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9" t="s">
        <v>499</v>
      </c>
      <c r="Q32" s="1385" t="str">
        <f t="shared" si="8"/>
        <v>商业类型</v>
      </c>
      <c r="R32" s="1386" t="s">
        <v>5</v>
      </c>
      <c r="S32" s="1387">
        <f t="shared" si="9"/>
        <v>100</v>
      </c>
      <c r="T32" s="1386" t="s">
        <v>5</v>
      </c>
      <c r="U32" s="1387">
        <f t="shared" si="10"/>
        <v>100</v>
      </c>
      <c r="V32" s="1386" t="s">
        <v>5</v>
      </c>
      <c r="W32" s="1387">
        <f t="shared" si="11"/>
        <v>100</v>
      </c>
      <c r="X32" s="1380"/>
      <c r="Y32" s="3910"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10"/>
      <c r="Q33" s="1414" t="str">
        <f t="shared" si="8"/>
        <v>项目建筑规模</v>
      </c>
      <c r="R33" s="1390" t="s">
        <v>5</v>
      </c>
      <c r="S33" s="1391" t="e">
        <f t="shared" si="9"/>
        <v>#N/A</v>
      </c>
      <c r="T33" s="1390" t="s">
        <v>5</v>
      </c>
      <c r="U33" s="1391" t="e">
        <f t="shared" si="10"/>
        <v>#N/A</v>
      </c>
      <c r="V33" s="1390" t="s">
        <v>5</v>
      </c>
      <c r="W33" s="1391" t="e">
        <f t="shared" si="11"/>
        <v>#N/A</v>
      </c>
      <c r="X33" s="1392"/>
      <c r="Y33" s="391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10"/>
      <c r="Q34" s="1385" t="str">
        <f t="shared" si="8"/>
        <v>建筑结构</v>
      </c>
      <c r="R34" s="1386" t="s">
        <v>5</v>
      </c>
      <c r="S34" s="1387">
        <f t="shared" si="9"/>
        <v>100</v>
      </c>
      <c r="T34" s="1386" t="s">
        <v>5</v>
      </c>
      <c r="U34" s="1387">
        <f t="shared" si="10"/>
        <v>100</v>
      </c>
      <c r="V34" s="1386" t="s">
        <v>5</v>
      </c>
      <c r="W34" s="1387">
        <f t="shared" si="11"/>
        <v>100</v>
      </c>
      <c r="X34" s="1380"/>
      <c r="Y34" s="3910"/>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10"/>
      <c r="Q35" s="1385" t="str">
        <f t="shared" si="8"/>
        <v>公共部分装修</v>
      </c>
      <c r="R35" s="1386" t="s">
        <v>5</v>
      </c>
      <c r="S35" s="1387">
        <f t="shared" si="9"/>
        <v>100</v>
      </c>
      <c r="T35" s="1386" t="s">
        <v>5</v>
      </c>
      <c r="U35" s="1387">
        <f t="shared" si="10"/>
        <v>100</v>
      </c>
      <c r="V35" s="1386" t="s">
        <v>5</v>
      </c>
      <c r="W35" s="1387">
        <f t="shared" si="11"/>
        <v>100</v>
      </c>
      <c r="X35" s="1380"/>
      <c r="Y35" s="3910"/>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10"/>
      <c r="Q36" s="1385" t="str">
        <f t="shared" si="8"/>
        <v>成新度</v>
      </c>
      <c r="R36" s="1386" t="s">
        <v>5</v>
      </c>
      <c r="S36" s="1387" t="e">
        <f t="shared" si="9"/>
        <v>#N/A</v>
      </c>
      <c r="T36" s="1386" t="s">
        <v>5</v>
      </c>
      <c r="U36" s="1387" t="e">
        <f t="shared" si="10"/>
        <v>#N/A</v>
      </c>
      <c r="V36" s="1386" t="s">
        <v>5</v>
      </c>
      <c r="W36" s="1387" t="e">
        <f t="shared" si="11"/>
        <v>#N/A</v>
      </c>
      <c r="X36" s="1380"/>
      <c r="Y36" s="3910"/>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10"/>
      <c r="Q37" s="1050" t="str">
        <f t="shared" si="8"/>
        <v>市政基础设施</v>
      </c>
      <c r="R37" s="1381" t="s">
        <v>5</v>
      </c>
      <c r="S37" s="1382">
        <f t="shared" si="9"/>
        <v>100</v>
      </c>
      <c r="T37" s="1381" t="s">
        <v>5</v>
      </c>
      <c r="U37" s="1382">
        <f t="shared" si="10"/>
        <v>100</v>
      </c>
      <c r="V37" s="1381" t="s">
        <v>5</v>
      </c>
      <c r="W37" s="1382">
        <f t="shared" si="11"/>
        <v>100</v>
      </c>
      <c r="X37" s="1383"/>
      <c r="Y37" s="3910"/>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10" t="s">
        <v>706</v>
      </c>
      <c r="Q38" s="1385" t="str">
        <f t="shared" si="8"/>
        <v>业态</v>
      </c>
      <c r="R38" s="1386" t="s">
        <v>5</v>
      </c>
      <c r="S38" s="1387">
        <f t="shared" si="9"/>
        <v>100</v>
      </c>
      <c r="T38" s="1386" t="s">
        <v>5</v>
      </c>
      <c r="U38" s="1387">
        <f t="shared" si="10"/>
        <v>100</v>
      </c>
      <c r="V38" s="1386" t="s">
        <v>5</v>
      </c>
      <c r="W38" s="1387">
        <f t="shared" si="11"/>
        <v>100</v>
      </c>
      <c r="X38" s="1380"/>
      <c r="Y38" s="3910"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10"/>
      <c r="Q39" s="1385" t="str">
        <f t="shared" si="8"/>
        <v>层高</v>
      </c>
      <c r="R39" s="1386" t="s">
        <v>5</v>
      </c>
      <c r="S39" s="1387">
        <f t="shared" si="9"/>
        <v>100</v>
      </c>
      <c r="T39" s="1386" t="s">
        <v>5</v>
      </c>
      <c r="U39" s="1387">
        <f t="shared" si="10"/>
        <v>100</v>
      </c>
      <c r="V39" s="1386" t="s">
        <v>5</v>
      </c>
      <c r="W39" s="1387">
        <f t="shared" si="11"/>
        <v>100</v>
      </c>
      <c r="X39" s="1380"/>
      <c r="Y39" s="3910"/>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10"/>
      <c r="Q40" s="1385" t="str">
        <f t="shared" si="8"/>
        <v>单套建筑面积</v>
      </c>
      <c r="R40" s="1386" t="s">
        <v>5</v>
      </c>
      <c r="S40" s="1387">
        <f t="shared" si="9"/>
        <v>100</v>
      </c>
      <c r="T40" s="1386" t="s">
        <v>5</v>
      </c>
      <c r="U40" s="1387">
        <f t="shared" si="10"/>
        <v>100</v>
      </c>
      <c r="V40" s="1386" t="s">
        <v>5</v>
      </c>
      <c r="W40" s="1387">
        <f t="shared" si="11"/>
        <v>100</v>
      </c>
      <c r="X40" s="1380"/>
      <c r="Y40" s="3910"/>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10"/>
      <c r="Q41" s="1414" t="str">
        <f t="shared" si="8"/>
        <v>进深比</v>
      </c>
      <c r="R41" s="1390" t="s">
        <v>5</v>
      </c>
      <c r="S41" s="1391">
        <f t="shared" si="9"/>
        <v>100</v>
      </c>
      <c r="T41" s="1390" t="s">
        <v>5</v>
      </c>
      <c r="U41" s="1391">
        <f t="shared" si="10"/>
        <v>100</v>
      </c>
      <c r="V41" s="1390" t="s">
        <v>5</v>
      </c>
      <c r="W41" s="1391">
        <f t="shared" si="11"/>
        <v>100</v>
      </c>
      <c r="X41" s="1392"/>
      <c r="Y41" s="3910"/>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10"/>
      <c r="Q42" s="1385" t="str">
        <f t="shared" si="8"/>
        <v>内部装修</v>
      </c>
      <c r="R42" s="1386" t="s">
        <v>5</v>
      </c>
      <c r="S42" s="1387">
        <f t="shared" si="9"/>
        <v>100</v>
      </c>
      <c r="T42" s="1386" t="s">
        <v>5</v>
      </c>
      <c r="U42" s="1387">
        <f t="shared" si="10"/>
        <v>100</v>
      </c>
      <c r="V42" s="1386" t="s">
        <v>5</v>
      </c>
      <c r="W42" s="1387">
        <f t="shared" si="11"/>
        <v>100</v>
      </c>
      <c r="X42" s="1380"/>
      <c r="Y42" s="3910"/>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10"/>
      <c r="Q43" s="1385" t="str">
        <f t="shared" si="8"/>
        <v>内部装修维护情况</v>
      </c>
      <c r="R43" s="1386" t="s">
        <v>5</v>
      </c>
      <c r="S43" s="1387">
        <f t="shared" si="9"/>
        <v>100</v>
      </c>
      <c r="T43" s="1386" t="s">
        <v>5</v>
      </c>
      <c r="U43" s="1387">
        <f t="shared" si="10"/>
        <v>100</v>
      </c>
      <c r="V43" s="1386" t="s">
        <v>5</v>
      </c>
      <c r="W43" s="1387">
        <f t="shared" si="11"/>
        <v>100</v>
      </c>
      <c r="X43" s="1380"/>
      <c r="Y43" s="391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10"/>
      <c r="Q44" s="1050">
        <f t="shared" si="8"/>
        <v>111</v>
      </c>
      <c r="R44" s="1381" t="s">
        <v>5</v>
      </c>
      <c r="S44" s="1382">
        <f t="shared" si="9"/>
        <v>100</v>
      </c>
      <c r="T44" s="1381" t="s">
        <v>5</v>
      </c>
      <c r="U44" s="1382">
        <f t="shared" si="10"/>
        <v>100</v>
      </c>
      <c r="V44" s="1381" t="s">
        <v>5</v>
      </c>
      <c r="W44" s="1382">
        <f t="shared" si="11"/>
        <v>100</v>
      </c>
      <c r="X44" s="1383"/>
      <c r="Y44" s="391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10"/>
      <c r="Q45" s="1385">
        <f t="shared" si="8"/>
        <v>111</v>
      </c>
      <c r="R45" s="1386" t="s">
        <v>5</v>
      </c>
      <c r="S45" s="1387">
        <f t="shared" si="9"/>
        <v>100</v>
      </c>
      <c r="T45" s="1386" t="s">
        <v>5</v>
      </c>
      <c r="U45" s="1387">
        <f t="shared" si="10"/>
        <v>100</v>
      </c>
      <c r="V45" s="1386" t="s">
        <v>5</v>
      </c>
      <c r="W45" s="1387">
        <f t="shared" si="11"/>
        <v>100</v>
      </c>
      <c r="X45" s="1380"/>
      <c r="Y45" s="3910"/>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2"/>
      <c r="Q46" s="1385">
        <f t="shared" si="8"/>
        <v>111</v>
      </c>
      <c r="R46" s="1386" t="s">
        <v>5</v>
      </c>
      <c r="S46" s="1387">
        <f t="shared" si="9"/>
        <v>100</v>
      </c>
      <c r="T46" s="1386" t="s">
        <v>5</v>
      </c>
      <c r="U46" s="1387">
        <f t="shared" si="10"/>
        <v>100</v>
      </c>
      <c r="V46" s="1386" t="s">
        <v>5</v>
      </c>
      <c r="W46" s="1387">
        <f t="shared" si="11"/>
        <v>100</v>
      </c>
      <c r="X46" s="1380"/>
      <c r="Y46" s="4022"/>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905" t="str">
        <f>A47</f>
        <v>成交单价（元/平方米）</v>
      </c>
      <c r="Q47" s="3905"/>
      <c r="R47" s="4021">
        <f>E47</f>
        <v>0</v>
      </c>
      <c r="S47" s="4021"/>
      <c r="T47" s="4021">
        <f>G47</f>
        <v>0</v>
      </c>
      <c r="U47" s="4021"/>
      <c r="V47" s="4021">
        <f>I47</f>
        <v>0</v>
      </c>
      <c r="W47" s="4021"/>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05" t="str">
        <f>A48</f>
        <v>比较价格（元/平方米）</v>
      </c>
      <c r="Q48" s="3905"/>
      <c r="R48" s="4021" t="e">
        <f>IF(F1="售价",ROUND(PRODUCT(R47,AA7:AA46),0),ROUND(PRODUCT(R47,AA7:AA46),1))</f>
        <v>#DIV/0!</v>
      </c>
      <c r="S48" s="4021"/>
      <c r="T48" s="4021" t="e">
        <f>IF(F1="售价",ROUND(PRODUCT(T47,AB7:AB46),0),ROUND(PRODUCT(T47,AB7:AB46),1))</f>
        <v>#DIV/0!</v>
      </c>
      <c r="U48" s="4021"/>
      <c r="V48" s="4021" t="e">
        <f>IF(F1="售价",ROUND(PRODUCT(V47,AC7:AC46),0),ROUND(PRODUCT(V47,AC7:AC46),1))</f>
        <v>#DIV/0!</v>
      </c>
      <c r="W48" s="4021"/>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11" t="str">
        <f>A49</f>
        <v>估价对象XX用房的比较价格（楼面单价，元/平方米）</v>
      </c>
      <c r="Q49" s="3912"/>
      <c r="R49" s="4020" t="e">
        <f>IF(F1="售价",ROUND(IF(D48="简单平均",AVERAGE(R48:V48),R48*F48+T48*H48+V48*J48),0),ROUND(IF(D48="简单平均",AVERAGE(R48:V48),R48*F48+T48*H48+V48*J48),1))</f>
        <v>#DIV/0!</v>
      </c>
      <c r="S49" s="4020"/>
      <c r="T49" s="4020"/>
      <c r="U49" s="4020"/>
      <c r="V49" s="4020"/>
      <c r="W49" s="4020"/>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913" t="s">
        <v>471</v>
      </c>
      <c r="D4" s="3914"/>
      <c r="E4" s="3935" t="s">
        <v>472</v>
      </c>
      <c r="F4" s="3936"/>
      <c r="G4" s="3913" t="s">
        <v>473</v>
      </c>
      <c r="H4" s="3914"/>
      <c r="I4" s="3913" t="s">
        <v>474</v>
      </c>
      <c r="J4" s="3914"/>
      <c r="K4" s="484" t="s">
        <v>475</v>
      </c>
      <c r="L4" s="1856"/>
      <c r="M4" s="1857"/>
      <c r="N4" s="1857"/>
      <c r="O4" s="1857"/>
      <c r="P4" s="4023" t="s">
        <v>476</v>
      </c>
      <c r="Q4" s="3916"/>
      <c r="R4" s="3899" t="s">
        <v>472</v>
      </c>
      <c r="S4" s="3900"/>
      <c r="T4" s="3899" t="s">
        <v>473</v>
      </c>
      <c r="U4" s="3900"/>
      <c r="V4" s="3921" t="s">
        <v>474</v>
      </c>
      <c r="W4" s="3921"/>
      <c r="X4" s="1380"/>
      <c r="Y4" s="3899" t="s">
        <v>476</v>
      </c>
      <c r="Z4" s="3900"/>
      <c r="AA4" s="3894" t="s">
        <v>472</v>
      </c>
      <c r="AB4" s="3894" t="s">
        <v>473</v>
      </c>
      <c r="AC4" s="3894" t="s">
        <v>474</v>
      </c>
    </row>
    <row r="5" spans="1:29">
      <c r="A5" s="485"/>
      <c r="B5" s="486"/>
      <c r="C5" s="3924" t="s">
        <v>2192</v>
      </c>
      <c r="D5" s="3925"/>
      <c r="E5" s="4019" t="s">
        <v>2193</v>
      </c>
      <c r="F5" s="3938"/>
      <c r="G5" s="3924" t="s">
        <v>2194</v>
      </c>
      <c r="H5" s="3925"/>
      <c r="I5" s="3924" t="s">
        <v>2195</v>
      </c>
      <c r="J5" s="3925"/>
      <c r="K5" s="484"/>
      <c r="L5" s="1856"/>
      <c r="M5" s="1857"/>
      <c r="N5" s="1857"/>
      <c r="O5" s="1857"/>
      <c r="P5" s="4024"/>
      <c r="Q5" s="3918"/>
      <c r="R5" s="3901"/>
      <c r="S5" s="3902"/>
      <c r="T5" s="3901"/>
      <c r="U5" s="3902"/>
      <c r="V5" s="3921"/>
      <c r="W5" s="3921"/>
      <c r="X5" s="1380"/>
      <c r="Y5" s="3901"/>
      <c r="Z5" s="3902"/>
      <c r="AA5" s="3895"/>
      <c r="AB5" s="3895"/>
      <c r="AC5" s="3895"/>
    </row>
    <row r="6" spans="1:29" ht="15" thickBot="1">
      <c r="A6" s="487"/>
      <c r="B6" s="488"/>
      <c r="C6" s="3922" t="s">
        <v>2196</v>
      </c>
      <c r="D6" s="3923"/>
      <c r="E6" s="3940" t="s">
        <v>2196</v>
      </c>
      <c r="F6" s="3941"/>
      <c r="G6" s="3922" t="s">
        <v>2196</v>
      </c>
      <c r="H6" s="3923"/>
      <c r="I6" s="3922" t="s">
        <v>2196</v>
      </c>
      <c r="J6" s="3923"/>
      <c r="K6" s="484" t="s">
        <v>477</v>
      </c>
      <c r="L6" s="1856"/>
      <c r="M6" s="1857"/>
      <c r="N6" s="1857"/>
      <c r="O6" s="1857"/>
      <c r="P6" s="4025"/>
      <c r="Q6" s="3920"/>
      <c r="R6" s="3901"/>
      <c r="S6" s="3902"/>
      <c r="T6" s="3903"/>
      <c r="U6" s="3904"/>
      <c r="V6" s="3921"/>
      <c r="W6" s="3921"/>
      <c r="X6" s="1380"/>
      <c r="Y6" s="3903"/>
      <c r="Z6" s="3904"/>
      <c r="AA6" s="3896"/>
      <c r="AB6" s="3896"/>
      <c r="AC6" s="3896"/>
    </row>
    <row r="7" spans="1:29" s="1118" customFormat="1" ht="15" thickBot="1">
      <c r="A7" s="2392"/>
      <c r="B7" s="2399" t="s">
        <v>478</v>
      </c>
      <c r="C7" s="489">
        <f>'数据-取费表'!B2</f>
        <v>45839</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06" t="s">
        <v>479</v>
      </c>
      <c r="Q7" s="3906"/>
      <c r="R7" s="1381" t="s">
        <v>5</v>
      </c>
      <c r="S7" s="1382">
        <f t="shared" ref="S7:S15" si="0">F7</f>
        <v>0</v>
      </c>
      <c r="T7" s="1381" t="s">
        <v>5</v>
      </c>
      <c r="U7" s="1382">
        <f t="shared" ref="U7:U15" si="1">H7</f>
        <v>0</v>
      </c>
      <c r="V7" s="1381" t="s">
        <v>5</v>
      </c>
      <c r="W7" s="1382">
        <f t="shared" ref="W7:W15" si="2">J7</f>
        <v>0</v>
      </c>
      <c r="X7" s="1383"/>
      <c r="Y7" s="3897" t="s">
        <v>479</v>
      </c>
      <c r="Z7" s="3898"/>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06" t="s">
        <v>482</v>
      </c>
      <c r="Q8" s="3898"/>
      <c r="R8" s="1381" t="s">
        <v>5</v>
      </c>
      <c r="S8" s="1382">
        <f t="shared" si="0"/>
        <v>0</v>
      </c>
      <c r="T8" s="1381" t="s">
        <v>5</v>
      </c>
      <c r="U8" s="1382">
        <f t="shared" si="1"/>
        <v>0</v>
      </c>
      <c r="V8" s="1381" t="s">
        <v>5</v>
      </c>
      <c r="W8" s="1382">
        <f t="shared" si="2"/>
        <v>0</v>
      </c>
      <c r="X8" s="1383"/>
      <c r="Y8" s="3897" t="s">
        <v>482</v>
      </c>
      <c r="Z8" s="3898"/>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05" t="s">
        <v>484</v>
      </c>
      <c r="Q9" s="1050" t="str">
        <f t="shared" ref="Q9:Q15" si="6">B9</f>
        <v>用途</v>
      </c>
      <c r="R9" s="1381" t="s">
        <v>5</v>
      </c>
      <c r="S9" s="1382">
        <f t="shared" si="0"/>
        <v>100</v>
      </c>
      <c r="T9" s="1381" t="s">
        <v>5</v>
      </c>
      <c r="U9" s="1382">
        <f t="shared" si="1"/>
        <v>100</v>
      </c>
      <c r="V9" s="1381" t="s">
        <v>5</v>
      </c>
      <c r="W9" s="1382">
        <f t="shared" si="2"/>
        <v>100</v>
      </c>
      <c r="X9" s="1383"/>
      <c r="Y9" s="3851"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905"/>
      <c r="Q10" s="1050" t="str">
        <f t="shared" si="6"/>
        <v>土地使用年限（年）</v>
      </c>
      <c r="R10" s="1381" t="s">
        <v>5</v>
      </c>
      <c r="S10" s="1382">
        <f t="shared" si="0"/>
        <v>100</v>
      </c>
      <c r="T10" s="1381" t="s">
        <v>5</v>
      </c>
      <c r="U10" s="1382">
        <f t="shared" si="1"/>
        <v>100</v>
      </c>
      <c r="V10" s="1381" t="s">
        <v>5</v>
      </c>
      <c r="W10" s="1382">
        <f t="shared" si="2"/>
        <v>100</v>
      </c>
      <c r="X10" s="1383"/>
      <c r="Y10" s="385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05"/>
      <c r="Q11" s="1050" t="str">
        <f t="shared" si="6"/>
        <v>容积率</v>
      </c>
      <c r="R11" s="1381" t="s">
        <v>5</v>
      </c>
      <c r="S11" s="1382" t="e">
        <f t="shared" si="0"/>
        <v>#N/A</v>
      </c>
      <c r="T11" s="1381" t="s">
        <v>5</v>
      </c>
      <c r="U11" s="1382" t="e">
        <f t="shared" si="1"/>
        <v>#N/A</v>
      </c>
      <c r="V11" s="1381" t="s">
        <v>5</v>
      </c>
      <c r="W11" s="1382" t="e">
        <f t="shared" si="2"/>
        <v>#N/A</v>
      </c>
      <c r="X11" s="1383"/>
      <c r="Y11" s="385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05"/>
      <c r="Q12" s="1050">
        <f t="shared" si="6"/>
        <v>111</v>
      </c>
      <c r="R12" s="1381" t="s">
        <v>5</v>
      </c>
      <c r="S12" s="1382">
        <f t="shared" si="0"/>
        <v>100</v>
      </c>
      <c r="T12" s="1381" t="s">
        <v>5</v>
      </c>
      <c r="U12" s="1382">
        <f t="shared" si="1"/>
        <v>100</v>
      </c>
      <c r="V12" s="1381" t="s">
        <v>5</v>
      </c>
      <c r="W12" s="1382">
        <f t="shared" si="2"/>
        <v>100</v>
      </c>
      <c r="X12" s="1383"/>
      <c r="Y12" s="385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05"/>
      <c r="Q13" s="1050">
        <f t="shared" si="6"/>
        <v>111</v>
      </c>
      <c r="R13" s="1381" t="s">
        <v>5</v>
      </c>
      <c r="S13" s="1382">
        <f t="shared" si="0"/>
        <v>100</v>
      </c>
      <c r="T13" s="1381" t="s">
        <v>5</v>
      </c>
      <c r="U13" s="1382">
        <f t="shared" si="1"/>
        <v>100</v>
      </c>
      <c r="V13" s="1381" t="s">
        <v>5</v>
      </c>
      <c r="W13" s="1382">
        <f t="shared" si="2"/>
        <v>100</v>
      </c>
      <c r="X13" s="1383"/>
      <c r="Y13" s="3851"/>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05"/>
      <c r="Q14" s="1050">
        <f t="shared" si="6"/>
        <v>111</v>
      </c>
      <c r="R14" s="1381" t="s">
        <v>5</v>
      </c>
      <c r="S14" s="1382">
        <f t="shared" si="0"/>
        <v>100</v>
      </c>
      <c r="T14" s="1381" t="s">
        <v>5</v>
      </c>
      <c r="U14" s="1382">
        <f t="shared" si="1"/>
        <v>100</v>
      </c>
      <c r="V14" s="1381" t="s">
        <v>5</v>
      </c>
      <c r="W14" s="1382">
        <f t="shared" si="2"/>
        <v>100</v>
      </c>
      <c r="X14" s="1383"/>
      <c r="Y14" s="3851"/>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07" t="s">
        <v>489</v>
      </c>
      <c r="Q15" s="1385" t="str">
        <f t="shared" si="6"/>
        <v>办公集聚程度</v>
      </c>
      <c r="R15" s="1386" t="s">
        <v>5</v>
      </c>
      <c r="S15" s="1387">
        <f t="shared" si="0"/>
        <v>100</v>
      </c>
      <c r="T15" s="1386" t="s">
        <v>5</v>
      </c>
      <c r="U15" s="1387">
        <f t="shared" si="1"/>
        <v>100</v>
      </c>
      <c r="V15" s="1386" t="s">
        <v>5</v>
      </c>
      <c r="W15" s="1387">
        <f t="shared" si="2"/>
        <v>100</v>
      </c>
      <c r="X15" s="1380"/>
      <c r="Y15" s="3907"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08"/>
      <c r="Q16" s="1385"/>
      <c r="R16" s="1386"/>
      <c r="S16" s="1387"/>
      <c r="T16" s="1386"/>
      <c r="U16" s="1387"/>
      <c r="V16" s="1386"/>
      <c r="W16" s="1387"/>
      <c r="X16" s="1380"/>
      <c r="Y16" s="3908"/>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08"/>
      <c r="Q17" s="1385" t="str">
        <f>B17</f>
        <v>交通便捷度</v>
      </c>
      <c r="R17" s="1386" t="s">
        <v>5</v>
      </c>
      <c r="S17" s="1387">
        <f>F17</f>
        <v>100</v>
      </c>
      <c r="T17" s="1386" t="s">
        <v>5</v>
      </c>
      <c r="U17" s="1387">
        <f>H17</f>
        <v>100</v>
      </c>
      <c r="V17" s="1386" t="s">
        <v>5</v>
      </c>
      <c r="W17" s="1387">
        <f>J17</f>
        <v>100</v>
      </c>
      <c r="X17" s="1380"/>
      <c r="Y17" s="390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08"/>
      <c r="Q18" s="1385"/>
      <c r="R18" s="1386"/>
      <c r="S18" s="1387"/>
      <c r="T18" s="1386"/>
      <c r="U18" s="1387"/>
      <c r="V18" s="1386"/>
      <c r="W18" s="1387"/>
      <c r="X18" s="1380"/>
      <c r="Y18" s="3908"/>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08"/>
      <c r="Q19" s="1385" t="str">
        <f>B19</f>
        <v>公共配套设施</v>
      </c>
      <c r="R19" s="1386" t="s">
        <v>5</v>
      </c>
      <c r="S19" s="1387">
        <f>F19</f>
        <v>100</v>
      </c>
      <c r="T19" s="1386" t="s">
        <v>5</v>
      </c>
      <c r="U19" s="1387">
        <f>H19</f>
        <v>100</v>
      </c>
      <c r="V19" s="1386" t="s">
        <v>5</v>
      </c>
      <c r="W19" s="1387">
        <f>J19</f>
        <v>100</v>
      </c>
      <c r="X19" s="1380"/>
      <c r="Y19" s="390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08"/>
      <c r="Q20" s="1385"/>
      <c r="R20" s="1386"/>
      <c r="S20" s="1387"/>
      <c r="T20" s="1386"/>
      <c r="U20" s="1387"/>
      <c r="V20" s="1386"/>
      <c r="W20" s="1387"/>
      <c r="X20" s="1380"/>
      <c r="Y20" s="3908"/>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08"/>
      <c r="Q21" s="2193" t="str">
        <f>B21</f>
        <v>基础设施水平</v>
      </c>
      <c r="R21" s="1386" t="s">
        <v>5</v>
      </c>
      <c r="S21" s="1387">
        <f>F21</f>
        <v>100</v>
      </c>
      <c r="T21" s="1386" t="s">
        <v>5</v>
      </c>
      <c r="U21" s="1387">
        <f>H21</f>
        <v>100</v>
      </c>
      <c r="V21" s="1386" t="s">
        <v>5</v>
      </c>
      <c r="W21" s="1387">
        <f>J21</f>
        <v>100</v>
      </c>
      <c r="X21" s="2195"/>
      <c r="Y21" s="3908"/>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08"/>
      <c r="Q22" s="2193"/>
      <c r="R22" s="1386"/>
      <c r="S22" s="1387"/>
      <c r="T22" s="1386"/>
      <c r="U22" s="1387"/>
      <c r="V22" s="1386"/>
      <c r="W22" s="1387"/>
      <c r="X22" s="2195"/>
      <c r="Y22" s="3908"/>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08"/>
      <c r="Q23" s="1385" t="str">
        <f>B23</f>
        <v>环境质量</v>
      </c>
      <c r="R23" s="1386" t="s">
        <v>5</v>
      </c>
      <c r="S23" s="1387">
        <f>F23</f>
        <v>100</v>
      </c>
      <c r="T23" s="1386" t="s">
        <v>5</v>
      </c>
      <c r="U23" s="1387">
        <f>H23</f>
        <v>100</v>
      </c>
      <c r="V23" s="1386" t="s">
        <v>5</v>
      </c>
      <c r="W23" s="1387">
        <f>J23</f>
        <v>100</v>
      </c>
      <c r="X23" s="1380"/>
      <c r="Y23" s="390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08"/>
      <c r="Q24" s="1385"/>
      <c r="R24" s="1386"/>
      <c r="S24" s="1387"/>
      <c r="T24" s="1386"/>
      <c r="U24" s="1387"/>
      <c r="V24" s="1386"/>
      <c r="W24" s="1387"/>
      <c r="X24" s="1380"/>
      <c r="Y24" s="3908"/>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08"/>
      <c r="Q25" s="1385" t="str">
        <f>B25</f>
        <v>毗邻道路的类型与等级</v>
      </c>
      <c r="R25" s="1386" t="s">
        <v>5</v>
      </c>
      <c r="S25" s="1387">
        <f>F25</f>
        <v>100</v>
      </c>
      <c r="T25" s="1386" t="s">
        <v>5</v>
      </c>
      <c r="U25" s="1387">
        <f>H25</f>
        <v>100</v>
      </c>
      <c r="V25" s="1386" t="s">
        <v>5</v>
      </c>
      <c r="W25" s="1387">
        <f>J25</f>
        <v>100</v>
      </c>
      <c r="X25" s="1380"/>
      <c r="Y25" s="390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08"/>
      <c r="Q26" s="1385"/>
      <c r="R26" s="1386"/>
      <c r="S26" s="1387"/>
      <c r="T26" s="1386"/>
      <c r="U26" s="1387"/>
      <c r="V26" s="1386"/>
      <c r="W26" s="1387"/>
      <c r="X26" s="1380"/>
      <c r="Y26" s="3908"/>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08"/>
      <c r="Q27" s="1385" t="str">
        <f t="shared" ref="Q27:Q47" si="8">B27</f>
        <v>楼层</v>
      </c>
      <c r="R27" s="1386" t="s">
        <v>5</v>
      </c>
      <c r="S27" s="1387">
        <f>F27</f>
        <v>100</v>
      </c>
      <c r="T27" s="1386" t="s">
        <v>5</v>
      </c>
      <c r="U27" s="1387">
        <f>H27</f>
        <v>100</v>
      </c>
      <c r="V27" s="1386" t="s">
        <v>5</v>
      </c>
      <c r="W27" s="1387">
        <f>J27</f>
        <v>100</v>
      </c>
      <c r="X27" s="1380"/>
      <c r="Y27" s="3908"/>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08"/>
      <c r="Q28" s="1050" t="str">
        <f t="shared" si="8"/>
        <v>朝向</v>
      </c>
      <c r="R28" s="1381" t="s">
        <v>5</v>
      </c>
      <c r="S28" s="1382">
        <f>F28</f>
        <v>100</v>
      </c>
      <c r="T28" s="1381" t="s">
        <v>5</v>
      </c>
      <c r="U28" s="1382">
        <f>H28</f>
        <v>100</v>
      </c>
      <c r="V28" s="1381" t="s">
        <v>5</v>
      </c>
      <c r="W28" s="1382">
        <f>J28</f>
        <v>100</v>
      </c>
      <c r="X28" s="1383"/>
      <c r="Y28" s="390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08"/>
      <c r="Q29" s="1385">
        <f t="shared" si="8"/>
        <v>111</v>
      </c>
      <c r="R29" s="1386" t="s">
        <v>5</v>
      </c>
      <c r="S29" s="1387">
        <f t="shared" ref="S29:S47" si="9">F29</f>
        <v>100</v>
      </c>
      <c r="T29" s="1386" t="s">
        <v>5</v>
      </c>
      <c r="U29" s="1387">
        <f t="shared" ref="U29:U47" si="10">H29</f>
        <v>100</v>
      </c>
      <c r="V29" s="1386" t="s">
        <v>5</v>
      </c>
      <c r="W29" s="1387">
        <f t="shared" ref="W29:W47" si="11">J29</f>
        <v>100</v>
      </c>
      <c r="X29" s="1380"/>
      <c r="Y29" s="390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08"/>
      <c r="Q30" s="1385">
        <f t="shared" si="8"/>
        <v>111</v>
      </c>
      <c r="R30" s="1386" t="s">
        <v>5</v>
      </c>
      <c r="S30" s="1387">
        <f t="shared" si="9"/>
        <v>100</v>
      </c>
      <c r="T30" s="1386" t="s">
        <v>5</v>
      </c>
      <c r="U30" s="1387">
        <f t="shared" si="10"/>
        <v>100</v>
      </c>
      <c r="V30" s="1386" t="s">
        <v>5</v>
      </c>
      <c r="W30" s="1387">
        <f t="shared" si="11"/>
        <v>100</v>
      </c>
      <c r="X30" s="1380"/>
      <c r="Y30" s="390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08"/>
      <c r="Q31" s="1385">
        <f t="shared" si="8"/>
        <v>111</v>
      </c>
      <c r="R31" s="1386" t="s">
        <v>5</v>
      </c>
      <c r="S31" s="1387">
        <f t="shared" si="9"/>
        <v>100</v>
      </c>
      <c r="T31" s="1386" t="s">
        <v>5</v>
      </c>
      <c r="U31" s="1387">
        <f t="shared" si="10"/>
        <v>100</v>
      </c>
      <c r="V31" s="1386" t="s">
        <v>5</v>
      </c>
      <c r="W31" s="1387">
        <f t="shared" si="11"/>
        <v>100</v>
      </c>
      <c r="X31" s="1380"/>
      <c r="Y31" s="3908"/>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08"/>
      <c r="Q32" s="1385">
        <f t="shared" si="8"/>
        <v>111</v>
      </c>
      <c r="R32" s="1386" t="s">
        <v>5</v>
      </c>
      <c r="S32" s="1387">
        <f t="shared" si="9"/>
        <v>100</v>
      </c>
      <c r="T32" s="1386" t="s">
        <v>5</v>
      </c>
      <c r="U32" s="1387">
        <f t="shared" si="10"/>
        <v>100</v>
      </c>
      <c r="V32" s="1386" t="s">
        <v>5</v>
      </c>
      <c r="W32" s="1387">
        <f t="shared" si="11"/>
        <v>100</v>
      </c>
      <c r="X32" s="1380"/>
      <c r="Y32" s="3908"/>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9" t="s">
        <v>499</v>
      </c>
      <c r="Q33" s="1385" t="str">
        <f t="shared" si="8"/>
        <v>建筑类型</v>
      </c>
      <c r="R33" s="1386" t="s">
        <v>5</v>
      </c>
      <c r="S33" s="1387">
        <f t="shared" si="9"/>
        <v>100</v>
      </c>
      <c r="T33" s="1386" t="s">
        <v>5</v>
      </c>
      <c r="U33" s="1387">
        <f t="shared" si="10"/>
        <v>100</v>
      </c>
      <c r="V33" s="1386" t="s">
        <v>5</v>
      </c>
      <c r="W33" s="1387">
        <f t="shared" si="11"/>
        <v>100</v>
      </c>
      <c r="X33" s="1380"/>
      <c r="Y33" s="3910"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10"/>
      <c r="Q34" s="1414" t="str">
        <f t="shared" si="8"/>
        <v>项目建筑规模</v>
      </c>
      <c r="R34" s="1390" t="s">
        <v>5</v>
      </c>
      <c r="S34" s="1391" t="e">
        <f t="shared" si="9"/>
        <v>#N/A</v>
      </c>
      <c r="T34" s="1390" t="s">
        <v>5</v>
      </c>
      <c r="U34" s="1391" t="e">
        <f t="shared" si="10"/>
        <v>#N/A</v>
      </c>
      <c r="V34" s="1390" t="s">
        <v>5</v>
      </c>
      <c r="W34" s="1391" t="e">
        <f t="shared" si="11"/>
        <v>#N/A</v>
      </c>
      <c r="X34" s="1392"/>
      <c r="Y34" s="3910"/>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10"/>
      <c r="Q35" s="1385" t="str">
        <f t="shared" si="8"/>
        <v>建筑结构</v>
      </c>
      <c r="R35" s="1386" t="s">
        <v>5</v>
      </c>
      <c r="S35" s="1387">
        <f t="shared" si="9"/>
        <v>100</v>
      </c>
      <c r="T35" s="1386" t="s">
        <v>5</v>
      </c>
      <c r="U35" s="1387">
        <f t="shared" si="10"/>
        <v>100</v>
      </c>
      <c r="V35" s="1386" t="s">
        <v>5</v>
      </c>
      <c r="W35" s="1387">
        <f t="shared" si="11"/>
        <v>100</v>
      </c>
      <c r="X35" s="1380"/>
      <c r="Y35" s="3910"/>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10"/>
      <c r="Q36" s="1385" t="str">
        <f t="shared" si="8"/>
        <v>公共部分装修</v>
      </c>
      <c r="R36" s="1386" t="s">
        <v>5</v>
      </c>
      <c r="S36" s="1387">
        <f t="shared" si="9"/>
        <v>100</v>
      </c>
      <c r="T36" s="1386" t="s">
        <v>5</v>
      </c>
      <c r="U36" s="1387">
        <f t="shared" si="10"/>
        <v>100</v>
      </c>
      <c r="V36" s="1386" t="s">
        <v>5</v>
      </c>
      <c r="W36" s="1387">
        <f t="shared" si="11"/>
        <v>100</v>
      </c>
      <c r="X36" s="1380"/>
      <c r="Y36" s="3910"/>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10"/>
      <c r="Q37" s="1385" t="str">
        <f t="shared" si="8"/>
        <v>成新度</v>
      </c>
      <c r="R37" s="1386" t="s">
        <v>5</v>
      </c>
      <c r="S37" s="1387" t="e">
        <f t="shared" si="9"/>
        <v>#N/A</v>
      </c>
      <c r="T37" s="1386" t="s">
        <v>5</v>
      </c>
      <c r="U37" s="1387" t="e">
        <f t="shared" si="10"/>
        <v>#N/A</v>
      </c>
      <c r="V37" s="1386" t="s">
        <v>5</v>
      </c>
      <c r="W37" s="1387" t="e">
        <f t="shared" si="11"/>
        <v>#N/A</v>
      </c>
      <c r="X37" s="1380"/>
      <c r="Y37" s="3910"/>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10"/>
      <c r="Q38" s="1050" t="str">
        <f t="shared" si="8"/>
        <v>写字楼等级</v>
      </c>
      <c r="R38" s="1381" t="s">
        <v>5</v>
      </c>
      <c r="S38" s="1382">
        <f t="shared" si="9"/>
        <v>100</v>
      </c>
      <c r="T38" s="1381" t="s">
        <v>5</v>
      </c>
      <c r="U38" s="1382">
        <f t="shared" si="10"/>
        <v>100</v>
      </c>
      <c r="V38" s="1381" t="s">
        <v>5</v>
      </c>
      <c r="W38" s="1382">
        <f t="shared" si="11"/>
        <v>100</v>
      </c>
      <c r="X38" s="1383"/>
      <c r="Y38" s="3910"/>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10" t="s">
        <v>499</v>
      </c>
      <c r="Q39" s="1385" t="str">
        <f t="shared" si="8"/>
        <v>物业管理</v>
      </c>
      <c r="R39" s="1386" t="s">
        <v>5</v>
      </c>
      <c r="S39" s="1387">
        <f t="shared" si="9"/>
        <v>100</v>
      </c>
      <c r="T39" s="1386" t="s">
        <v>5</v>
      </c>
      <c r="U39" s="1387">
        <f t="shared" si="10"/>
        <v>100</v>
      </c>
      <c r="V39" s="1386" t="s">
        <v>5</v>
      </c>
      <c r="W39" s="1387">
        <f t="shared" si="11"/>
        <v>100</v>
      </c>
      <c r="X39" s="1380"/>
      <c r="Y39" s="3910"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10"/>
      <c r="Q40" s="1385" t="str">
        <f t="shared" si="8"/>
        <v>市政基础设施</v>
      </c>
      <c r="R40" s="1386" t="s">
        <v>5</v>
      </c>
      <c r="S40" s="1387">
        <f t="shared" si="9"/>
        <v>100</v>
      </c>
      <c r="T40" s="1386" t="s">
        <v>5</v>
      </c>
      <c r="U40" s="1387">
        <f t="shared" si="10"/>
        <v>100</v>
      </c>
      <c r="V40" s="1386" t="s">
        <v>5</v>
      </c>
      <c r="W40" s="1387">
        <f t="shared" si="11"/>
        <v>100</v>
      </c>
      <c r="X40" s="1380"/>
      <c r="Y40" s="3910"/>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10"/>
      <c r="Q41" s="1385" t="str">
        <f t="shared" si="8"/>
        <v>层高</v>
      </c>
      <c r="R41" s="1386" t="s">
        <v>5</v>
      </c>
      <c r="S41" s="1387">
        <f t="shared" si="9"/>
        <v>100</v>
      </c>
      <c r="T41" s="1386" t="s">
        <v>5</v>
      </c>
      <c r="U41" s="1387">
        <f t="shared" si="10"/>
        <v>100</v>
      </c>
      <c r="V41" s="1386" t="s">
        <v>5</v>
      </c>
      <c r="W41" s="1387">
        <f t="shared" si="11"/>
        <v>100</v>
      </c>
      <c r="X41" s="1380"/>
      <c r="Y41" s="3910"/>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10"/>
      <c r="Q42" s="1414" t="str">
        <f t="shared" si="8"/>
        <v>单套建筑面积</v>
      </c>
      <c r="R42" s="1390" t="s">
        <v>5</v>
      </c>
      <c r="S42" s="1391">
        <f t="shared" si="9"/>
        <v>100</v>
      </c>
      <c r="T42" s="1390" t="s">
        <v>5</v>
      </c>
      <c r="U42" s="1391">
        <f t="shared" si="10"/>
        <v>100</v>
      </c>
      <c r="V42" s="1390" t="s">
        <v>5</v>
      </c>
      <c r="W42" s="1391">
        <f t="shared" si="11"/>
        <v>100</v>
      </c>
      <c r="X42" s="1392"/>
      <c r="Y42" s="3910"/>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10"/>
      <c r="Q43" s="1385" t="str">
        <f t="shared" si="8"/>
        <v>内部装修</v>
      </c>
      <c r="R43" s="1386" t="s">
        <v>5</v>
      </c>
      <c r="S43" s="1387">
        <f t="shared" si="9"/>
        <v>100</v>
      </c>
      <c r="T43" s="1386" t="s">
        <v>5</v>
      </c>
      <c r="U43" s="1387">
        <f t="shared" si="10"/>
        <v>100</v>
      </c>
      <c r="V43" s="1386" t="s">
        <v>5</v>
      </c>
      <c r="W43" s="1387">
        <f t="shared" si="11"/>
        <v>100</v>
      </c>
      <c r="X43" s="1380"/>
      <c r="Y43" s="3910"/>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10"/>
      <c r="Q44" s="1385" t="str">
        <f t="shared" si="8"/>
        <v>内部装修维护情况</v>
      </c>
      <c r="R44" s="1386" t="s">
        <v>5</v>
      </c>
      <c r="S44" s="1387">
        <f t="shared" si="9"/>
        <v>100</v>
      </c>
      <c r="T44" s="1386" t="s">
        <v>5</v>
      </c>
      <c r="U44" s="1387">
        <f t="shared" si="10"/>
        <v>100</v>
      </c>
      <c r="V44" s="1386" t="s">
        <v>5</v>
      </c>
      <c r="W44" s="1387">
        <f t="shared" si="11"/>
        <v>100</v>
      </c>
      <c r="X44" s="1380"/>
      <c r="Y44" s="391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10"/>
      <c r="Q45" s="1050">
        <f t="shared" si="8"/>
        <v>111</v>
      </c>
      <c r="R45" s="1381" t="s">
        <v>5</v>
      </c>
      <c r="S45" s="1382">
        <f t="shared" si="9"/>
        <v>100</v>
      </c>
      <c r="T45" s="1381" t="s">
        <v>5</v>
      </c>
      <c r="U45" s="1382">
        <f t="shared" si="10"/>
        <v>100</v>
      </c>
      <c r="V45" s="1381" t="s">
        <v>5</v>
      </c>
      <c r="W45" s="1382">
        <f t="shared" si="11"/>
        <v>100</v>
      </c>
      <c r="X45" s="1383"/>
      <c r="Y45" s="391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10"/>
      <c r="Q46" s="1385">
        <f t="shared" si="8"/>
        <v>111</v>
      </c>
      <c r="R46" s="1386" t="s">
        <v>5</v>
      </c>
      <c r="S46" s="1387">
        <f t="shared" si="9"/>
        <v>100</v>
      </c>
      <c r="T46" s="1386" t="s">
        <v>5</v>
      </c>
      <c r="U46" s="1387">
        <f t="shared" si="10"/>
        <v>100</v>
      </c>
      <c r="V46" s="1386" t="s">
        <v>5</v>
      </c>
      <c r="W46" s="1387">
        <f t="shared" si="11"/>
        <v>100</v>
      </c>
      <c r="X46" s="1380"/>
      <c r="Y46" s="3910"/>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2"/>
      <c r="Q47" s="1385">
        <f t="shared" si="8"/>
        <v>111</v>
      </c>
      <c r="R47" s="1386" t="s">
        <v>5</v>
      </c>
      <c r="S47" s="1387">
        <f t="shared" si="9"/>
        <v>100</v>
      </c>
      <c r="T47" s="1386" t="s">
        <v>5</v>
      </c>
      <c r="U47" s="1387">
        <f t="shared" si="10"/>
        <v>100</v>
      </c>
      <c r="V47" s="1386" t="s">
        <v>5</v>
      </c>
      <c r="W47" s="1387">
        <f t="shared" si="11"/>
        <v>100</v>
      </c>
      <c r="X47" s="1380"/>
      <c r="Y47" s="4022"/>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12" t="str">
        <f>A48</f>
        <v>成交单价（元/平方米）</v>
      </c>
      <c r="Q48" s="3905"/>
      <c r="R48" s="4021">
        <f>E48</f>
        <v>0</v>
      </c>
      <c r="S48" s="4021"/>
      <c r="T48" s="4021">
        <f>G48</f>
        <v>0</v>
      </c>
      <c r="U48" s="4021"/>
      <c r="V48" s="4021">
        <f>I48</f>
        <v>0</v>
      </c>
      <c r="W48" s="4021"/>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12" t="str">
        <f>A49</f>
        <v>比较价格（元/平方米）</v>
      </c>
      <c r="Q49" s="3905"/>
      <c r="R49" s="4021" t="e">
        <f>IF(F1="售价",ROUND(PRODUCT(R48,AA7:AA47),0),ROUND(PRODUCT(R48,AA7:AA47),1))</f>
        <v>#DIV/0!</v>
      </c>
      <c r="S49" s="4021"/>
      <c r="T49" s="4021" t="e">
        <f>IF(F1="售价",ROUND(PRODUCT(T48,AB7:AB47),0),ROUND(PRODUCT(T48,AB7:AB47),1))</f>
        <v>#DIV/0!</v>
      </c>
      <c r="U49" s="4021"/>
      <c r="V49" s="4021" t="e">
        <f>IF(F1="售价",ROUND(PRODUCT(V48,AC7:AC47),0),ROUND(PRODUCT(V48,AC7:AC47),1))</f>
        <v>#DIV/0!</v>
      </c>
      <c r="W49" s="4021"/>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4026" t="str">
        <f>A50</f>
        <v>估价对象XX用房的比较价格（楼面单价，元/平方米）</v>
      </c>
      <c r="Q50" s="3912"/>
      <c r="R50" s="4020" t="e">
        <f>IF(F1="售价",ROUND(IF(D49="简单平均",AVERAGE(R49:V49),R49*F49+T49*H49+V49*J49),0),ROUND(IF(D49="简单平均",AVERAGE(R49:V49),R49*F49+T49*H49+V49*J49),1))</f>
        <v>#DIV/0!</v>
      </c>
      <c r="S50" s="4020"/>
      <c r="T50" s="4020"/>
      <c r="U50" s="4020"/>
      <c r="V50" s="4020"/>
      <c r="W50" s="4020"/>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2025-7</v>
      </c>
      <c r="D59" s="2284">
        <f>EDATE(C59,-1)</f>
        <v>45809</v>
      </c>
      <c r="E59" s="2284">
        <f t="shared" ref="E59:O59" si="13">EDATE(D59,-1)</f>
        <v>45778</v>
      </c>
      <c r="F59" s="2284">
        <f t="shared" si="13"/>
        <v>45748</v>
      </c>
      <c r="G59" s="2284">
        <f t="shared" si="13"/>
        <v>45717</v>
      </c>
      <c r="H59" s="2284">
        <f t="shared" si="13"/>
        <v>45689</v>
      </c>
      <c r="I59" s="2284">
        <f t="shared" si="13"/>
        <v>45658</v>
      </c>
      <c r="J59" s="2284">
        <f t="shared" si="13"/>
        <v>45627</v>
      </c>
      <c r="K59" s="2284">
        <f t="shared" si="13"/>
        <v>45597</v>
      </c>
      <c r="L59" s="2284">
        <f t="shared" si="13"/>
        <v>45566</v>
      </c>
      <c r="M59" s="2284">
        <f t="shared" si="13"/>
        <v>45536</v>
      </c>
      <c r="N59" s="2284">
        <f t="shared" si="13"/>
        <v>45505</v>
      </c>
      <c r="O59" s="2284">
        <f t="shared" si="13"/>
        <v>45474</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13878.77平方米。根据《建设工程规划许可证》[]、《出让合同》[]，估价对象规划建筑面积为1993.1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根据《国有土地使用证》[]，估价对象（分摊）出让国有建设用地使用权面积为13878.77平方米。根据《建设工程规划许可证》[]、《出让合同》[]，估价对象规划建筑面积为1993.1平方米。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913" t="s">
        <v>471</v>
      </c>
      <c r="D4" s="3914"/>
      <c r="E4" s="3935" t="s">
        <v>472</v>
      </c>
      <c r="F4" s="3936"/>
      <c r="G4" s="3913" t="s">
        <v>473</v>
      </c>
      <c r="H4" s="3914"/>
      <c r="I4" s="3913" t="s">
        <v>474</v>
      </c>
      <c r="J4" s="3914"/>
      <c r="K4" s="484" t="s">
        <v>475</v>
      </c>
      <c r="L4" s="1856"/>
      <c r="M4" s="1857"/>
      <c r="N4" s="1857"/>
      <c r="O4" s="1857"/>
      <c r="P4" s="3915" t="s">
        <v>476</v>
      </c>
      <c r="Q4" s="3916"/>
      <c r="R4" s="3899" t="s">
        <v>472</v>
      </c>
      <c r="S4" s="3900"/>
      <c r="T4" s="3899" t="s">
        <v>473</v>
      </c>
      <c r="U4" s="3900"/>
      <c r="V4" s="3921" t="s">
        <v>474</v>
      </c>
      <c r="W4" s="3921"/>
      <c r="X4" s="1380"/>
      <c r="Y4" s="3899" t="s">
        <v>476</v>
      </c>
      <c r="Z4" s="3900"/>
      <c r="AA4" s="3894" t="s">
        <v>472</v>
      </c>
      <c r="AB4" s="3895" t="s">
        <v>473</v>
      </c>
      <c r="AC4" s="3894" t="s">
        <v>474</v>
      </c>
    </row>
    <row r="5" spans="1:29">
      <c r="A5" s="485"/>
      <c r="B5" s="486"/>
      <c r="C5" s="3924" t="s">
        <v>2192</v>
      </c>
      <c r="D5" s="3925"/>
      <c r="E5" s="4019" t="s">
        <v>2193</v>
      </c>
      <c r="F5" s="3938"/>
      <c r="G5" s="3924" t="s">
        <v>2194</v>
      </c>
      <c r="H5" s="3925"/>
      <c r="I5" s="3924" t="s">
        <v>2195</v>
      </c>
      <c r="J5" s="3925"/>
      <c r="K5" s="484"/>
      <c r="L5" s="1856"/>
      <c r="M5" s="1857"/>
      <c r="N5" s="1857"/>
      <c r="O5" s="1857"/>
      <c r="P5" s="3917"/>
      <c r="Q5" s="3918"/>
      <c r="R5" s="3901"/>
      <c r="S5" s="3902"/>
      <c r="T5" s="3901"/>
      <c r="U5" s="3902"/>
      <c r="V5" s="3921"/>
      <c r="W5" s="3921"/>
      <c r="X5" s="1380"/>
      <c r="Y5" s="3901"/>
      <c r="Z5" s="3902"/>
      <c r="AA5" s="3895"/>
      <c r="AB5" s="3895"/>
      <c r="AC5" s="3895"/>
    </row>
    <row r="6" spans="1:29" ht="15" thickBot="1">
      <c r="A6" s="487"/>
      <c r="B6" s="488"/>
      <c r="C6" s="3922" t="s">
        <v>2196</v>
      </c>
      <c r="D6" s="3923"/>
      <c r="E6" s="3940" t="s">
        <v>2196</v>
      </c>
      <c r="F6" s="3941"/>
      <c r="G6" s="3922" t="s">
        <v>2196</v>
      </c>
      <c r="H6" s="3923"/>
      <c r="I6" s="3922" t="s">
        <v>2196</v>
      </c>
      <c r="J6" s="3923"/>
      <c r="K6" s="484" t="s">
        <v>477</v>
      </c>
      <c r="L6" s="1856"/>
      <c r="M6" s="1857"/>
      <c r="N6" s="1857"/>
      <c r="O6" s="1857"/>
      <c r="P6" s="3919"/>
      <c r="Q6" s="3920"/>
      <c r="R6" s="3901"/>
      <c r="S6" s="3902"/>
      <c r="T6" s="3903"/>
      <c r="U6" s="3904"/>
      <c r="V6" s="3921"/>
      <c r="W6" s="3921"/>
      <c r="X6" s="1380"/>
      <c r="Y6" s="3903"/>
      <c r="Z6" s="3904"/>
      <c r="AA6" s="3896"/>
      <c r="AB6" s="3896"/>
      <c r="AC6" s="3896"/>
    </row>
    <row r="7" spans="1:29" s="1118" customFormat="1" ht="15" thickBot="1">
      <c r="A7" s="2392"/>
      <c r="B7" s="2399" t="s">
        <v>478</v>
      </c>
      <c r="C7" s="489">
        <f>'数据-取费表'!B2</f>
        <v>45839</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97" t="s">
        <v>479</v>
      </c>
      <c r="Q7" s="3906"/>
      <c r="R7" s="1381" t="s">
        <v>5</v>
      </c>
      <c r="S7" s="1382">
        <f t="shared" ref="S7:S15" si="0">F7</f>
        <v>0</v>
      </c>
      <c r="T7" s="1381" t="s">
        <v>5</v>
      </c>
      <c r="U7" s="1382">
        <f t="shared" ref="U7:U15" si="1">H7</f>
        <v>0</v>
      </c>
      <c r="V7" s="1381" t="s">
        <v>5</v>
      </c>
      <c r="W7" s="1382">
        <f t="shared" ref="W7:W15" si="2">J7</f>
        <v>0</v>
      </c>
      <c r="X7" s="1383"/>
      <c r="Y7" s="3897" t="s">
        <v>479</v>
      </c>
      <c r="Z7" s="3898"/>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7" t="s">
        <v>482</v>
      </c>
      <c r="Q8" s="3898"/>
      <c r="R8" s="1381" t="s">
        <v>5</v>
      </c>
      <c r="S8" s="1382">
        <f t="shared" si="0"/>
        <v>0</v>
      </c>
      <c r="T8" s="1381" t="s">
        <v>5</v>
      </c>
      <c r="U8" s="1382">
        <f t="shared" si="1"/>
        <v>0</v>
      </c>
      <c r="V8" s="1381" t="s">
        <v>5</v>
      </c>
      <c r="W8" s="1382">
        <f t="shared" si="2"/>
        <v>0</v>
      </c>
      <c r="X8" s="1383"/>
      <c r="Y8" s="3897" t="s">
        <v>482</v>
      </c>
      <c r="Z8" s="3898"/>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05" t="s">
        <v>484</v>
      </c>
      <c r="Q9" s="1050" t="str">
        <f t="shared" ref="Q9:Q15" si="6">B9</f>
        <v>用途</v>
      </c>
      <c r="R9" s="1381" t="s">
        <v>5</v>
      </c>
      <c r="S9" s="1382">
        <f t="shared" si="0"/>
        <v>100</v>
      </c>
      <c r="T9" s="1381" t="s">
        <v>5</v>
      </c>
      <c r="U9" s="1382">
        <f t="shared" si="1"/>
        <v>100</v>
      </c>
      <c r="V9" s="1381" t="s">
        <v>5</v>
      </c>
      <c r="W9" s="1382">
        <f t="shared" si="2"/>
        <v>100</v>
      </c>
      <c r="X9" s="1383"/>
      <c r="Y9" s="3851"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05"/>
      <c r="Q11" s="1050" t="str">
        <f t="shared" si="6"/>
        <v>容积率</v>
      </c>
      <c r="R11" s="1381" t="s">
        <v>5</v>
      </c>
      <c r="S11" s="1382" t="e">
        <f t="shared" si="0"/>
        <v>#N/A</v>
      </c>
      <c r="T11" s="1381" t="s">
        <v>5</v>
      </c>
      <c r="U11" s="1382" t="e">
        <f t="shared" si="1"/>
        <v>#N/A</v>
      </c>
      <c r="V11" s="1381" t="s">
        <v>5</v>
      </c>
      <c r="W11" s="1382" t="e">
        <f t="shared" si="2"/>
        <v>#N/A</v>
      </c>
      <c r="X11" s="1383"/>
      <c r="Y11" s="385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05"/>
      <c r="Q12" s="1050">
        <f t="shared" si="6"/>
        <v>111</v>
      </c>
      <c r="R12" s="1381" t="s">
        <v>5</v>
      </c>
      <c r="S12" s="1382">
        <f t="shared" si="0"/>
        <v>100</v>
      </c>
      <c r="T12" s="1381" t="s">
        <v>5</v>
      </c>
      <c r="U12" s="1382">
        <f t="shared" si="1"/>
        <v>100</v>
      </c>
      <c r="V12" s="1381" t="s">
        <v>5</v>
      </c>
      <c r="W12" s="1382">
        <f t="shared" si="2"/>
        <v>100</v>
      </c>
      <c r="X12" s="1383"/>
      <c r="Y12" s="385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05"/>
      <c r="Q13" s="1050">
        <f t="shared" si="6"/>
        <v>111</v>
      </c>
      <c r="R13" s="1381" t="s">
        <v>5</v>
      </c>
      <c r="S13" s="1382">
        <f t="shared" si="0"/>
        <v>100</v>
      </c>
      <c r="T13" s="1381" t="s">
        <v>5</v>
      </c>
      <c r="U13" s="1382">
        <f t="shared" si="1"/>
        <v>100</v>
      </c>
      <c r="V13" s="1381" t="s">
        <v>5</v>
      </c>
      <c r="W13" s="1382">
        <f t="shared" si="2"/>
        <v>100</v>
      </c>
      <c r="X13" s="1383"/>
      <c r="Y13" s="3851"/>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05"/>
      <c r="Q14" s="1050">
        <f t="shared" si="6"/>
        <v>111</v>
      </c>
      <c r="R14" s="1381" t="s">
        <v>5</v>
      </c>
      <c r="S14" s="1382">
        <f t="shared" si="0"/>
        <v>100</v>
      </c>
      <c r="T14" s="1381" t="s">
        <v>5</v>
      </c>
      <c r="U14" s="1382">
        <f t="shared" si="1"/>
        <v>100</v>
      </c>
      <c r="V14" s="1381" t="s">
        <v>5</v>
      </c>
      <c r="W14" s="1382">
        <f t="shared" si="2"/>
        <v>100</v>
      </c>
      <c r="X14" s="1383"/>
      <c r="Y14" s="3851"/>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07" t="s">
        <v>489</v>
      </c>
      <c r="Q15" s="1385" t="str">
        <f t="shared" si="6"/>
        <v>产业集聚程度</v>
      </c>
      <c r="R15" s="1386" t="s">
        <v>5</v>
      </c>
      <c r="S15" s="1387">
        <f t="shared" si="0"/>
        <v>100</v>
      </c>
      <c r="T15" s="1386" t="s">
        <v>5</v>
      </c>
      <c r="U15" s="1387">
        <f t="shared" si="1"/>
        <v>100</v>
      </c>
      <c r="V15" s="1386" t="s">
        <v>5</v>
      </c>
      <c r="W15" s="1387">
        <f t="shared" si="2"/>
        <v>100</v>
      </c>
      <c r="X15" s="1380"/>
      <c r="Y15" s="3907"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8"/>
      <c r="Q16" s="1385"/>
      <c r="R16" s="1386"/>
      <c r="S16" s="1387"/>
      <c r="T16" s="1386"/>
      <c r="U16" s="1387"/>
      <c r="V16" s="1386"/>
      <c r="W16" s="1387"/>
      <c r="X16" s="1380"/>
      <c r="Y16" s="3908"/>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08"/>
      <c r="Q17" s="1385" t="str">
        <f>B17</f>
        <v>交通便捷度</v>
      </c>
      <c r="R17" s="1386" t="s">
        <v>5</v>
      </c>
      <c r="S17" s="1387">
        <f>F17</f>
        <v>100</v>
      </c>
      <c r="T17" s="1386" t="s">
        <v>5</v>
      </c>
      <c r="U17" s="1387">
        <f>H17</f>
        <v>100</v>
      </c>
      <c r="V17" s="1386" t="s">
        <v>5</v>
      </c>
      <c r="W17" s="1387">
        <f>J17</f>
        <v>100</v>
      </c>
      <c r="X17" s="1380"/>
      <c r="Y17" s="390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8"/>
      <c r="Q18" s="1385"/>
      <c r="R18" s="1386"/>
      <c r="S18" s="1387"/>
      <c r="T18" s="1386"/>
      <c r="U18" s="1387"/>
      <c r="V18" s="1386"/>
      <c r="W18" s="1387"/>
      <c r="X18" s="1380"/>
      <c r="Y18" s="3908"/>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08"/>
      <c r="Q19" s="1385" t="str">
        <f>B19</f>
        <v>公共配套设施</v>
      </c>
      <c r="R19" s="1386" t="s">
        <v>5</v>
      </c>
      <c r="S19" s="1387">
        <f>F19</f>
        <v>100</v>
      </c>
      <c r="T19" s="1386" t="s">
        <v>5</v>
      </c>
      <c r="U19" s="1387">
        <f>H19</f>
        <v>100</v>
      </c>
      <c r="V19" s="1386" t="s">
        <v>5</v>
      </c>
      <c r="W19" s="1387">
        <f>J19</f>
        <v>100</v>
      </c>
      <c r="X19" s="1380"/>
      <c r="Y19" s="390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08"/>
      <c r="Q20" s="1385"/>
      <c r="R20" s="1386"/>
      <c r="S20" s="1387"/>
      <c r="T20" s="1386"/>
      <c r="U20" s="1387"/>
      <c r="V20" s="1386"/>
      <c r="W20" s="1387"/>
      <c r="X20" s="1380"/>
      <c r="Y20" s="3908"/>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08"/>
      <c r="Q21" s="2193" t="str">
        <f>B21</f>
        <v>基础设施水平</v>
      </c>
      <c r="R21" s="1386" t="s">
        <v>5</v>
      </c>
      <c r="S21" s="1387">
        <f>F21</f>
        <v>100</v>
      </c>
      <c r="T21" s="1386" t="s">
        <v>5</v>
      </c>
      <c r="U21" s="1387">
        <f>H21</f>
        <v>100</v>
      </c>
      <c r="V21" s="1386" t="s">
        <v>5</v>
      </c>
      <c r="W21" s="1387">
        <f>J21</f>
        <v>100</v>
      </c>
      <c r="X21" s="2195"/>
      <c r="Y21" s="3908"/>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08"/>
      <c r="Q22" s="2193"/>
      <c r="R22" s="1386"/>
      <c r="S22" s="1387"/>
      <c r="T22" s="1386"/>
      <c r="U22" s="1387"/>
      <c r="V22" s="1386"/>
      <c r="W22" s="1387"/>
      <c r="X22" s="2195"/>
      <c r="Y22" s="3908"/>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08"/>
      <c r="Q23" s="1385" t="str">
        <f>B23</f>
        <v>环境质量</v>
      </c>
      <c r="R23" s="1386" t="s">
        <v>5</v>
      </c>
      <c r="S23" s="1387">
        <f>F23</f>
        <v>100</v>
      </c>
      <c r="T23" s="1386" t="s">
        <v>5</v>
      </c>
      <c r="U23" s="1387">
        <f>H23</f>
        <v>100</v>
      </c>
      <c r="V23" s="1386" t="s">
        <v>5</v>
      </c>
      <c r="W23" s="1387">
        <f>J23</f>
        <v>100</v>
      </c>
      <c r="X23" s="1380"/>
      <c r="Y23" s="390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08"/>
      <c r="Q24" s="1385"/>
      <c r="R24" s="1386"/>
      <c r="S24" s="1387"/>
      <c r="T24" s="1386"/>
      <c r="U24" s="1387"/>
      <c r="V24" s="1386"/>
      <c r="W24" s="1387"/>
      <c r="X24" s="1380"/>
      <c r="Y24" s="390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08"/>
      <c r="Q25" s="1385">
        <f>B25</f>
        <v>111</v>
      </c>
      <c r="R25" s="1386" t="s">
        <v>5</v>
      </c>
      <c r="S25" s="1387">
        <f>F25</f>
        <v>100</v>
      </c>
      <c r="T25" s="1386" t="s">
        <v>5</v>
      </c>
      <c r="U25" s="1387">
        <f>H25</f>
        <v>100</v>
      </c>
      <c r="V25" s="1386" t="s">
        <v>5</v>
      </c>
      <c r="W25" s="1387">
        <f>J25</f>
        <v>100</v>
      </c>
      <c r="X25" s="1380"/>
      <c r="Y25" s="390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08"/>
      <c r="Q26" s="1385">
        <f t="shared" ref="Q26:Q40" si="8">B26</f>
        <v>111</v>
      </c>
      <c r="R26" s="1386" t="s">
        <v>5</v>
      </c>
      <c r="S26" s="1387">
        <f>F26</f>
        <v>100</v>
      </c>
      <c r="T26" s="1386" t="s">
        <v>5</v>
      </c>
      <c r="U26" s="1387">
        <f>H26</f>
        <v>100</v>
      </c>
      <c r="V26" s="1386" t="s">
        <v>5</v>
      </c>
      <c r="W26" s="1387">
        <f>J26</f>
        <v>100</v>
      </c>
      <c r="X26" s="1380"/>
      <c r="Y26" s="390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08"/>
      <c r="Q27" s="1050">
        <f t="shared" si="8"/>
        <v>111</v>
      </c>
      <c r="R27" s="1381" t="s">
        <v>5</v>
      </c>
      <c r="S27" s="1382">
        <f>F27</f>
        <v>100</v>
      </c>
      <c r="T27" s="1381" t="s">
        <v>5</v>
      </c>
      <c r="U27" s="1382">
        <f>H27</f>
        <v>100</v>
      </c>
      <c r="V27" s="1381" t="s">
        <v>5</v>
      </c>
      <c r="W27" s="1382">
        <f>J27</f>
        <v>100</v>
      </c>
      <c r="X27" s="1383"/>
      <c r="Y27" s="3908"/>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08"/>
      <c r="Q28" s="1385">
        <f t="shared" si="8"/>
        <v>111</v>
      </c>
      <c r="R28" s="1386" t="s">
        <v>5</v>
      </c>
      <c r="S28" s="1387">
        <f t="shared" ref="S28:S40" si="9">F28</f>
        <v>100</v>
      </c>
      <c r="T28" s="1386" t="s">
        <v>5</v>
      </c>
      <c r="U28" s="1387">
        <f t="shared" ref="U28:U40" si="10">H28</f>
        <v>100</v>
      </c>
      <c r="V28" s="1386" t="s">
        <v>5</v>
      </c>
      <c r="W28" s="1387">
        <f t="shared" ref="W28:W40" si="11">J28</f>
        <v>100</v>
      </c>
      <c r="X28" s="1380"/>
      <c r="Y28" s="3908"/>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9" t="s">
        <v>499</v>
      </c>
      <c r="Q29" s="1385" t="str">
        <f t="shared" si="8"/>
        <v>建筑类型</v>
      </c>
      <c r="R29" s="1386" t="s">
        <v>5</v>
      </c>
      <c r="S29" s="1387">
        <f t="shared" si="9"/>
        <v>100</v>
      </c>
      <c r="T29" s="1386" t="s">
        <v>5</v>
      </c>
      <c r="U29" s="1387">
        <f t="shared" si="10"/>
        <v>100</v>
      </c>
      <c r="V29" s="1386" t="s">
        <v>5</v>
      </c>
      <c r="W29" s="1387">
        <f t="shared" si="11"/>
        <v>100</v>
      </c>
      <c r="X29" s="1380"/>
      <c r="Y29" s="3910"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10"/>
      <c r="Q30" s="1414" t="str">
        <f t="shared" si="8"/>
        <v>项目建筑规模</v>
      </c>
      <c r="R30" s="1390" t="s">
        <v>5</v>
      </c>
      <c r="S30" s="1391" t="e">
        <f t="shared" si="9"/>
        <v>#N/A</v>
      </c>
      <c r="T30" s="1390" t="s">
        <v>5</v>
      </c>
      <c r="U30" s="1391" t="e">
        <f t="shared" si="10"/>
        <v>#N/A</v>
      </c>
      <c r="V30" s="1390" t="s">
        <v>5</v>
      </c>
      <c r="W30" s="1391" t="e">
        <f t="shared" si="11"/>
        <v>#N/A</v>
      </c>
      <c r="X30" s="1392"/>
      <c r="Y30" s="3910"/>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10"/>
      <c r="Q31" s="1385" t="str">
        <f t="shared" si="8"/>
        <v>建筑结构</v>
      </c>
      <c r="R31" s="1386" t="s">
        <v>5</v>
      </c>
      <c r="S31" s="1387">
        <f t="shared" si="9"/>
        <v>100</v>
      </c>
      <c r="T31" s="1386" t="s">
        <v>5</v>
      </c>
      <c r="U31" s="1387">
        <f t="shared" si="10"/>
        <v>100</v>
      </c>
      <c r="V31" s="1386" t="s">
        <v>5</v>
      </c>
      <c r="W31" s="1387">
        <f t="shared" si="11"/>
        <v>100</v>
      </c>
      <c r="X31" s="1380"/>
      <c r="Y31" s="3910"/>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10"/>
      <c r="Q32" s="1385" t="str">
        <f t="shared" si="8"/>
        <v>公共部分装修</v>
      </c>
      <c r="R32" s="1386" t="s">
        <v>5</v>
      </c>
      <c r="S32" s="1387">
        <f t="shared" si="9"/>
        <v>100</v>
      </c>
      <c r="T32" s="1386" t="s">
        <v>5</v>
      </c>
      <c r="U32" s="1387">
        <f t="shared" si="10"/>
        <v>100</v>
      </c>
      <c r="V32" s="1386" t="s">
        <v>5</v>
      </c>
      <c r="W32" s="1387">
        <f t="shared" si="11"/>
        <v>100</v>
      </c>
      <c r="X32" s="1380"/>
      <c r="Y32" s="3910"/>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10"/>
      <c r="Q33" s="1385" t="str">
        <f t="shared" si="8"/>
        <v>成新度</v>
      </c>
      <c r="R33" s="1386" t="s">
        <v>5</v>
      </c>
      <c r="S33" s="1387" t="e">
        <f t="shared" si="9"/>
        <v>#N/A</v>
      </c>
      <c r="T33" s="1386" t="s">
        <v>5</v>
      </c>
      <c r="U33" s="1387" t="e">
        <f t="shared" si="10"/>
        <v>#N/A</v>
      </c>
      <c r="V33" s="1386" t="s">
        <v>5</v>
      </c>
      <c r="W33" s="1387" t="e">
        <f t="shared" si="11"/>
        <v>#N/A</v>
      </c>
      <c r="X33" s="1380"/>
      <c r="Y33" s="3910"/>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10"/>
      <c r="Q34" s="1050" t="str">
        <f t="shared" si="8"/>
        <v>物业管理</v>
      </c>
      <c r="R34" s="1381" t="s">
        <v>5</v>
      </c>
      <c r="S34" s="1382">
        <f t="shared" si="9"/>
        <v>100</v>
      </c>
      <c r="T34" s="1381" t="s">
        <v>5</v>
      </c>
      <c r="U34" s="1382">
        <f t="shared" si="10"/>
        <v>100</v>
      </c>
      <c r="V34" s="1381" t="s">
        <v>5</v>
      </c>
      <c r="W34" s="1382">
        <f t="shared" si="11"/>
        <v>100</v>
      </c>
      <c r="X34" s="1383"/>
      <c r="Y34" s="3910"/>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10" t="s">
        <v>499</v>
      </c>
      <c r="Q35" s="1385" t="str">
        <f t="shared" si="8"/>
        <v>市政基础设施</v>
      </c>
      <c r="R35" s="1386" t="s">
        <v>5</v>
      </c>
      <c r="S35" s="1387">
        <f t="shared" si="9"/>
        <v>100</v>
      </c>
      <c r="T35" s="1386" t="s">
        <v>5</v>
      </c>
      <c r="U35" s="1387">
        <f t="shared" si="10"/>
        <v>100</v>
      </c>
      <c r="V35" s="1386" t="s">
        <v>5</v>
      </c>
      <c r="W35" s="1387">
        <f t="shared" si="11"/>
        <v>100</v>
      </c>
      <c r="X35" s="1380"/>
      <c r="Y35" s="3910"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10"/>
      <c r="Q36" s="1385" t="str">
        <f t="shared" si="8"/>
        <v>内部装修</v>
      </c>
      <c r="R36" s="1386" t="s">
        <v>5</v>
      </c>
      <c r="S36" s="1387">
        <f t="shared" si="9"/>
        <v>100</v>
      </c>
      <c r="T36" s="1386" t="s">
        <v>5</v>
      </c>
      <c r="U36" s="1387">
        <f t="shared" si="10"/>
        <v>100</v>
      </c>
      <c r="V36" s="1386" t="s">
        <v>5</v>
      </c>
      <c r="W36" s="1387">
        <f t="shared" si="11"/>
        <v>100</v>
      </c>
      <c r="X36" s="1380"/>
      <c r="Y36" s="3910"/>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10"/>
      <c r="Q37" s="1385" t="str">
        <f t="shared" si="8"/>
        <v>内部装修状况</v>
      </c>
      <c r="R37" s="1386" t="s">
        <v>5</v>
      </c>
      <c r="S37" s="1387">
        <f t="shared" si="9"/>
        <v>100</v>
      </c>
      <c r="T37" s="1386" t="s">
        <v>5</v>
      </c>
      <c r="U37" s="1387">
        <f t="shared" si="10"/>
        <v>100</v>
      </c>
      <c r="V37" s="1386" t="s">
        <v>5</v>
      </c>
      <c r="W37" s="1387">
        <f t="shared" si="11"/>
        <v>100</v>
      </c>
      <c r="X37" s="1380"/>
      <c r="Y37" s="391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10"/>
      <c r="Q38" s="1414">
        <f t="shared" si="8"/>
        <v>111</v>
      </c>
      <c r="R38" s="1390" t="s">
        <v>5</v>
      </c>
      <c r="S38" s="1391">
        <f t="shared" si="9"/>
        <v>100</v>
      </c>
      <c r="T38" s="1390" t="s">
        <v>5</v>
      </c>
      <c r="U38" s="1391">
        <f t="shared" si="10"/>
        <v>100</v>
      </c>
      <c r="V38" s="1390" t="s">
        <v>5</v>
      </c>
      <c r="W38" s="1391">
        <f t="shared" si="11"/>
        <v>100</v>
      </c>
      <c r="X38" s="1392"/>
      <c r="Y38" s="391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10"/>
      <c r="Q39" s="1385">
        <f t="shared" si="8"/>
        <v>111</v>
      </c>
      <c r="R39" s="1386" t="s">
        <v>5</v>
      </c>
      <c r="S39" s="1387">
        <f t="shared" si="9"/>
        <v>100</v>
      </c>
      <c r="T39" s="1386" t="s">
        <v>5</v>
      </c>
      <c r="U39" s="1387">
        <f t="shared" si="10"/>
        <v>100</v>
      </c>
      <c r="V39" s="1386" t="s">
        <v>5</v>
      </c>
      <c r="W39" s="1387">
        <f t="shared" si="11"/>
        <v>100</v>
      </c>
      <c r="X39" s="1380"/>
      <c r="Y39" s="3910"/>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2"/>
      <c r="Q40" s="1385">
        <f t="shared" si="8"/>
        <v>111</v>
      </c>
      <c r="R40" s="1386" t="s">
        <v>5</v>
      </c>
      <c r="S40" s="1387">
        <f t="shared" si="9"/>
        <v>100</v>
      </c>
      <c r="T40" s="1386" t="s">
        <v>5</v>
      </c>
      <c r="U40" s="1387">
        <f t="shared" si="10"/>
        <v>100</v>
      </c>
      <c r="V40" s="1386" t="s">
        <v>5</v>
      </c>
      <c r="W40" s="1387">
        <f t="shared" si="11"/>
        <v>100</v>
      </c>
      <c r="X40" s="1380"/>
      <c r="Y40" s="4022"/>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905" t="str">
        <f>A41</f>
        <v>成交单价（元/平方米）</v>
      </c>
      <c r="Q41" s="3905"/>
      <c r="R41" s="4021">
        <f>E41</f>
        <v>0</v>
      </c>
      <c r="S41" s="4021"/>
      <c r="T41" s="4021">
        <f>G41</f>
        <v>0</v>
      </c>
      <c r="U41" s="4021"/>
      <c r="V41" s="4021">
        <f>I41</f>
        <v>0</v>
      </c>
      <c r="W41" s="4021"/>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05" t="str">
        <f>A42</f>
        <v>比较价格（元/平方米）</v>
      </c>
      <c r="Q42" s="3905"/>
      <c r="R42" s="4021" t="e">
        <f>IF(F1="售价",ROUND(PRODUCT(R41,AA7:AA40),0),ROUND(PRODUCT(R41,AA7:AA40),1))</f>
        <v>#DIV/0!</v>
      </c>
      <c r="S42" s="4021"/>
      <c r="T42" s="4021" t="e">
        <f>IF(F1="售价",ROUND(PRODUCT(T41,AB7:AB40),0),ROUND(PRODUCT(T41,AB7:AB40),1))</f>
        <v>#DIV/0!</v>
      </c>
      <c r="U42" s="4021"/>
      <c r="V42" s="4021" t="e">
        <f>IF(F1="售价",ROUND(PRODUCT(V41,AC7:AC40),0),ROUND(PRODUCT(V41,AC7:AC40),1))</f>
        <v>#DIV/0!</v>
      </c>
      <c r="W42" s="4021"/>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11" t="str">
        <f>A43</f>
        <v>估价对象XX用房的比较价格（楼面单价，元/平方米）</v>
      </c>
      <c r="Q43" s="3912"/>
      <c r="R43" s="4020" t="e">
        <f>IF(F1="售价",ROUND(IF(D42="简单平均",AVERAGE(R42:V42),R42*F42+T42*H42+V42*J42),0),ROUND(IF(D42="简单平均",AVERAGE(R42:V42),R42*F42+T42*H42+V42*J42),1))</f>
        <v>#DIV/0!</v>
      </c>
      <c r="S43" s="4020"/>
      <c r="T43" s="4020"/>
      <c r="U43" s="4020"/>
      <c r="V43" s="4020"/>
      <c r="W43" s="4020"/>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2025-7</v>
      </c>
      <c r="D52" s="2284">
        <f>EDATE(C52,-1)</f>
        <v>45809</v>
      </c>
      <c r="E52" s="2284">
        <f t="shared" ref="E52:O52" si="13">EDATE(D52,-1)</f>
        <v>45778</v>
      </c>
      <c r="F52" s="2284">
        <f t="shared" si="13"/>
        <v>45748</v>
      </c>
      <c r="G52" s="2284">
        <f t="shared" si="13"/>
        <v>45717</v>
      </c>
      <c r="H52" s="2284">
        <f t="shared" si="13"/>
        <v>45689</v>
      </c>
      <c r="I52" s="2284">
        <f t="shared" si="13"/>
        <v>45658</v>
      </c>
      <c r="J52" s="2284">
        <f t="shared" si="13"/>
        <v>45627</v>
      </c>
      <c r="K52" s="2284">
        <f t="shared" si="13"/>
        <v>45597</v>
      </c>
      <c r="L52" s="2284">
        <f t="shared" si="13"/>
        <v>45566</v>
      </c>
      <c r="M52" s="2284">
        <f t="shared" si="13"/>
        <v>45536</v>
      </c>
      <c r="N52" s="2284">
        <f t="shared" si="13"/>
        <v>45505</v>
      </c>
      <c r="O52" s="2284">
        <f t="shared" si="13"/>
        <v>45474</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13" t="s">
        <v>738</v>
      </c>
      <c r="D4" s="3914"/>
      <c r="E4" s="3913" t="s">
        <v>739</v>
      </c>
      <c r="F4" s="3914"/>
      <c r="G4" s="3913" t="s">
        <v>740</v>
      </c>
      <c r="H4" s="3914"/>
      <c r="I4" s="3913" t="s">
        <v>741</v>
      </c>
      <c r="J4" s="3914"/>
      <c r="K4" s="484" t="s">
        <v>742</v>
      </c>
      <c r="L4" s="1856"/>
      <c r="M4" s="1857"/>
      <c r="N4" s="1857"/>
      <c r="O4" s="1857"/>
      <c r="P4" s="3915" t="s">
        <v>743</v>
      </c>
      <c r="Q4" s="3916"/>
      <c r="R4" s="3899" t="s">
        <v>739</v>
      </c>
      <c r="S4" s="3900"/>
      <c r="T4" s="3899" t="s">
        <v>740</v>
      </c>
      <c r="U4" s="3900"/>
      <c r="V4" s="3921" t="s">
        <v>741</v>
      </c>
      <c r="W4" s="3921"/>
      <c r="X4" s="1380"/>
      <c r="Y4" s="3899" t="s">
        <v>743</v>
      </c>
      <c r="Z4" s="3900"/>
      <c r="AA4" s="3894" t="s">
        <v>739</v>
      </c>
      <c r="AB4" s="3895" t="s">
        <v>740</v>
      </c>
      <c r="AC4" s="3894" t="s">
        <v>741</v>
      </c>
    </row>
    <row r="5" spans="1:29">
      <c r="A5" s="485"/>
      <c r="B5" s="486"/>
      <c r="C5" s="3924" t="s">
        <v>2192</v>
      </c>
      <c r="D5" s="3925"/>
      <c r="E5" s="3924" t="s">
        <v>2193</v>
      </c>
      <c r="F5" s="3925"/>
      <c r="G5" s="3924" t="s">
        <v>2194</v>
      </c>
      <c r="H5" s="3925"/>
      <c r="I5" s="3924" t="s">
        <v>2195</v>
      </c>
      <c r="J5" s="3925"/>
      <c r="K5" s="484"/>
      <c r="L5" s="1856"/>
      <c r="M5" s="1857"/>
      <c r="N5" s="1857"/>
      <c r="O5" s="1857"/>
      <c r="P5" s="3917"/>
      <c r="Q5" s="3918"/>
      <c r="R5" s="3901"/>
      <c r="S5" s="3902"/>
      <c r="T5" s="3901"/>
      <c r="U5" s="3902"/>
      <c r="V5" s="3921"/>
      <c r="W5" s="3921"/>
      <c r="X5" s="1380"/>
      <c r="Y5" s="3901"/>
      <c r="Z5" s="3902"/>
      <c r="AA5" s="3895"/>
      <c r="AB5" s="3895"/>
      <c r="AC5" s="3895"/>
    </row>
    <row r="6" spans="1:29" ht="15" thickBot="1">
      <c r="A6" s="487"/>
      <c r="B6" s="488"/>
      <c r="C6" s="3922" t="s">
        <v>2196</v>
      </c>
      <c r="D6" s="3923"/>
      <c r="E6" s="3926" t="s">
        <v>2196</v>
      </c>
      <c r="F6" s="3927"/>
      <c r="G6" s="3922" t="s">
        <v>2196</v>
      </c>
      <c r="H6" s="3923"/>
      <c r="I6" s="3922" t="s">
        <v>2196</v>
      </c>
      <c r="J6" s="3923"/>
      <c r="K6" s="484" t="s">
        <v>477</v>
      </c>
      <c r="L6" s="1856"/>
      <c r="M6" s="1857"/>
      <c r="N6" s="1857"/>
      <c r="O6" s="1857"/>
      <c r="P6" s="3919"/>
      <c r="Q6" s="3920"/>
      <c r="R6" s="3901"/>
      <c r="S6" s="3902"/>
      <c r="T6" s="3903"/>
      <c r="U6" s="3904"/>
      <c r="V6" s="3921"/>
      <c r="W6" s="3921"/>
      <c r="X6" s="1380"/>
      <c r="Y6" s="3903"/>
      <c r="Z6" s="3904"/>
      <c r="AA6" s="3896"/>
      <c r="AB6" s="3896"/>
      <c r="AC6" s="3896"/>
    </row>
    <row r="7" spans="1:29" s="1118" customFormat="1" ht="15" thickBot="1">
      <c r="A7" s="2392"/>
      <c r="B7" s="2399" t="s">
        <v>478</v>
      </c>
      <c r="C7" s="489">
        <f>'数据-取费表'!B2</f>
        <v>45839</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97" t="s">
        <v>479</v>
      </c>
      <c r="Q7" s="3906"/>
      <c r="R7" s="1381" t="s">
        <v>5</v>
      </c>
      <c r="S7" s="1382">
        <f t="shared" ref="S7:S14" si="0">F7</f>
        <v>0</v>
      </c>
      <c r="T7" s="1381" t="s">
        <v>5</v>
      </c>
      <c r="U7" s="1382">
        <f t="shared" ref="U7:U14" si="1">H7</f>
        <v>0</v>
      </c>
      <c r="V7" s="1381" t="s">
        <v>5</v>
      </c>
      <c r="W7" s="1382">
        <f t="shared" ref="W7:W14" si="2">J7</f>
        <v>0</v>
      </c>
      <c r="X7" s="1383"/>
      <c r="Y7" s="3897" t="s">
        <v>479</v>
      </c>
      <c r="Z7" s="3898"/>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97" t="s">
        <v>482</v>
      </c>
      <c r="Q8" s="3898"/>
      <c r="R8" s="1381" t="s">
        <v>5</v>
      </c>
      <c r="S8" s="1382">
        <f t="shared" si="0"/>
        <v>0</v>
      </c>
      <c r="T8" s="1381" t="s">
        <v>5</v>
      </c>
      <c r="U8" s="1382">
        <f t="shared" si="1"/>
        <v>0</v>
      </c>
      <c r="V8" s="1381" t="s">
        <v>5</v>
      </c>
      <c r="W8" s="1382">
        <f t="shared" si="2"/>
        <v>0</v>
      </c>
      <c r="X8" s="1383"/>
      <c r="Y8" s="3897" t="s">
        <v>482</v>
      </c>
      <c r="Z8" s="3898"/>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05" t="s">
        <v>484</v>
      </c>
      <c r="Q9" s="1050" t="str">
        <f t="shared" ref="Q9:Q14" si="6">B9</f>
        <v>用途</v>
      </c>
      <c r="R9" s="1381" t="s">
        <v>5</v>
      </c>
      <c r="S9" s="1382">
        <f t="shared" si="0"/>
        <v>100</v>
      </c>
      <c r="T9" s="1381" t="s">
        <v>5</v>
      </c>
      <c r="U9" s="1382">
        <f t="shared" si="1"/>
        <v>100</v>
      </c>
      <c r="V9" s="1381" t="s">
        <v>5</v>
      </c>
      <c r="W9" s="1382">
        <f t="shared" si="2"/>
        <v>100</v>
      </c>
      <c r="X9" s="1383"/>
      <c r="Y9" s="3851"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05"/>
      <c r="Q11" s="1050">
        <f t="shared" si="6"/>
        <v>111</v>
      </c>
      <c r="R11" s="1381" t="s">
        <v>5</v>
      </c>
      <c r="S11" s="1382">
        <f t="shared" si="0"/>
        <v>100</v>
      </c>
      <c r="T11" s="1381" t="s">
        <v>5</v>
      </c>
      <c r="U11" s="1382">
        <f t="shared" si="1"/>
        <v>100</v>
      </c>
      <c r="V11" s="1381" t="s">
        <v>5</v>
      </c>
      <c r="W11" s="1382">
        <f t="shared" si="2"/>
        <v>100</v>
      </c>
      <c r="X11" s="1383"/>
      <c r="Y11" s="385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05"/>
      <c r="Q12" s="1050">
        <f t="shared" si="6"/>
        <v>111</v>
      </c>
      <c r="R12" s="1381" t="s">
        <v>5</v>
      </c>
      <c r="S12" s="1382">
        <f t="shared" si="0"/>
        <v>100</v>
      </c>
      <c r="T12" s="1381" t="s">
        <v>5</v>
      </c>
      <c r="U12" s="1382">
        <f t="shared" si="1"/>
        <v>100</v>
      </c>
      <c r="V12" s="1381" t="s">
        <v>5</v>
      </c>
      <c r="W12" s="1382">
        <f t="shared" si="2"/>
        <v>100</v>
      </c>
      <c r="X12" s="1383"/>
      <c r="Y12" s="3851"/>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05"/>
      <c r="Q13" s="1050">
        <f t="shared" si="6"/>
        <v>111</v>
      </c>
      <c r="R13" s="1381" t="s">
        <v>5</v>
      </c>
      <c r="S13" s="1382">
        <f t="shared" si="0"/>
        <v>100</v>
      </c>
      <c r="T13" s="1381" t="s">
        <v>5</v>
      </c>
      <c r="U13" s="1382">
        <f t="shared" si="1"/>
        <v>100</v>
      </c>
      <c r="V13" s="1381" t="s">
        <v>5</v>
      </c>
      <c r="W13" s="1382">
        <f t="shared" si="2"/>
        <v>100</v>
      </c>
      <c r="X13" s="1383"/>
      <c r="Y13" s="3851"/>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07" t="s">
        <v>489</v>
      </c>
      <c r="Q14" s="1385" t="str">
        <f t="shared" si="6"/>
        <v>交通便捷度</v>
      </c>
      <c r="R14" s="1386" t="s">
        <v>5</v>
      </c>
      <c r="S14" s="1387">
        <f t="shared" si="0"/>
        <v>100</v>
      </c>
      <c r="T14" s="1386" t="s">
        <v>5</v>
      </c>
      <c r="U14" s="1387">
        <f t="shared" si="1"/>
        <v>100</v>
      </c>
      <c r="V14" s="1386" t="s">
        <v>5</v>
      </c>
      <c r="W14" s="1387">
        <f t="shared" si="2"/>
        <v>100</v>
      </c>
      <c r="X14" s="1380"/>
      <c r="Y14" s="3907"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08"/>
      <c r="Q15" s="1385"/>
      <c r="R15" s="1386"/>
      <c r="S15" s="1387"/>
      <c r="T15" s="1386"/>
      <c r="U15" s="1387"/>
      <c r="V15" s="1386"/>
      <c r="W15" s="1387"/>
      <c r="X15" s="1380"/>
      <c r="Y15" s="3908"/>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08"/>
      <c r="Q16" s="1385" t="str">
        <f>B16</f>
        <v>公共配套设施</v>
      </c>
      <c r="R16" s="1386" t="s">
        <v>5</v>
      </c>
      <c r="S16" s="1387">
        <f>F16</f>
        <v>100</v>
      </c>
      <c r="T16" s="1386" t="s">
        <v>5</v>
      </c>
      <c r="U16" s="1387">
        <f>H16</f>
        <v>100</v>
      </c>
      <c r="V16" s="1386" t="s">
        <v>5</v>
      </c>
      <c r="W16" s="1387">
        <f>J16</f>
        <v>100</v>
      </c>
      <c r="X16" s="1380"/>
      <c r="Y16" s="3908"/>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08"/>
      <c r="Q17" s="1385"/>
      <c r="R17" s="1386"/>
      <c r="S17" s="1387"/>
      <c r="T17" s="1386"/>
      <c r="U17" s="1387"/>
      <c r="V17" s="1386"/>
      <c r="W17" s="1387"/>
      <c r="X17" s="1380"/>
      <c r="Y17" s="3908"/>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08"/>
      <c r="Q18" s="2193" t="str">
        <f>B18</f>
        <v>基础设施水平</v>
      </c>
      <c r="R18" s="1386" t="s">
        <v>5</v>
      </c>
      <c r="S18" s="1387">
        <f>F18</f>
        <v>100</v>
      </c>
      <c r="T18" s="1386" t="s">
        <v>5</v>
      </c>
      <c r="U18" s="1387">
        <f>H18</f>
        <v>100</v>
      </c>
      <c r="V18" s="1386" t="s">
        <v>5</v>
      </c>
      <c r="W18" s="1387">
        <f>J18</f>
        <v>100</v>
      </c>
      <c r="X18" s="2195"/>
      <c r="Y18" s="3908"/>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08"/>
      <c r="Q19" s="2193"/>
      <c r="R19" s="1386"/>
      <c r="S19" s="1387"/>
      <c r="T19" s="1386"/>
      <c r="U19" s="1387"/>
      <c r="V19" s="1386"/>
      <c r="W19" s="1387"/>
      <c r="X19" s="2195"/>
      <c r="Y19" s="3908"/>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08"/>
      <c r="Q20" s="1385" t="str">
        <f>B20</f>
        <v>自然及人文环境</v>
      </c>
      <c r="R20" s="1386" t="s">
        <v>5</v>
      </c>
      <c r="S20" s="1387">
        <f>F20</f>
        <v>100</v>
      </c>
      <c r="T20" s="1386" t="s">
        <v>5</v>
      </c>
      <c r="U20" s="1387">
        <f>H20</f>
        <v>100</v>
      </c>
      <c r="V20" s="1386" t="s">
        <v>5</v>
      </c>
      <c r="W20" s="1387">
        <f>J20</f>
        <v>100</v>
      </c>
      <c r="X20" s="1380"/>
      <c r="Y20" s="3908"/>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08"/>
      <c r="Q21" s="1385"/>
      <c r="R21" s="1386"/>
      <c r="S21" s="1387"/>
      <c r="T21" s="1386"/>
      <c r="U21" s="1387"/>
      <c r="V21" s="1386"/>
      <c r="W21" s="1387"/>
      <c r="X21" s="1380"/>
      <c r="Y21" s="3908"/>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08"/>
      <c r="Q22" s="1385" t="str">
        <f>B22</f>
        <v>楼层</v>
      </c>
      <c r="R22" s="1386" t="s">
        <v>5</v>
      </c>
      <c r="S22" s="1387">
        <f>F22</f>
        <v>100</v>
      </c>
      <c r="T22" s="1386" t="s">
        <v>5</v>
      </c>
      <c r="U22" s="1387">
        <f>H22</f>
        <v>100</v>
      </c>
      <c r="V22" s="1386" t="s">
        <v>5</v>
      </c>
      <c r="W22" s="1387">
        <f>J22</f>
        <v>100</v>
      </c>
      <c r="X22" s="1380"/>
      <c r="Y22" s="390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08"/>
      <c r="Q23" s="1385">
        <f>B23</f>
        <v>111</v>
      </c>
      <c r="R23" s="1386" t="s">
        <v>5</v>
      </c>
      <c r="S23" s="1387">
        <f>F23</f>
        <v>100</v>
      </c>
      <c r="T23" s="1386" t="s">
        <v>5</v>
      </c>
      <c r="U23" s="1387">
        <f>H23</f>
        <v>100</v>
      </c>
      <c r="V23" s="1386" t="s">
        <v>5</v>
      </c>
      <c r="W23" s="1387">
        <f>J23</f>
        <v>100</v>
      </c>
      <c r="X23" s="1380"/>
      <c r="Y23" s="390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08"/>
      <c r="Q24" s="1385">
        <f t="shared" ref="Q24:Q36" si="8">B24</f>
        <v>111</v>
      </c>
      <c r="R24" s="1386" t="s">
        <v>5</v>
      </c>
      <c r="S24" s="1387">
        <f>F24</f>
        <v>100</v>
      </c>
      <c r="T24" s="1386" t="s">
        <v>5</v>
      </c>
      <c r="U24" s="1387">
        <f>H24</f>
        <v>100</v>
      </c>
      <c r="V24" s="1386" t="s">
        <v>5</v>
      </c>
      <c r="W24" s="1387">
        <f>J24</f>
        <v>100</v>
      </c>
      <c r="X24" s="1380"/>
      <c r="Y24" s="3908"/>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08"/>
      <c r="Q25" s="1050">
        <f t="shared" si="8"/>
        <v>111</v>
      </c>
      <c r="R25" s="1381" t="s">
        <v>5</v>
      </c>
      <c r="S25" s="1382">
        <f>F25</f>
        <v>100</v>
      </c>
      <c r="T25" s="1381" t="s">
        <v>5</v>
      </c>
      <c r="U25" s="1382">
        <f>H25</f>
        <v>100</v>
      </c>
      <c r="V25" s="1381" t="s">
        <v>5</v>
      </c>
      <c r="W25" s="1382">
        <f>J25</f>
        <v>100</v>
      </c>
      <c r="X25" s="1383"/>
      <c r="Y25" s="3908"/>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09"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10"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10"/>
      <c r="Q27" s="1414" t="str">
        <f t="shared" si="8"/>
        <v>项目停车位配比</v>
      </c>
      <c r="R27" s="1390" t="s">
        <v>5</v>
      </c>
      <c r="S27" s="1391">
        <f t="shared" si="9"/>
        <v>100</v>
      </c>
      <c r="T27" s="1390" t="s">
        <v>5</v>
      </c>
      <c r="U27" s="1391">
        <f t="shared" si="10"/>
        <v>100</v>
      </c>
      <c r="V27" s="1390" t="s">
        <v>5</v>
      </c>
      <c r="W27" s="1391">
        <f t="shared" si="11"/>
        <v>100</v>
      </c>
      <c r="X27" s="1392"/>
      <c r="Y27" s="3910"/>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10"/>
      <c r="Q28" s="1385" t="str">
        <f t="shared" si="8"/>
        <v>公共部分装修</v>
      </c>
      <c r="R28" s="1386" t="s">
        <v>5</v>
      </c>
      <c r="S28" s="1387">
        <f t="shared" si="9"/>
        <v>100</v>
      </c>
      <c r="T28" s="1386" t="s">
        <v>5</v>
      </c>
      <c r="U28" s="1387">
        <f t="shared" si="10"/>
        <v>100</v>
      </c>
      <c r="V28" s="1386" t="s">
        <v>5</v>
      </c>
      <c r="W28" s="1387">
        <f t="shared" si="11"/>
        <v>100</v>
      </c>
      <c r="X28" s="1380"/>
      <c r="Y28" s="3910"/>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10"/>
      <c r="Q29" s="1385" t="str">
        <f t="shared" si="8"/>
        <v>成新率</v>
      </c>
      <c r="R29" s="1386" t="s">
        <v>5</v>
      </c>
      <c r="S29" s="1387" t="e">
        <f t="shared" si="9"/>
        <v>#N/A</v>
      </c>
      <c r="T29" s="1386" t="s">
        <v>5</v>
      </c>
      <c r="U29" s="1387" t="e">
        <f t="shared" si="10"/>
        <v>#N/A</v>
      </c>
      <c r="V29" s="1386" t="s">
        <v>5</v>
      </c>
      <c r="W29" s="1387" t="e">
        <f t="shared" si="11"/>
        <v>#N/A</v>
      </c>
      <c r="X29" s="1380"/>
      <c r="Y29" s="3910"/>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10"/>
      <c r="Q30" s="1385" t="str">
        <f t="shared" si="8"/>
        <v>物业等级</v>
      </c>
      <c r="R30" s="1386" t="s">
        <v>5</v>
      </c>
      <c r="S30" s="1387">
        <f t="shared" si="9"/>
        <v>100</v>
      </c>
      <c r="T30" s="1386" t="s">
        <v>5</v>
      </c>
      <c r="U30" s="1387">
        <f t="shared" si="10"/>
        <v>100</v>
      </c>
      <c r="V30" s="1386" t="s">
        <v>5</v>
      </c>
      <c r="W30" s="1387">
        <f t="shared" si="11"/>
        <v>100</v>
      </c>
      <c r="X30" s="1380"/>
      <c r="Y30" s="3910"/>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10"/>
      <c r="Q31" s="1050" t="str">
        <f t="shared" si="8"/>
        <v>停车位面积</v>
      </c>
      <c r="R31" s="1381" t="s">
        <v>5</v>
      </c>
      <c r="S31" s="1382" t="e">
        <f t="shared" si="9"/>
        <v>#N/A</v>
      </c>
      <c r="T31" s="1381" t="s">
        <v>5</v>
      </c>
      <c r="U31" s="1382" t="e">
        <f t="shared" si="10"/>
        <v>#N/A</v>
      </c>
      <c r="V31" s="1381" t="s">
        <v>5</v>
      </c>
      <c r="W31" s="1382" t="e">
        <f t="shared" si="11"/>
        <v>#N/A</v>
      </c>
      <c r="X31" s="1383"/>
      <c r="Y31" s="3910"/>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10" t="s">
        <v>499</v>
      </c>
      <c r="Q32" s="1385" t="str">
        <f t="shared" si="8"/>
        <v>车位类型</v>
      </c>
      <c r="R32" s="1386" t="s">
        <v>5</v>
      </c>
      <c r="S32" s="1387">
        <f t="shared" si="9"/>
        <v>100</v>
      </c>
      <c r="T32" s="1386" t="s">
        <v>5</v>
      </c>
      <c r="U32" s="1387">
        <f t="shared" si="10"/>
        <v>100</v>
      </c>
      <c r="V32" s="1386" t="s">
        <v>5</v>
      </c>
      <c r="W32" s="1387">
        <f t="shared" si="11"/>
        <v>100</v>
      </c>
      <c r="X32" s="1380"/>
      <c r="Y32" s="3910"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10"/>
      <c r="Q33" s="1385" t="str">
        <f t="shared" si="8"/>
        <v>是否直接入户</v>
      </c>
      <c r="R33" s="1386" t="s">
        <v>5</v>
      </c>
      <c r="S33" s="1387">
        <f t="shared" si="9"/>
        <v>100</v>
      </c>
      <c r="T33" s="1386" t="s">
        <v>5</v>
      </c>
      <c r="U33" s="1387">
        <f t="shared" si="10"/>
        <v>100</v>
      </c>
      <c r="V33" s="1386" t="s">
        <v>5</v>
      </c>
      <c r="W33" s="1387">
        <f t="shared" si="11"/>
        <v>100</v>
      </c>
      <c r="X33" s="1380"/>
      <c r="Y33" s="391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10"/>
      <c r="Q34" s="1385">
        <f t="shared" si="8"/>
        <v>111</v>
      </c>
      <c r="R34" s="1386" t="s">
        <v>5</v>
      </c>
      <c r="S34" s="1387">
        <f t="shared" si="9"/>
        <v>100</v>
      </c>
      <c r="T34" s="1386" t="s">
        <v>5</v>
      </c>
      <c r="U34" s="1387">
        <f t="shared" si="10"/>
        <v>100</v>
      </c>
      <c r="V34" s="1386" t="s">
        <v>5</v>
      </c>
      <c r="W34" s="1387">
        <f t="shared" si="11"/>
        <v>100</v>
      </c>
      <c r="X34" s="1380"/>
      <c r="Y34" s="391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10"/>
      <c r="Q35" s="1414">
        <f t="shared" si="8"/>
        <v>111</v>
      </c>
      <c r="R35" s="1390" t="s">
        <v>5</v>
      </c>
      <c r="S35" s="1391">
        <f t="shared" si="9"/>
        <v>100</v>
      </c>
      <c r="T35" s="1390" t="s">
        <v>5</v>
      </c>
      <c r="U35" s="1391">
        <f t="shared" si="10"/>
        <v>100</v>
      </c>
      <c r="V35" s="1390" t="s">
        <v>5</v>
      </c>
      <c r="W35" s="1391">
        <f t="shared" si="11"/>
        <v>100</v>
      </c>
      <c r="X35" s="1392"/>
      <c r="Y35" s="3910"/>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10"/>
      <c r="Q36" s="1385">
        <f t="shared" si="8"/>
        <v>111</v>
      </c>
      <c r="R36" s="1386" t="s">
        <v>5</v>
      </c>
      <c r="S36" s="1387">
        <f t="shared" si="9"/>
        <v>100</v>
      </c>
      <c r="T36" s="1386" t="s">
        <v>5</v>
      </c>
      <c r="U36" s="1387">
        <f t="shared" si="10"/>
        <v>100</v>
      </c>
      <c r="V36" s="1386" t="s">
        <v>5</v>
      </c>
      <c r="W36" s="1387">
        <f t="shared" si="11"/>
        <v>100</v>
      </c>
      <c r="X36" s="1380"/>
      <c r="Y36" s="3910"/>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905" t="str">
        <f>A37</f>
        <v>成交单价</v>
      </c>
      <c r="Q37" s="3905"/>
      <c r="R37" s="4021">
        <f>E37</f>
        <v>0</v>
      </c>
      <c r="S37" s="4021"/>
      <c r="T37" s="4021">
        <f>G37</f>
        <v>0</v>
      </c>
      <c r="U37" s="4021"/>
      <c r="V37" s="4021">
        <f>I37</f>
        <v>0</v>
      </c>
      <c r="W37" s="4021"/>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05" t="str">
        <f>A38</f>
        <v>比较价格（元/平方米）</v>
      </c>
      <c r="Q38" s="3905"/>
      <c r="R38" s="4021" t="e">
        <f>IF(F1="售价",ROUND(PRODUCT(R37,AA7:AA36),0),ROUND(PRODUCT(R37,AA7:AA36),1))</f>
        <v>#DIV/0!</v>
      </c>
      <c r="S38" s="4021"/>
      <c r="T38" s="4021" t="e">
        <f>IF(F1="售价",ROUND(PRODUCT(T37,AB7:AB36),0),ROUND(PRODUCT(T37,AB7:AB36),1))</f>
        <v>#DIV/0!</v>
      </c>
      <c r="U38" s="4021"/>
      <c r="V38" s="4021" t="e">
        <f>IF(F1="售价",ROUND(PRODUCT(V37,AC7:AC36),0),ROUND(PRODUCT(V37,AC7:AC36),1))</f>
        <v>#DIV/0!</v>
      </c>
      <c r="W38" s="4021"/>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11" t="str">
        <f>A39</f>
        <v>估价对象XX用房的比较价格（楼面单价，元/平方米）</v>
      </c>
      <c r="Q39" s="3912"/>
      <c r="R39" s="4020" t="e">
        <f>IF(F1="售价",ROUND(IF(D38="简单平均",AVERAGE(R38:W38),R38*F38+T38*H38+V38*J38),0),ROUND(IF(D38="简单平均",AVERAGE(R38:V38),R38*F38+T38*H38+V38*J38),1))</f>
        <v>#DIV/0!</v>
      </c>
      <c r="S39" s="4020"/>
      <c r="T39" s="4020"/>
      <c r="U39" s="4020"/>
      <c r="V39" s="4020"/>
      <c r="W39" s="4020"/>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2025-7</v>
      </c>
      <c r="D48" s="2284">
        <f>EDATE(C48,-1)</f>
        <v>45809</v>
      </c>
      <c r="E48" s="2284">
        <f t="shared" ref="E48:O48" si="13">EDATE(D48,-1)</f>
        <v>45778</v>
      </c>
      <c r="F48" s="2284">
        <f t="shared" si="13"/>
        <v>45748</v>
      </c>
      <c r="G48" s="2284">
        <f t="shared" si="13"/>
        <v>45717</v>
      </c>
      <c r="H48" s="2284">
        <f t="shared" si="13"/>
        <v>45689</v>
      </c>
      <c r="I48" s="2284">
        <f t="shared" si="13"/>
        <v>45658</v>
      </c>
      <c r="J48" s="2284">
        <f t="shared" si="13"/>
        <v>45627</v>
      </c>
      <c r="K48" s="2284">
        <f t="shared" si="13"/>
        <v>45597</v>
      </c>
      <c r="L48" s="2284">
        <f t="shared" si="13"/>
        <v>45566</v>
      </c>
      <c r="M48" s="2284">
        <f t="shared" si="13"/>
        <v>45536</v>
      </c>
      <c r="N48" s="2284">
        <f t="shared" si="13"/>
        <v>45505</v>
      </c>
      <c r="O48" s="2284">
        <f t="shared" si="13"/>
        <v>45474</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4" zoomScale="85" zoomScaleNormal="60" zoomScaleSheetLayoutView="85"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13" t="s">
        <v>738</v>
      </c>
      <c r="D4" s="3914"/>
      <c r="E4" s="3935" t="s">
        <v>739</v>
      </c>
      <c r="F4" s="3936"/>
      <c r="G4" s="3913" t="s">
        <v>740</v>
      </c>
      <c r="H4" s="3914"/>
      <c r="I4" s="3913" t="s">
        <v>741</v>
      </c>
      <c r="J4" s="3914"/>
      <c r="K4" s="484" t="s">
        <v>742</v>
      </c>
      <c r="L4" s="1856"/>
      <c r="M4" s="1857"/>
      <c r="N4" s="1857"/>
      <c r="O4" s="1857"/>
      <c r="P4" s="3915" t="s">
        <v>743</v>
      </c>
      <c r="Q4" s="3916"/>
      <c r="R4" s="3899" t="s">
        <v>739</v>
      </c>
      <c r="S4" s="3900"/>
      <c r="T4" s="3899" t="s">
        <v>740</v>
      </c>
      <c r="U4" s="3900"/>
      <c r="V4" s="3921" t="s">
        <v>741</v>
      </c>
      <c r="W4" s="3921"/>
      <c r="X4" s="1380"/>
      <c r="Y4" s="3899" t="s">
        <v>743</v>
      </c>
      <c r="Z4" s="3900"/>
      <c r="AA4" s="3894" t="s">
        <v>739</v>
      </c>
      <c r="AB4" s="3895" t="s">
        <v>740</v>
      </c>
      <c r="AC4" s="3894" t="s">
        <v>741</v>
      </c>
    </row>
    <row r="5" spans="1:29">
      <c r="A5" s="485"/>
      <c r="B5" s="486"/>
      <c r="C5" s="3924" t="s">
        <v>2192</v>
      </c>
      <c r="D5" s="3925"/>
      <c r="E5" s="4019" t="s">
        <v>2193</v>
      </c>
      <c r="F5" s="3938"/>
      <c r="G5" s="3924" t="s">
        <v>2194</v>
      </c>
      <c r="H5" s="3925"/>
      <c r="I5" s="3924" t="s">
        <v>2195</v>
      </c>
      <c r="J5" s="3925"/>
      <c r="K5" s="484"/>
      <c r="L5" s="1856"/>
      <c r="M5" s="1857"/>
      <c r="N5" s="1857"/>
      <c r="O5" s="1857"/>
      <c r="P5" s="3917"/>
      <c r="Q5" s="3918"/>
      <c r="R5" s="3901"/>
      <c r="S5" s="3902"/>
      <c r="T5" s="3901"/>
      <c r="U5" s="3902"/>
      <c r="V5" s="3921"/>
      <c r="W5" s="3921"/>
      <c r="X5" s="1380"/>
      <c r="Y5" s="3901"/>
      <c r="Z5" s="3902"/>
      <c r="AA5" s="3895"/>
      <c r="AB5" s="3895"/>
      <c r="AC5" s="3895"/>
    </row>
    <row r="6" spans="1:29" ht="15" thickBot="1">
      <c r="A6" s="487"/>
      <c r="B6" s="488"/>
      <c r="C6" s="3922" t="s">
        <v>2196</v>
      </c>
      <c r="D6" s="3923"/>
      <c r="E6" s="3940" t="s">
        <v>2196</v>
      </c>
      <c r="F6" s="3941"/>
      <c r="G6" s="3922" t="s">
        <v>2196</v>
      </c>
      <c r="H6" s="3923"/>
      <c r="I6" s="3922" t="s">
        <v>2196</v>
      </c>
      <c r="J6" s="3923"/>
      <c r="K6" s="484" t="s">
        <v>477</v>
      </c>
      <c r="L6" s="1856"/>
      <c r="M6" s="1857"/>
      <c r="N6" s="1857"/>
      <c r="O6" s="1857"/>
      <c r="P6" s="3919"/>
      <c r="Q6" s="3920"/>
      <c r="R6" s="3901"/>
      <c r="S6" s="3902"/>
      <c r="T6" s="3903"/>
      <c r="U6" s="3904"/>
      <c r="V6" s="3921"/>
      <c r="W6" s="3921"/>
      <c r="X6" s="1380"/>
      <c r="Y6" s="3903"/>
      <c r="Z6" s="3904"/>
      <c r="AA6" s="3896"/>
      <c r="AB6" s="3896"/>
      <c r="AC6" s="3896"/>
    </row>
    <row r="7" spans="1:29" s="1118" customFormat="1" ht="15" thickBot="1">
      <c r="A7" s="2392"/>
      <c r="B7" s="2399" t="s">
        <v>478</v>
      </c>
      <c r="C7" s="489">
        <f>'数据-取费表'!B2</f>
        <v>45839</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97" t="s">
        <v>479</v>
      </c>
      <c r="Q7" s="3906"/>
      <c r="R7" s="1381" t="s">
        <v>5</v>
      </c>
      <c r="S7" s="1382">
        <f t="shared" ref="S7:S14" si="0">F7</f>
        <v>0</v>
      </c>
      <c r="T7" s="1381" t="s">
        <v>5</v>
      </c>
      <c r="U7" s="1382">
        <f t="shared" ref="U7:U14" si="1">H7</f>
        <v>0</v>
      </c>
      <c r="V7" s="1381" t="s">
        <v>5</v>
      </c>
      <c r="W7" s="1382">
        <f t="shared" ref="W7:W14" si="2">J7</f>
        <v>0</v>
      </c>
      <c r="X7" s="1383"/>
      <c r="Y7" s="3897" t="s">
        <v>479</v>
      </c>
      <c r="Z7" s="3898"/>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7" t="s">
        <v>482</v>
      </c>
      <c r="Q8" s="3898"/>
      <c r="R8" s="1381" t="s">
        <v>5</v>
      </c>
      <c r="S8" s="1382">
        <f t="shared" si="0"/>
        <v>0</v>
      </c>
      <c r="T8" s="1381" t="s">
        <v>5</v>
      </c>
      <c r="U8" s="1382">
        <f t="shared" si="1"/>
        <v>0</v>
      </c>
      <c r="V8" s="1381" t="s">
        <v>5</v>
      </c>
      <c r="W8" s="1382">
        <f t="shared" si="2"/>
        <v>0</v>
      </c>
      <c r="X8" s="1383"/>
      <c r="Y8" s="3897" t="s">
        <v>482</v>
      </c>
      <c r="Z8" s="3898"/>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05" t="s">
        <v>484</v>
      </c>
      <c r="Q9" s="1050" t="str">
        <f t="shared" ref="Q9:Q14" si="6">B9</f>
        <v>用途</v>
      </c>
      <c r="R9" s="1381" t="s">
        <v>5</v>
      </c>
      <c r="S9" s="1382">
        <f t="shared" si="0"/>
        <v>100</v>
      </c>
      <c r="T9" s="1381" t="s">
        <v>5</v>
      </c>
      <c r="U9" s="1382">
        <f t="shared" si="1"/>
        <v>100</v>
      </c>
      <c r="V9" s="1381" t="s">
        <v>5</v>
      </c>
      <c r="W9" s="1382">
        <f t="shared" si="2"/>
        <v>100</v>
      </c>
      <c r="X9" s="1383"/>
      <c r="Y9" s="3851"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905"/>
      <c r="Q10" s="1050" t="str">
        <f t="shared" si="6"/>
        <v>土地使用年限（年）</v>
      </c>
      <c r="R10" s="1381" t="s">
        <v>5</v>
      </c>
      <c r="S10" s="1382">
        <f t="shared" si="0"/>
        <v>100</v>
      </c>
      <c r="T10" s="1381" t="s">
        <v>5</v>
      </c>
      <c r="U10" s="1382">
        <f t="shared" si="1"/>
        <v>100</v>
      </c>
      <c r="V10" s="1381" t="s">
        <v>5</v>
      </c>
      <c r="W10" s="1382">
        <f t="shared" si="2"/>
        <v>100</v>
      </c>
      <c r="X10" s="1383"/>
      <c r="Y10" s="385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05"/>
      <c r="Q11" s="1050">
        <f t="shared" si="6"/>
        <v>111</v>
      </c>
      <c r="R11" s="1381" t="s">
        <v>5</v>
      </c>
      <c r="S11" s="1382">
        <f t="shared" si="0"/>
        <v>100</v>
      </c>
      <c r="T11" s="1381" t="s">
        <v>5</v>
      </c>
      <c r="U11" s="1382">
        <f t="shared" si="1"/>
        <v>100</v>
      </c>
      <c r="V11" s="1381" t="s">
        <v>5</v>
      </c>
      <c r="W11" s="1382">
        <f t="shared" si="2"/>
        <v>100</v>
      </c>
      <c r="X11" s="1383"/>
      <c r="Y11" s="385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05"/>
      <c r="Q12" s="1050">
        <f t="shared" si="6"/>
        <v>111</v>
      </c>
      <c r="R12" s="1381" t="s">
        <v>5</v>
      </c>
      <c r="S12" s="1382">
        <f t="shared" si="0"/>
        <v>100</v>
      </c>
      <c r="T12" s="1381" t="s">
        <v>5</v>
      </c>
      <c r="U12" s="1382">
        <f t="shared" si="1"/>
        <v>100</v>
      </c>
      <c r="V12" s="1381" t="s">
        <v>5</v>
      </c>
      <c r="W12" s="1382">
        <f t="shared" si="2"/>
        <v>100</v>
      </c>
      <c r="X12" s="1383"/>
      <c r="Y12" s="3851"/>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05"/>
      <c r="Q13" s="1050">
        <f t="shared" si="6"/>
        <v>111</v>
      </c>
      <c r="R13" s="1381" t="s">
        <v>5</v>
      </c>
      <c r="S13" s="1382">
        <f t="shared" si="0"/>
        <v>100</v>
      </c>
      <c r="T13" s="1381" t="s">
        <v>5</v>
      </c>
      <c r="U13" s="1382">
        <f t="shared" si="1"/>
        <v>100</v>
      </c>
      <c r="V13" s="1381" t="s">
        <v>5</v>
      </c>
      <c r="W13" s="1382">
        <f t="shared" si="2"/>
        <v>100</v>
      </c>
      <c r="X13" s="1383"/>
      <c r="Y13" s="3851"/>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07" t="s">
        <v>489</v>
      </c>
      <c r="Q14" s="1385" t="str">
        <f t="shared" si="6"/>
        <v>交通便捷度</v>
      </c>
      <c r="R14" s="1386" t="s">
        <v>5</v>
      </c>
      <c r="S14" s="1387">
        <f t="shared" si="0"/>
        <v>100</v>
      </c>
      <c r="T14" s="1386" t="s">
        <v>5</v>
      </c>
      <c r="U14" s="1387">
        <f t="shared" si="1"/>
        <v>100</v>
      </c>
      <c r="V14" s="1386" t="s">
        <v>5</v>
      </c>
      <c r="W14" s="1387">
        <f t="shared" si="2"/>
        <v>100</v>
      </c>
      <c r="X14" s="1380"/>
      <c r="Y14" s="3907"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08"/>
      <c r="Q15" s="1385"/>
      <c r="R15" s="1386"/>
      <c r="S15" s="1387"/>
      <c r="T15" s="1386"/>
      <c r="U15" s="1387"/>
      <c r="V15" s="1386"/>
      <c r="W15" s="1387"/>
      <c r="X15" s="1380"/>
      <c r="Y15" s="3908"/>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08"/>
      <c r="Q16" s="1385" t="str">
        <f>B16</f>
        <v>公共配套设施</v>
      </c>
      <c r="R16" s="1386" t="s">
        <v>5</v>
      </c>
      <c r="S16" s="1387">
        <f>F16</f>
        <v>100</v>
      </c>
      <c r="T16" s="1386" t="s">
        <v>5</v>
      </c>
      <c r="U16" s="1387">
        <f>H16</f>
        <v>100</v>
      </c>
      <c r="V16" s="1386" t="s">
        <v>5</v>
      </c>
      <c r="W16" s="1387">
        <f>J16</f>
        <v>100</v>
      </c>
      <c r="X16" s="1380"/>
      <c r="Y16" s="390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08"/>
      <c r="Q17" s="1385"/>
      <c r="R17" s="1386"/>
      <c r="S17" s="1387"/>
      <c r="T17" s="1386"/>
      <c r="U17" s="1387"/>
      <c r="V17" s="1386"/>
      <c r="W17" s="1387"/>
      <c r="X17" s="1380"/>
      <c r="Y17" s="3908"/>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08"/>
      <c r="Q18" s="2193" t="str">
        <f>B18</f>
        <v>基础设施水平</v>
      </c>
      <c r="R18" s="1386" t="s">
        <v>5</v>
      </c>
      <c r="S18" s="1387">
        <f>F18</f>
        <v>100</v>
      </c>
      <c r="T18" s="1386" t="s">
        <v>5</v>
      </c>
      <c r="U18" s="1387">
        <f>H18</f>
        <v>100</v>
      </c>
      <c r="V18" s="1386" t="s">
        <v>5</v>
      </c>
      <c r="W18" s="1387">
        <f>J18</f>
        <v>100</v>
      </c>
      <c r="X18" s="2195"/>
      <c r="Y18" s="3908"/>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08"/>
      <c r="Q19" s="2193"/>
      <c r="R19" s="1386"/>
      <c r="S19" s="1387"/>
      <c r="T19" s="1386"/>
      <c r="U19" s="1387"/>
      <c r="V19" s="1386"/>
      <c r="W19" s="1387"/>
      <c r="X19" s="2195"/>
      <c r="Y19" s="3908"/>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08"/>
      <c r="Q20" s="1385" t="str">
        <f>B20</f>
        <v>自然及人文环境</v>
      </c>
      <c r="R20" s="1386" t="s">
        <v>5</v>
      </c>
      <c r="S20" s="1387">
        <f>F20</f>
        <v>100</v>
      </c>
      <c r="T20" s="1386" t="s">
        <v>5</v>
      </c>
      <c r="U20" s="1387">
        <f>H20</f>
        <v>100</v>
      </c>
      <c r="V20" s="1386" t="s">
        <v>5</v>
      </c>
      <c r="W20" s="1387">
        <f>J20</f>
        <v>100</v>
      </c>
      <c r="X20" s="1380"/>
      <c r="Y20" s="390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08"/>
      <c r="Q21" s="1385"/>
      <c r="R21" s="1386"/>
      <c r="S21" s="1387"/>
      <c r="T21" s="1386"/>
      <c r="U21" s="1387"/>
      <c r="V21" s="1386"/>
      <c r="W21" s="1387"/>
      <c r="X21" s="1380"/>
      <c r="Y21" s="3908"/>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08"/>
      <c r="Q22" s="1385" t="str">
        <f>B22</f>
        <v>楼层</v>
      </c>
      <c r="R22" s="1386" t="s">
        <v>5</v>
      </c>
      <c r="S22" s="1387">
        <f>F22</f>
        <v>100</v>
      </c>
      <c r="T22" s="1386" t="s">
        <v>5</v>
      </c>
      <c r="U22" s="1387">
        <f>H22</f>
        <v>100</v>
      </c>
      <c r="V22" s="1386" t="s">
        <v>5</v>
      </c>
      <c r="W22" s="1387">
        <f>J22</f>
        <v>100</v>
      </c>
      <c r="X22" s="1380"/>
      <c r="Y22" s="390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08"/>
      <c r="Q23" s="1385">
        <f>B23</f>
        <v>111</v>
      </c>
      <c r="R23" s="1386" t="s">
        <v>5</v>
      </c>
      <c r="S23" s="1387">
        <f>F23</f>
        <v>100</v>
      </c>
      <c r="T23" s="1386" t="s">
        <v>5</v>
      </c>
      <c r="U23" s="1387">
        <f>H23</f>
        <v>100</v>
      </c>
      <c r="V23" s="1386" t="s">
        <v>5</v>
      </c>
      <c r="W23" s="1387">
        <f>J23</f>
        <v>100</v>
      </c>
      <c r="X23" s="1380"/>
      <c r="Y23" s="390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08"/>
      <c r="Q24" s="1385">
        <f t="shared" ref="Q24:Q34" si="8">B24</f>
        <v>111</v>
      </c>
      <c r="R24" s="1386" t="s">
        <v>5</v>
      </c>
      <c r="S24" s="1387">
        <f>F24</f>
        <v>100</v>
      </c>
      <c r="T24" s="1386" t="s">
        <v>5</v>
      </c>
      <c r="U24" s="1387">
        <f>H24</f>
        <v>100</v>
      </c>
      <c r="V24" s="1386" t="s">
        <v>5</v>
      </c>
      <c r="W24" s="1387">
        <f>J24</f>
        <v>100</v>
      </c>
      <c r="X24" s="1380"/>
      <c r="Y24" s="3908"/>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08"/>
      <c r="Q25" s="1050">
        <f t="shared" si="8"/>
        <v>111</v>
      </c>
      <c r="R25" s="1381" t="s">
        <v>5</v>
      </c>
      <c r="S25" s="1382">
        <f>F25</f>
        <v>100</v>
      </c>
      <c r="T25" s="1381" t="s">
        <v>5</v>
      </c>
      <c r="U25" s="1382">
        <f>H25</f>
        <v>100</v>
      </c>
      <c r="V25" s="1381" t="s">
        <v>5</v>
      </c>
      <c r="W25" s="1382">
        <f>J25</f>
        <v>100</v>
      </c>
      <c r="X25" s="1383"/>
      <c r="Y25" s="3908"/>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9"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10"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10"/>
      <c r="Q27" s="1414" t="str">
        <f t="shared" si="8"/>
        <v>成新率</v>
      </c>
      <c r="R27" s="1390" t="s">
        <v>5</v>
      </c>
      <c r="S27" s="1391" t="e">
        <f t="shared" si="9"/>
        <v>#N/A</v>
      </c>
      <c r="T27" s="1390" t="s">
        <v>5</v>
      </c>
      <c r="U27" s="1391" t="e">
        <f t="shared" si="10"/>
        <v>#N/A</v>
      </c>
      <c r="V27" s="1390" t="s">
        <v>5</v>
      </c>
      <c r="W27" s="1391" t="e">
        <f t="shared" si="11"/>
        <v>#N/A</v>
      </c>
      <c r="X27" s="1392"/>
      <c r="Y27" s="3910"/>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10"/>
      <c r="Q28" s="1385" t="str">
        <f t="shared" si="8"/>
        <v>物业等级</v>
      </c>
      <c r="R28" s="1386" t="s">
        <v>5</v>
      </c>
      <c r="S28" s="1387">
        <f t="shared" si="9"/>
        <v>100</v>
      </c>
      <c r="T28" s="1386" t="s">
        <v>5</v>
      </c>
      <c r="U28" s="1387">
        <f t="shared" si="10"/>
        <v>100</v>
      </c>
      <c r="V28" s="1386" t="s">
        <v>5</v>
      </c>
      <c r="W28" s="1387">
        <f t="shared" si="11"/>
        <v>100</v>
      </c>
      <c r="X28" s="1380"/>
      <c r="Y28" s="3910"/>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10"/>
      <c r="Q29" s="1385" t="str">
        <f t="shared" si="8"/>
        <v>有无电梯</v>
      </c>
      <c r="R29" s="1386" t="s">
        <v>5</v>
      </c>
      <c r="S29" s="1387">
        <f t="shared" si="9"/>
        <v>100</v>
      </c>
      <c r="T29" s="1386" t="s">
        <v>5</v>
      </c>
      <c r="U29" s="1387">
        <f t="shared" si="10"/>
        <v>100</v>
      </c>
      <c r="V29" s="1386" t="s">
        <v>5</v>
      </c>
      <c r="W29" s="1387">
        <f t="shared" si="11"/>
        <v>100</v>
      </c>
      <c r="X29" s="1380"/>
      <c r="Y29" s="3910"/>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10"/>
      <c r="Q30" s="1385" t="str">
        <f t="shared" si="8"/>
        <v>建筑面积</v>
      </c>
      <c r="R30" s="1386" t="s">
        <v>5</v>
      </c>
      <c r="S30" s="1387" t="e">
        <f t="shared" si="9"/>
        <v>#N/A</v>
      </c>
      <c r="T30" s="1386" t="s">
        <v>5</v>
      </c>
      <c r="U30" s="1387" t="e">
        <f t="shared" si="10"/>
        <v>#N/A</v>
      </c>
      <c r="V30" s="1386" t="s">
        <v>5</v>
      </c>
      <c r="W30" s="1387" t="e">
        <f t="shared" si="11"/>
        <v>#N/A</v>
      </c>
      <c r="X30" s="1380"/>
      <c r="Y30" s="3910"/>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10"/>
      <c r="Q31" s="1050" t="str">
        <f t="shared" si="8"/>
        <v>是否封闭</v>
      </c>
      <c r="R31" s="1381" t="s">
        <v>5</v>
      </c>
      <c r="S31" s="1382">
        <f t="shared" si="9"/>
        <v>100</v>
      </c>
      <c r="T31" s="1381" t="s">
        <v>5</v>
      </c>
      <c r="U31" s="1382">
        <f t="shared" si="10"/>
        <v>100</v>
      </c>
      <c r="V31" s="1381" t="s">
        <v>5</v>
      </c>
      <c r="W31" s="1382">
        <f t="shared" si="11"/>
        <v>100</v>
      </c>
      <c r="X31" s="1383"/>
      <c r="Y31" s="391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10" t="s">
        <v>499</v>
      </c>
      <c r="Q32" s="1385">
        <f t="shared" si="8"/>
        <v>111</v>
      </c>
      <c r="R32" s="1386" t="s">
        <v>5</v>
      </c>
      <c r="S32" s="1387">
        <f t="shared" si="9"/>
        <v>100</v>
      </c>
      <c r="T32" s="1386" t="s">
        <v>5</v>
      </c>
      <c r="U32" s="1387">
        <f t="shared" si="10"/>
        <v>100</v>
      </c>
      <c r="V32" s="1386" t="s">
        <v>5</v>
      </c>
      <c r="W32" s="1387">
        <f t="shared" si="11"/>
        <v>100</v>
      </c>
      <c r="X32" s="1380"/>
      <c r="Y32" s="3910"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10"/>
      <c r="Q33" s="1385">
        <f t="shared" si="8"/>
        <v>111</v>
      </c>
      <c r="R33" s="1386" t="s">
        <v>5</v>
      </c>
      <c r="S33" s="1387">
        <f t="shared" si="9"/>
        <v>100</v>
      </c>
      <c r="T33" s="1386" t="s">
        <v>5</v>
      </c>
      <c r="U33" s="1387">
        <f t="shared" si="10"/>
        <v>100</v>
      </c>
      <c r="V33" s="1386" t="s">
        <v>5</v>
      </c>
      <c r="W33" s="1387">
        <f t="shared" si="11"/>
        <v>100</v>
      </c>
      <c r="X33" s="1380"/>
      <c r="Y33" s="3910"/>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10"/>
      <c r="Q34" s="1385">
        <f t="shared" si="8"/>
        <v>111</v>
      </c>
      <c r="R34" s="1386" t="s">
        <v>5</v>
      </c>
      <c r="S34" s="1387">
        <f t="shared" si="9"/>
        <v>100</v>
      </c>
      <c r="T34" s="1386" t="s">
        <v>5</v>
      </c>
      <c r="U34" s="1387">
        <f t="shared" si="10"/>
        <v>100</v>
      </c>
      <c r="V34" s="1386" t="s">
        <v>5</v>
      </c>
      <c r="W34" s="1387">
        <f t="shared" si="11"/>
        <v>100</v>
      </c>
      <c r="X34" s="1380"/>
      <c r="Y34" s="3910"/>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905" t="str">
        <f>A35</f>
        <v>成交单价（元/平方米）</v>
      </c>
      <c r="Q35" s="3905"/>
      <c r="R35" s="4021">
        <f>E35</f>
        <v>0</v>
      </c>
      <c r="S35" s="4021"/>
      <c r="T35" s="4021">
        <f>G35</f>
        <v>0</v>
      </c>
      <c r="U35" s="4021"/>
      <c r="V35" s="4021">
        <f>I35</f>
        <v>0</v>
      </c>
      <c r="W35" s="4021"/>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05" t="str">
        <f>A36</f>
        <v>比较价格（元/平方米）</v>
      </c>
      <c r="Q36" s="3905"/>
      <c r="R36" s="4021" t="e">
        <f>IF(F1="售价",ROUND(PRODUCT(R35,AA7:AA34),0),ROUND(PRODUCT(R35,AA7:AA34),1))</f>
        <v>#DIV/0!</v>
      </c>
      <c r="S36" s="4021"/>
      <c r="T36" s="4021" t="e">
        <f>IF(F1="售价",ROUND(PRODUCT(T35,AB7:AB34),0),ROUND(PRODUCT(T35,AB7:AB34),1))</f>
        <v>#DIV/0!</v>
      </c>
      <c r="U36" s="4021"/>
      <c r="V36" s="4021" t="e">
        <f>IF(F1="售价",ROUND(PRODUCT(V35,AC7:AC34),0),ROUND(PRODUCT(V35,AC7:AC34),1))</f>
        <v>#DIV/0!</v>
      </c>
      <c r="W36" s="4021"/>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11" t="str">
        <f>A37</f>
        <v>估价对象XX用房的比较价格（楼面单价，元/平方米）</v>
      </c>
      <c r="Q37" s="3912"/>
      <c r="R37" s="4020" t="e">
        <f>IF(F1="售价",ROUND(IF(D36="简单平均",AVERAGE(R36:W36),R36*F36+T36*H36+V36*J36),0),ROUND(IF(D36="简单平均",AVERAGE(R36:V36),R36*F36+T36*H36+V36*J36),1))</f>
        <v>#DIV/0!</v>
      </c>
      <c r="S37" s="4020"/>
      <c r="T37" s="4020"/>
      <c r="U37" s="4020"/>
      <c r="V37" s="4020"/>
      <c r="W37" s="4020"/>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2025-7</v>
      </c>
      <c r="D46" s="2284">
        <f>EDATE(C46,-1)</f>
        <v>45809</v>
      </c>
      <c r="E46" s="2284">
        <f t="shared" ref="E46:O46" si="13">EDATE(D46,-1)</f>
        <v>45778</v>
      </c>
      <c r="F46" s="2284">
        <f t="shared" si="13"/>
        <v>45748</v>
      </c>
      <c r="G46" s="2284">
        <f t="shared" si="13"/>
        <v>45717</v>
      </c>
      <c r="H46" s="2284">
        <f t="shared" si="13"/>
        <v>45689</v>
      </c>
      <c r="I46" s="2284">
        <f t="shared" si="13"/>
        <v>45658</v>
      </c>
      <c r="J46" s="2284">
        <f t="shared" si="13"/>
        <v>45627</v>
      </c>
      <c r="K46" s="2284">
        <f t="shared" si="13"/>
        <v>45597</v>
      </c>
      <c r="L46" s="2284">
        <f t="shared" si="13"/>
        <v>45566</v>
      </c>
      <c r="M46" s="2284">
        <f t="shared" si="13"/>
        <v>45536</v>
      </c>
      <c r="N46" s="2284">
        <f t="shared" si="13"/>
        <v>45505</v>
      </c>
      <c r="O46" s="2284">
        <f t="shared" si="13"/>
        <v>45474</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30" t="s">
        <v>1661</v>
      </c>
      <c r="D1" s="4031"/>
      <c r="E1" s="4031"/>
      <c r="F1" s="4031"/>
      <c r="G1" s="4031"/>
      <c r="H1" s="4031"/>
      <c r="I1" s="4031"/>
      <c r="J1" s="4031"/>
      <c r="K1" s="4031"/>
      <c r="L1" s="4031"/>
      <c r="M1" s="4031"/>
      <c r="N1" s="4031"/>
      <c r="O1" s="4031"/>
      <c r="P1" s="4031"/>
      <c r="Q1" s="4031"/>
      <c r="R1" s="4031"/>
      <c r="S1" s="4032"/>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27" t="s">
        <v>14</v>
      </c>
      <c r="D22" s="4028"/>
      <c r="E22" s="4028"/>
      <c r="F22" s="4028"/>
      <c r="G22" s="4028"/>
      <c r="H22" s="4028"/>
      <c r="I22" s="4028"/>
      <c r="J22" s="4028"/>
      <c r="K22" s="4028"/>
      <c r="L22" s="4028"/>
      <c r="M22" s="4028"/>
      <c r="N22" s="4028"/>
      <c r="O22" s="4028"/>
      <c r="P22" s="4028"/>
      <c r="Q22" s="4029"/>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F261"/>
  <sheetViews>
    <sheetView view="pageBreakPreview" topLeftCell="A19" zoomScale="80" zoomScaleNormal="50" zoomScaleSheetLayoutView="80" workbookViewId="0">
      <selection activeCell="I9" sqref="I9"/>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5.88671875" style="1198" customWidth="1"/>
    <col min="6" max="6" width="12.21875" style="1198" customWidth="1"/>
    <col min="7" max="7" width="16.44140625" style="1198" customWidth="1"/>
    <col min="8" max="8" width="12.21875" style="1198" customWidth="1"/>
    <col min="9" max="9" width="16.554687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11560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1217</v>
      </c>
      <c r="B3" s="480">
        <f>ROUND(B2*10000/'数据-汇总表'!E3,0)</f>
        <v>58000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8329</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555</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913" t="s">
        <v>471</v>
      </c>
      <c r="D6" s="3914"/>
      <c r="E6" s="3935" t="s">
        <v>472</v>
      </c>
      <c r="F6" s="3936"/>
      <c r="G6" s="3913" t="s">
        <v>473</v>
      </c>
      <c r="H6" s="3914"/>
      <c r="I6" s="3913" t="s">
        <v>474</v>
      </c>
      <c r="J6" s="3914"/>
      <c r="K6" s="484" t="s">
        <v>475</v>
      </c>
      <c r="L6" s="1856"/>
      <c r="M6" s="1857"/>
      <c r="N6" s="1857"/>
      <c r="O6" s="1857"/>
      <c r="P6" s="3915" t="s">
        <v>476</v>
      </c>
      <c r="Q6" s="3916"/>
      <c r="R6" s="3899" t="s">
        <v>472</v>
      </c>
      <c r="S6" s="3900"/>
      <c r="T6" s="3899" t="s">
        <v>473</v>
      </c>
      <c r="U6" s="3900"/>
      <c r="V6" s="3921" t="s">
        <v>474</v>
      </c>
      <c r="W6" s="3921"/>
      <c r="X6" s="3693"/>
      <c r="Y6" s="3899" t="s">
        <v>476</v>
      </c>
      <c r="Z6" s="3900"/>
      <c r="AA6" s="3894" t="s">
        <v>472</v>
      </c>
      <c r="AB6" s="3895" t="s">
        <v>473</v>
      </c>
      <c r="AC6" s="3894" t="s">
        <v>474</v>
      </c>
    </row>
    <row r="7" spans="1:29">
      <c r="A7" s="485"/>
      <c r="B7" s="486"/>
      <c r="C7" s="3939" t="s">
        <v>3339</v>
      </c>
      <c r="D7" s="3925"/>
      <c r="E7" s="3937" t="str">
        <f>Sheet3!B3</f>
        <v>永丰产业基地（新）园区土地一级开发项目F1地块</v>
      </c>
      <c r="F7" s="3938"/>
      <c r="G7" s="3939" t="str">
        <f>Sheet3!B4</f>
        <v>永丰产业基地（新）园区土地一级开发项目F2地块</v>
      </c>
      <c r="H7" s="3925"/>
      <c r="I7" s="3939" t="str">
        <f>Sheet3!B6</f>
        <v>北部地区温泉镇HD00-0301-6003等地块</v>
      </c>
      <c r="J7" s="3925"/>
      <c r="K7" s="484"/>
      <c r="L7" s="1856"/>
      <c r="M7" s="1857"/>
      <c r="N7" s="1857"/>
      <c r="O7" s="1857"/>
      <c r="P7" s="3917"/>
      <c r="Q7" s="3918"/>
      <c r="R7" s="3901"/>
      <c r="S7" s="3902"/>
      <c r="T7" s="3901"/>
      <c r="U7" s="3902"/>
      <c r="V7" s="3921"/>
      <c r="W7" s="3921"/>
      <c r="X7" s="3693"/>
      <c r="Y7" s="3901"/>
      <c r="Z7" s="3902"/>
      <c r="AA7" s="3895"/>
      <c r="AB7" s="3895"/>
      <c r="AC7" s="3895"/>
    </row>
    <row r="8" spans="1:29" ht="15" thickBot="1">
      <c r="A8" s="487"/>
      <c r="B8" s="488"/>
      <c r="C8" s="3922" t="s">
        <v>2196</v>
      </c>
      <c r="D8" s="3923"/>
      <c r="E8" s="3940" t="s">
        <v>2196</v>
      </c>
      <c r="F8" s="3941"/>
      <c r="G8" s="3922" t="s">
        <v>2196</v>
      </c>
      <c r="H8" s="3923"/>
      <c r="I8" s="3922" t="s">
        <v>2196</v>
      </c>
      <c r="J8" s="3923"/>
      <c r="K8" s="484" t="s">
        <v>477</v>
      </c>
      <c r="L8" s="1856"/>
      <c r="M8" s="1857"/>
      <c r="N8" s="1857"/>
      <c r="O8" s="1857"/>
      <c r="P8" s="3919"/>
      <c r="Q8" s="3920"/>
      <c r="R8" s="3901"/>
      <c r="S8" s="3902"/>
      <c r="T8" s="3903"/>
      <c r="U8" s="3904"/>
      <c r="V8" s="3921"/>
      <c r="W8" s="3921"/>
      <c r="X8" s="3693"/>
      <c r="Y8" s="3903"/>
      <c r="Z8" s="3904"/>
      <c r="AA8" s="3896"/>
      <c r="AB8" s="3896"/>
      <c r="AC8" s="3896"/>
    </row>
    <row r="9" spans="1:29" s="1118" customFormat="1" ht="15" thickBot="1">
      <c r="A9" s="2392"/>
      <c r="B9" s="2399" t="s">
        <v>478</v>
      </c>
      <c r="C9" s="489">
        <f>'数据-取费表'!B2</f>
        <v>45839</v>
      </c>
      <c r="D9" s="490">
        <v>100</v>
      </c>
      <c r="E9" s="491">
        <f>Sheet3!I3</f>
        <v>44435</v>
      </c>
      <c r="F9" s="492">
        <f>SUMIF(66:66,YEAR(E9)&amp;"-"&amp;INT((MONTH(E9)+2)/3),67:67)</f>
        <v>102.35</v>
      </c>
      <c r="G9" s="493">
        <f>Sheet3!I4</f>
        <v>44704</v>
      </c>
      <c r="H9" s="490">
        <f>SUMIF(66:66,YEAR(G9)&amp;"-"&amp;INT((MONTH(G9)+2)/3),67:67)</f>
        <v>103.05</v>
      </c>
      <c r="I9" s="493">
        <f>Sheet3!I6</f>
        <v>45062</v>
      </c>
      <c r="J9" s="490">
        <f>SUMIF(66:66,YEAR(I9)&amp;"-"&amp;INT((MONTH(I9)+2)/3),67:67)</f>
        <v>104</v>
      </c>
      <c r="K9" s="494"/>
      <c r="L9" s="1858"/>
      <c r="M9" s="1859"/>
      <c r="N9" s="1859"/>
      <c r="O9" s="1859"/>
      <c r="P9" s="3897" t="s">
        <v>479</v>
      </c>
      <c r="Q9" s="3906"/>
      <c r="R9" s="1381" t="s">
        <v>5</v>
      </c>
      <c r="S9" s="1382">
        <f t="shared" ref="S9:S17" si="0">F9</f>
        <v>102.35</v>
      </c>
      <c r="T9" s="1381" t="s">
        <v>5</v>
      </c>
      <c r="U9" s="1382">
        <f t="shared" ref="U9:U17" si="1">H9</f>
        <v>103.05</v>
      </c>
      <c r="V9" s="1381" t="s">
        <v>5</v>
      </c>
      <c r="W9" s="1382">
        <f t="shared" ref="W9:W17" si="2">J9</f>
        <v>104</v>
      </c>
      <c r="X9" s="1383"/>
      <c r="Y9" s="3897" t="s">
        <v>479</v>
      </c>
      <c r="Z9" s="3898"/>
      <c r="AA9" s="1384">
        <f>D9/F9</f>
        <v>0.97703957010258924</v>
      </c>
      <c r="AB9" s="1384">
        <f>D9/H9</f>
        <v>0.97040271712760795</v>
      </c>
      <c r="AC9" s="1384">
        <f>D9/J9</f>
        <v>0.96153846153846156</v>
      </c>
    </row>
    <row r="10" spans="1:29" s="1118" customFormat="1" ht="15" thickBot="1">
      <c r="A10" s="2393"/>
      <c r="B10" s="2400" t="s">
        <v>480</v>
      </c>
      <c r="C10" s="495" t="s">
        <v>481</v>
      </c>
      <c r="D10" s="490">
        <v>100</v>
      </c>
      <c r="E10" s="495" t="s">
        <v>3343</v>
      </c>
      <c r="F10" s="492">
        <f>SUMIF(69:69,E10,70:70)-SUMIF(69:69,C10,70:70)+100</f>
        <v>100</v>
      </c>
      <c r="G10" s="495" t="s">
        <v>3343</v>
      </c>
      <c r="H10" s="490">
        <f>SUMIF(69:69,G10,70:70)-SUMIF(69:69,C10,70:70)+100</f>
        <v>100</v>
      </c>
      <c r="I10" s="495" t="s">
        <v>3343</v>
      </c>
      <c r="J10" s="490">
        <f>SUMIF(69:69,I10,70:70)-SUMIF(69:69,C10,70:70)+100</f>
        <v>100</v>
      </c>
      <c r="K10" s="494"/>
      <c r="L10" s="1858"/>
      <c r="M10" s="1859"/>
      <c r="N10" s="1859"/>
      <c r="O10" s="1859"/>
      <c r="P10" s="3897" t="s">
        <v>482</v>
      </c>
      <c r="Q10" s="3898"/>
      <c r="R10" s="1381" t="s">
        <v>5</v>
      </c>
      <c r="S10" s="1382">
        <f t="shared" si="0"/>
        <v>100</v>
      </c>
      <c r="T10" s="1381" t="s">
        <v>5</v>
      </c>
      <c r="U10" s="1382">
        <f t="shared" si="1"/>
        <v>100</v>
      </c>
      <c r="V10" s="1381" t="s">
        <v>5</v>
      </c>
      <c r="W10" s="1382">
        <f t="shared" si="2"/>
        <v>100</v>
      </c>
      <c r="X10" s="1383"/>
      <c r="Y10" s="3897" t="s">
        <v>482</v>
      </c>
      <c r="Z10" s="3898"/>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5" t="s">
        <v>484</v>
      </c>
      <c r="Q11" s="3692" t="str">
        <f t="shared" ref="Q11:Q17" si="6">B11</f>
        <v>用途</v>
      </c>
      <c r="R11" s="1381" t="s">
        <v>5</v>
      </c>
      <c r="S11" s="1382">
        <f t="shared" si="0"/>
        <v>100</v>
      </c>
      <c r="T11" s="1381" t="s">
        <v>5</v>
      </c>
      <c r="U11" s="1382">
        <f t="shared" si="1"/>
        <v>100</v>
      </c>
      <c r="V11" s="1381" t="s">
        <v>5</v>
      </c>
      <c r="W11" s="1382">
        <f t="shared" si="2"/>
        <v>100</v>
      </c>
      <c r="X11" s="1383"/>
      <c r="Y11" s="3851" t="s">
        <v>485</v>
      </c>
      <c r="Z11" s="3691"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5"/>
      <c r="Q12" s="3692" t="str">
        <f t="shared" si="6"/>
        <v>土地使用年限（年）</v>
      </c>
      <c r="R12" s="1381" t="s">
        <v>5</v>
      </c>
      <c r="S12" s="1382">
        <f t="shared" si="0"/>
        <v>100</v>
      </c>
      <c r="T12" s="1381" t="s">
        <v>5</v>
      </c>
      <c r="U12" s="1382">
        <f t="shared" si="1"/>
        <v>100</v>
      </c>
      <c r="V12" s="1381" t="s">
        <v>5</v>
      </c>
      <c r="W12" s="1382">
        <f t="shared" si="2"/>
        <v>100</v>
      </c>
      <c r="X12" s="1383"/>
      <c r="Y12" s="3851"/>
      <c r="Z12" s="3691"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v>1</v>
      </c>
      <c r="L13" s="1863"/>
      <c r="M13" s="1857"/>
      <c r="N13" s="1857"/>
      <c r="O13" s="1864"/>
      <c r="P13" s="3905"/>
      <c r="Q13" s="3692" t="str">
        <f t="shared" si="6"/>
        <v>容积率</v>
      </c>
      <c r="R13" s="1381" t="s">
        <v>5</v>
      </c>
      <c r="S13" s="1382">
        <f t="shared" si="0"/>
        <v>100</v>
      </c>
      <c r="T13" s="1381" t="s">
        <v>5</v>
      </c>
      <c r="U13" s="1382">
        <f t="shared" si="1"/>
        <v>100</v>
      </c>
      <c r="V13" s="1381" t="s">
        <v>5</v>
      </c>
      <c r="W13" s="1382">
        <f t="shared" si="2"/>
        <v>100</v>
      </c>
      <c r="X13" s="1383"/>
      <c r="Y13" s="3851"/>
      <c r="Z13" s="3691"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5"/>
      <c r="Q14" s="3692">
        <f t="shared" si="6"/>
        <v>111</v>
      </c>
      <c r="R14" s="1381" t="s">
        <v>5</v>
      </c>
      <c r="S14" s="1382">
        <f t="shared" si="0"/>
        <v>100</v>
      </c>
      <c r="T14" s="1381" t="s">
        <v>5</v>
      </c>
      <c r="U14" s="1382">
        <f t="shared" si="1"/>
        <v>100</v>
      </c>
      <c r="V14" s="1381" t="s">
        <v>5</v>
      </c>
      <c r="W14" s="1382">
        <f t="shared" si="2"/>
        <v>100</v>
      </c>
      <c r="X14" s="1383"/>
      <c r="Y14" s="3851"/>
      <c r="Z14" s="3691">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5"/>
      <c r="Q15" s="3692">
        <f t="shared" si="6"/>
        <v>111</v>
      </c>
      <c r="R15" s="1381" t="s">
        <v>5</v>
      </c>
      <c r="S15" s="1382">
        <f t="shared" si="0"/>
        <v>100</v>
      </c>
      <c r="T15" s="1381" t="s">
        <v>5</v>
      </c>
      <c r="U15" s="1382">
        <f t="shared" si="1"/>
        <v>100</v>
      </c>
      <c r="V15" s="1381" t="s">
        <v>5</v>
      </c>
      <c r="W15" s="1382">
        <f t="shared" si="2"/>
        <v>100</v>
      </c>
      <c r="X15" s="1383"/>
      <c r="Y15" s="3851"/>
      <c r="Z15" s="3691">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5"/>
      <c r="Q16" s="3692">
        <f t="shared" si="6"/>
        <v>111</v>
      </c>
      <c r="R16" s="1381" t="s">
        <v>5</v>
      </c>
      <c r="S16" s="1382">
        <f t="shared" si="0"/>
        <v>100</v>
      </c>
      <c r="T16" s="1381" t="s">
        <v>5</v>
      </c>
      <c r="U16" s="1382">
        <f t="shared" si="1"/>
        <v>100</v>
      </c>
      <c r="V16" s="1381" t="s">
        <v>5</v>
      </c>
      <c r="W16" s="1382">
        <f t="shared" si="2"/>
        <v>100</v>
      </c>
      <c r="X16" s="1383"/>
      <c r="Y16" s="3851"/>
      <c r="Z16" s="3691">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102</v>
      </c>
      <c r="G17" s="520"/>
      <c r="H17" s="519">
        <f>SUMIF(84:84,G18,85:85)-SUMIF(84:84,C18,85:85)+100</f>
        <v>102</v>
      </c>
      <c r="I17" s="522"/>
      <c r="J17" s="519">
        <f>SUMIF(84:84,I18,85:85)-SUMIF(84:84,C18,85:85)+100</f>
        <v>100</v>
      </c>
      <c r="K17" s="505">
        <v>2</v>
      </c>
      <c r="L17" s="1865"/>
      <c r="M17" s="1857"/>
      <c r="N17" s="1857"/>
      <c r="O17" s="1864"/>
      <c r="P17" s="3907" t="s">
        <v>489</v>
      </c>
      <c r="Q17" s="3694" t="str">
        <f t="shared" si="6"/>
        <v>产业集聚程度</v>
      </c>
      <c r="R17" s="1386" t="s">
        <v>5</v>
      </c>
      <c r="S17" s="1387">
        <f t="shared" si="0"/>
        <v>102</v>
      </c>
      <c r="T17" s="1386" t="s">
        <v>5</v>
      </c>
      <c r="U17" s="1387">
        <f t="shared" si="1"/>
        <v>102</v>
      </c>
      <c r="V17" s="1386" t="s">
        <v>5</v>
      </c>
      <c r="W17" s="1387">
        <f t="shared" si="2"/>
        <v>100</v>
      </c>
      <c r="X17" s="3693"/>
      <c r="Y17" s="3907" t="s">
        <v>489</v>
      </c>
      <c r="Z17" s="3695" t="str">
        <f t="shared" si="7"/>
        <v>产业集聚程度</v>
      </c>
      <c r="AA17" s="3696">
        <f t="shared" si="3"/>
        <v>0.98039215686274506</v>
      </c>
      <c r="AB17" s="3696">
        <f t="shared" si="4"/>
        <v>0.98039215686274506</v>
      </c>
      <c r="AC17" s="3696">
        <f t="shared" si="5"/>
        <v>1</v>
      </c>
    </row>
    <row r="18" spans="1:29" ht="15">
      <c r="A18" s="502"/>
      <c r="B18" s="832"/>
      <c r="C18" s="546" t="s">
        <v>3336</v>
      </c>
      <c r="D18" s="525"/>
      <c r="E18" s="524" t="s">
        <v>3345</v>
      </c>
      <c r="F18" s="525"/>
      <c r="G18" s="524" t="s">
        <v>3345</v>
      </c>
      <c r="H18" s="529"/>
      <c r="I18" s="524" t="s">
        <v>3336</v>
      </c>
      <c r="J18" s="525"/>
      <c r="K18" s="501"/>
      <c r="L18" s="1865"/>
      <c r="M18" s="1857"/>
      <c r="N18" s="1857"/>
      <c r="O18" s="1864"/>
      <c r="P18" s="3908"/>
      <c r="Q18" s="3694"/>
      <c r="R18" s="1386"/>
      <c r="S18" s="1387"/>
      <c r="T18" s="1386"/>
      <c r="U18" s="1387"/>
      <c r="V18" s="1386"/>
      <c r="W18" s="1387"/>
      <c r="X18" s="3693"/>
      <c r="Y18" s="3908"/>
      <c r="Z18" s="3695"/>
      <c r="AA18" s="3696">
        <v>1</v>
      </c>
      <c r="AB18" s="3696">
        <v>1</v>
      </c>
      <c r="AC18" s="3696">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5"/>
      <c r="M19" s="1857"/>
      <c r="N19" s="1857"/>
      <c r="O19" s="1864"/>
      <c r="P19" s="3908"/>
      <c r="Q19" s="3694" t="str">
        <f>B19</f>
        <v>交通便捷度</v>
      </c>
      <c r="R19" s="1386" t="s">
        <v>5</v>
      </c>
      <c r="S19" s="1387">
        <f>F19</f>
        <v>100</v>
      </c>
      <c r="T19" s="1386" t="s">
        <v>5</v>
      </c>
      <c r="U19" s="1387">
        <f>H19</f>
        <v>100</v>
      </c>
      <c r="V19" s="1386" t="s">
        <v>5</v>
      </c>
      <c r="W19" s="1387">
        <f>J19</f>
        <v>100</v>
      </c>
      <c r="X19" s="3693"/>
      <c r="Y19" s="3908"/>
      <c r="Z19" s="3695" t="str">
        <f>Q19</f>
        <v>交通便捷度</v>
      </c>
      <c r="AA19" s="3696">
        <f t="shared" si="3"/>
        <v>1</v>
      </c>
      <c r="AB19" s="3696">
        <f t="shared" si="4"/>
        <v>1</v>
      </c>
      <c r="AC19" s="3696">
        <f t="shared" si="5"/>
        <v>1</v>
      </c>
    </row>
    <row r="20" spans="1:29" ht="15">
      <c r="A20" s="502"/>
      <c r="B20" s="885"/>
      <c r="C20" s="546" t="s">
        <v>3345</v>
      </c>
      <c r="D20" s="525"/>
      <c r="E20" s="526" t="s">
        <v>3345</v>
      </c>
      <c r="F20" s="525"/>
      <c r="G20" s="526" t="s">
        <v>3345</v>
      </c>
      <c r="H20" s="525"/>
      <c r="I20" s="528" t="s">
        <v>3345</v>
      </c>
      <c r="J20" s="525"/>
      <c r="K20" s="501"/>
      <c r="L20" s="1865"/>
      <c r="M20" s="1857"/>
      <c r="N20" s="1857"/>
      <c r="O20" s="1864"/>
      <c r="P20" s="3908"/>
      <c r="Q20" s="3694"/>
      <c r="R20" s="1386"/>
      <c r="S20" s="1387"/>
      <c r="T20" s="1386"/>
      <c r="U20" s="1387"/>
      <c r="V20" s="1386"/>
      <c r="W20" s="1387"/>
      <c r="X20" s="3693"/>
      <c r="Y20" s="3908"/>
      <c r="Z20" s="3695"/>
      <c r="AA20" s="3696">
        <v>1</v>
      </c>
      <c r="AB20" s="3696">
        <v>1</v>
      </c>
      <c r="AC20" s="3696">
        <v>1</v>
      </c>
    </row>
    <row r="21" spans="1:29" ht="28.8">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100</v>
      </c>
      <c r="K21" s="969">
        <v>2</v>
      </c>
      <c r="L21" s="1865"/>
      <c r="M21" s="1857"/>
      <c r="N21" s="1857"/>
      <c r="O21" s="1864"/>
      <c r="P21" s="3908"/>
      <c r="Q21" s="3694" t="str">
        <f t="shared" ref="Q21:Q35" si="8">B21</f>
        <v>区域土地利用方向</v>
      </c>
      <c r="R21" s="1386" t="s">
        <v>5</v>
      </c>
      <c r="S21" s="1387">
        <f>F21</f>
        <v>102</v>
      </c>
      <c r="T21" s="1386" t="s">
        <v>5</v>
      </c>
      <c r="U21" s="1387">
        <f>H21</f>
        <v>102</v>
      </c>
      <c r="V21" s="1386" t="s">
        <v>5</v>
      </c>
      <c r="W21" s="1387">
        <f>J21</f>
        <v>100</v>
      </c>
      <c r="X21" s="3693"/>
      <c r="Y21" s="3908"/>
      <c r="Z21" s="3695" t="str">
        <f>Q21</f>
        <v>区域土地利用方向</v>
      </c>
      <c r="AA21" s="3696">
        <f t="shared" si="3"/>
        <v>0.98039215686274506</v>
      </c>
      <c r="AB21" s="3696">
        <f t="shared" si="4"/>
        <v>0.98039215686274506</v>
      </c>
      <c r="AC21" s="3696">
        <f t="shared" si="5"/>
        <v>1</v>
      </c>
    </row>
    <row r="22" spans="1:29" ht="15">
      <c r="A22" s="485"/>
      <c r="B22" s="565"/>
      <c r="C22" s="546" t="s">
        <v>3336</v>
      </c>
      <c r="D22" s="525"/>
      <c r="E22" s="526" t="s">
        <v>3345</v>
      </c>
      <c r="F22" s="527"/>
      <c r="G22" s="528" t="s">
        <v>3345</v>
      </c>
      <c r="H22" s="527"/>
      <c r="I22" s="528" t="s">
        <v>3336</v>
      </c>
      <c r="J22" s="527"/>
      <c r="K22" s="1208"/>
      <c r="L22" s="1865"/>
      <c r="M22" s="1857"/>
      <c r="N22" s="1857"/>
      <c r="O22" s="1864"/>
      <c r="P22" s="3908"/>
      <c r="Q22" s="3694"/>
      <c r="R22" s="1386"/>
      <c r="S22" s="1387"/>
      <c r="T22" s="1386"/>
      <c r="U22" s="1387"/>
      <c r="V22" s="1386"/>
      <c r="W22" s="1387"/>
      <c r="X22" s="3693"/>
      <c r="Y22" s="3908"/>
      <c r="Z22" s="3695"/>
      <c r="AA22" s="3696"/>
      <c r="AB22" s="3696"/>
      <c r="AC22" s="3696"/>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v>2</v>
      </c>
      <c r="L23" s="1865"/>
      <c r="M23" s="1857"/>
      <c r="N23" s="1857"/>
      <c r="O23" s="1864"/>
      <c r="P23" s="3908"/>
      <c r="Q23" s="3694" t="str">
        <f t="shared" si="8"/>
        <v>环境状况</v>
      </c>
      <c r="R23" s="1386" t="s">
        <v>5</v>
      </c>
      <c r="S23" s="1387">
        <f>F23</f>
        <v>100</v>
      </c>
      <c r="T23" s="1386" t="s">
        <v>5</v>
      </c>
      <c r="U23" s="1387">
        <f>H23</f>
        <v>100</v>
      </c>
      <c r="V23" s="1386" t="s">
        <v>5</v>
      </c>
      <c r="W23" s="1387">
        <f>J23</f>
        <v>100</v>
      </c>
      <c r="X23" s="3693"/>
      <c r="Y23" s="3908"/>
      <c r="Z23" s="3695" t="str">
        <f>Q23</f>
        <v>环境状况</v>
      </c>
      <c r="AA23" s="3696">
        <f t="shared" si="3"/>
        <v>1</v>
      </c>
      <c r="AB23" s="3696">
        <f t="shared" si="4"/>
        <v>1</v>
      </c>
      <c r="AC23" s="3696">
        <f t="shared" si="5"/>
        <v>1</v>
      </c>
    </row>
    <row r="24" spans="1:29" ht="15">
      <c r="A24" s="485"/>
      <c r="B24" s="565"/>
      <c r="C24" s="546" t="s">
        <v>3345</v>
      </c>
      <c r="D24" s="525"/>
      <c r="E24" s="524" t="s">
        <v>3345</v>
      </c>
      <c r="F24" s="525"/>
      <c r="G24" s="524" t="s">
        <v>3345</v>
      </c>
      <c r="H24" s="525"/>
      <c r="I24" s="546" t="s">
        <v>3345</v>
      </c>
      <c r="J24" s="525"/>
      <c r="K24" s="501"/>
      <c r="L24" s="1865"/>
      <c r="M24" s="1857"/>
      <c r="N24" s="1857"/>
      <c r="O24" s="1864"/>
      <c r="P24" s="3908"/>
      <c r="Q24" s="3694"/>
      <c r="R24" s="1386"/>
      <c r="S24" s="1387"/>
      <c r="T24" s="1386"/>
      <c r="U24" s="1387"/>
      <c r="V24" s="1386"/>
      <c r="W24" s="1387"/>
      <c r="X24" s="3693"/>
      <c r="Y24" s="3908"/>
      <c r="Z24" s="3695"/>
      <c r="AA24" s="3696">
        <v>1</v>
      </c>
      <c r="AB24" s="3696">
        <v>1</v>
      </c>
      <c r="AC24" s="3696">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2</v>
      </c>
      <c r="L25" s="1858"/>
      <c r="M25" s="1859"/>
      <c r="N25" s="1859"/>
      <c r="O25" s="1860"/>
      <c r="P25" s="3908"/>
      <c r="Q25" s="3692" t="str">
        <f t="shared" si="8"/>
        <v>公共配套设施</v>
      </c>
      <c r="R25" s="1381" t="s">
        <v>5</v>
      </c>
      <c r="S25" s="1382">
        <f>F25</f>
        <v>100</v>
      </c>
      <c r="T25" s="1381" t="s">
        <v>5</v>
      </c>
      <c r="U25" s="1382">
        <f>H25</f>
        <v>100</v>
      </c>
      <c r="V25" s="1381" t="s">
        <v>5</v>
      </c>
      <c r="W25" s="1382">
        <f>J25</f>
        <v>100</v>
      </c>
      <c r="X25" s="1383"/>
      <c r="Y25" s="3908"/>
      <c r="Z25" s="3691" t="str">
        <f>Q25</f>
        <v>公共配套设施</v>
      </c>
      <c r="AA25" s="3696">
        <f>D25/F25</f>
        <v>1</v>
      </c>
      <c r="AB25" s="3696">
        <f>D25/H25</f>
        <v>1</v>
      </c>
      <c r="AC25" s="3696">
        <f>D25/J25</f>
        <v>1</v>
      </c>
    </row>
    <row r="26" spans="1:29" s="1118" customFormat="1" ht="15">
      <c r="A26" s="547"/>
      <c r="B26" s="565"/>
      <c r="C26" s="2200" t="s">
        <v>3336</v>
      </c>
      <c r="D26" s="525"/>
      <c r="E26" s="524" t="s">
        <v>3336</v>
      </c>
      <c r="F26" s="525"/>
      <c r="G26" s="524" t="s">
        <v>3336</v>
      </c>
      <c r="H26" s="525"/>
      <c r="I26" s="546" t="s">
        <v>3336</v>
      </c>
      <c r="J26" s="525"/>
      <c r="K26" s="501"/>
      <c r="L26" s="1858"/>
      <c r="M26" s="1859"/>
      <c r="N26" s="1859"/>
      <c r="O26" s="1860"/>
      <c r="P26" s="3908"/>
      <c r="Q26" s="3692"/>
      <c r="R26" s="1381"/>
      <c r="S26" s="1382"/>
      <c r="T26" s="1381"/>
      <c r="U26" s="1382"/>
      <c r="V26" s="1381"/>
      <c r="W26" s="1382"/>
      <c r="X26" s="1383"/>
      <c r="Y26" s="3908"/>
      <c r="Z26" s="3691"/>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8"/>
      <c r="M27" s="1859"/>
      <c r="N27" s="1859"/>
      <c r="O27" s="1860"/>
      <c r="P27" s="3908"/>
      <c r="Q27" s="3692" t="str">
        <f>B27</f>
        <v>基础设施水平</v>
      </c>
      <c r="R27" s="1381" t="s">
        <v>5</v>
      </c>
      <c r="S27" s="1382">
        <f>F27</f>
        <v>100</v>
      </c>
      <c r="T27" s="1381" t="s">
        <v>5</v>
      </c>
      <c r="U27" s="1382">
        <f>H27</f>
        <v>100</v>
      </c>
      <c r="V27" s="1381" t="s">
        <v>5</v>
      </c>
      <c r="W27" s="1382">
        <f>J27</f>
        <v>100</v>
      </c>
      <c r="X27" s="1383"/>
      <c r="Y27" s="3908"/>
      <c r="Z27" s="3691" t="str">
        <f>Q27</f>
        <v>基础设施水平</v>
      </c>
      <c r="AA27" s="3696">
        <f>D27/F27</f>
        <v>1</v>
      </c>
      <c r="AB27" s="3696">
        <f>D27/H27</f>
        <v>1</v>
      </c>
      <c r="AC27" s="3696">
        <f>D27/J27</f>
        <v>1</v>
      </c>
    </row>
    <row r="28" spans="1:29" s="1118" customFormat="1" ht="15">
      <c r="A28" s="547"/>
      <c r="B28" s="565"/>
      <c r="C28" s="2200" t="s">
        <v>3344</v>
      </c>
      <c r="D28" s="525"/>
      <c r="E28" s="549" t="s">
        <v>3344</v>
      </c>
      <c r="F28" s="525"/>
      <c r="G28" s="549" t="s">
        <v>3344</v>
      </c>
      <c r="H28" s="525"/>
      <c r="I28" s="549" t="s">
        <v>3344</v>
      </c>
      <c r="J28" s="525"/>
      <c r="K28" s="501"/>
      <c r="L28" s="1858"/>
      <c r="M28" s="1859"/>
      <c r="N28" s="1859"/>
      <c r="O28" s="1860"/>
      <c r="P28" s="3908"/>
      <c r="Q28" s="3692"/>
      <c r="R28" s="1381"/>
      <c r="S28" s="1382"/>
      <c r="T28" s="1381"/>
      <c r="U28" s="1382"/>
      <c r="V28" s="1381"/>
      <c r="W28" s="1382"/>
      <c r="X28" s="1383"/>
      <c r="Y28" s="3908"/>
      <c r="Z28" s="36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08"/>
      <c r="Q29" s="3694" t="str">
        <f t="shared" si="8"/>
        <v>临街状况</v>
      </c>
      <c r="R29" s="1386" t="s">
        <v>5</v>
      </c>
      <c r="S29" s="1387">
        <f t="shared" ref="S29:S42" si="9">F29</f>
        <v>100</v>
      </c>
      <c r="T29" s="1386" t="s">
        <v>5</v>
      </c>
      <c r="U29" s="1387">
        <f t="shared" ref="U29:U42" si="10">H29</f>
        <v>100</v>
      </c>
      <c r="V29" s="1386" t="s">
        <v>5</v>
      </c>
      <c r="W29" s="1387">
        <f t="shared" ref="W29:W42" si="11">J29</f>
        <v>100</v>
      </c>
      <c r="X29" s="3693"/>
      <c r="Y29" s="3908"/>
      <c r="Z29" s="3695" t="str">
        <f t="shared" ref="Z29:Z42" si="12">Q29</f>
        <v>临街状况</v>
      </c>
      <c r="AA29" s="3696">
        <f t="shared" si="3"/>
        <v>1</v>
      </c>
      <c r="AB29" s="3696">
        <f t="shared" si="4"/>
        <v>1</v>
      </c>
      <c r="AC29" s="3696">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8"/>
      <c r="Q30" s="3694" t="str">
        <f t="shared" si="8"/>
        <v>毗邻道路的类型与等级</v>
      </c>
      <c r="R30" s="1386" t="s">
        <v>5</v>
      </c>
      <c r="S30" s="1387">
        <f t="shared" si="9"/>
        <v>100</v>
      </c>
      <c r="T30" s="1386" t="s">
        <v>5</v>
      </c>
      <c r="U30" s="1387">
        <f t="shared" si="10"/>
        <v>100</v>
      </c>
      <c r="V30" s="1386" t="s">
        <v>5</v>
      </c>
      <c r="W30" s="1387">
        <f t="shared" si="11"/>
        <v>100</v>
      </c>
      <c r="X30" s="3693"/>
      <c r="Y30" s="3908"/>
      <c r="Z30" s="3695" t="str">
        <f t="shared" si="12"/>
        <v>毗邻道路的类型与等级</v>
      </c>
      <c r="AA30" s="3696">
        <f t="shared" si="3"/>
        <v>1</v>
      </c>
      <c r="AB30" s="3696">
        <f t="shared" si="4"/>
        <v>1</v>
      </c>
      <c r="AC30" s="3696">
        <f t="shared" si="5"/>
        <v>1</v>
      </c>
    </row>
    <row r="31" spans="1:29" ht="15">
      <c r="A31" s="502"/>
      <c r="B31" s="565"/>
      <c r="C31" s="546"/>
      <c r="D31" s="525"/>
      <c r="E31" s="546"/>
      <c r="F31" s="525"/>
      <c r="G31" s="546"/>
      <c r="H31" s="525"/>
      <c r="I31" s="546"/>
      <c r="J31" s="525"/>
      <c r="K31" s="551"/>
      <c r="L31" s="1865"/>
      <c r="M31" s="1857"/>
      <c r="N31" s="1857"/>
      <c r="O31" s="1864"/>
      <c r="P31" s="3908"/>
      <c r="Q31" s="3694"/>
      <c r="R31" s="1386"/>
      <c r="S31" s="1387"/>
      <c r="T31" s="1386"/>
      <c r="U31" s="1387"/>
      <c r="V31" s="1386"/>
      <c r="W31" s="1387"/>
      <c r="X31" s="3693"/>
      <c r="Y31" s="3908"/>
      <c r="Z31" s="3695"/>
      <c r="AA31" s="3696">
        <v>1</v>
      </c>
      <c r="AB31" s="3696">
        <v>1</v>
      </c>
      <c r="AC31" s="3696">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08"/>
      <c r="Q32" s="3694" t="str">
        <f t="shared" si="8"/>
        <v>土地级别</v>
      </c>
      <c r="R32" s="1386" t="s">
        <v>5</v>
      </c>
      <c r="S32" s="1387">
        <f t="shared" si="9"/>
        <v>100</v>
      </c>
      <c r="T32" s="1386" t="s">
        <v>5</v>
      </c>
      <c r="U32" s="1387">
        <f t="shared" si="10"/>
        <v>100</v>
      </c>
      <c r="V32" s="1386" t="s">
        <v>5</v>
      </c>
      <c r="W32" s="1387">
        <f t="shared" si="11"/>
        <v>100</v>
      </c>
      <c r="X32" s="3693"/>
      <c r="Y32" s="3908"/>
      <c r="Z32" s="3695" t="str">
        <f t="shared" si="12"/>
        <v>土地级别</v>
      </c>
      <c r="AA32" s="3696">
        <f t="shared" si="3"/>
        <v>1</v>
      </c>
      <c r="AB32" s="3696">
        <f t="shared" si="4"/>
        <v>1</v>
      </c>
      <c r="AC32" s="3696">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8"/>
      <c r="Q33" s="3694">
        <f t="shared" si="8"/>
        <v>111</v>
      </c>
      <c r="R33" s="1386" t="s">
        <v>5</v>
      </c>
      <c r="S33" s="1387">
        <f t="shared" si="9"/>
        <v>100</v>
      </c>
      <c r="T33" s="1386" t="s">
        <v>5</v>
      </c>
      <c r="U33" s="1387">
        <f t="shared" si="10"/>
        <v>100</v>
      </c>
      <c r="V33" s="1386" t="s">
        <v>5</v>
      </c>
      <c r="W33" s="1387">
        <f t="shared" si="11"/>
        <v>100</v>
      </c>
      <c r="X33" s="3693"/>
      <c r="Y33" s="3908"/>
      <c r="Z33" s="3695">
        <f t="shared" si="12"/>
        <v>111</v>
      </c>
      <c r="AA33" s="3696">
        <f t="shared" si="3"/>
        <v>1</v>
      </c>
      <c r="AB33" s="3696">
        <f t="shared" si="4"/>
        <v>1</v>
      </c>
      <c r="AC33" s="3696">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9" t="s">
        <v>499</v>
      </c>
      <c r="Q34" s="3694">
        <f t="shared" si="8"/>
        <v>111</v>
      </c>
      <c r="R34" s="1386" t="s">
        <v>5</v>
      </c>
      <c r="S34" s="1387">
        <f t="shared" si="9"/>
        <v>100</v>
      </c>
      <c r="T34" s="1386" t="s">
        <v>5</v>
      </c>
      <c r="U34" s="1387">
        <f t="shared" si="10"/>
        <v>100</v>
      </c>
      <c r="V34" s="1386" t="s">
        <v>5</v>
      </c>
      <c r="W34" s="1387">
        <f t="shared" si="11"/>
        <v>100</v>
      </c>
      <c r="X34" s="3693"/>
      <c r="Y34" s="3910" t="s">
        <v>499</v>
      </c>
      <c r="Z34" s="3695">
        <f t="shared" si="12"/>
        <v>111</v>
      </c>
      <c r="AA34" s="3696">
        <f t="shared" si="3"/>
        <v>1</v>
      </c>
      <c r="AB34" s="3696">
        <f t="shared" si="4"/>
        <v>1</v>
      </c>
      <c r="AC34" s="3696">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10"/>
      <c r="Q35" s="3694">
        <f t="shared" si="8"/>
        <v>111</v>
      </c>
      <c r="R35" s="1390" t="s">
        <v>5</v>
      </c>
      <c r="S35" s="1391">
        <f t="shared" si="9"/>
        <v>100</v>
      </c>
      <c r="T35" s="1390" t="s">
        <v>5</v>
      </c>
      <c r="U35" s="1391">
        <f t="shared" si="10"/>
        <v>100</v>
      </c>
      <c r="V35" s="1390" t="s">
        <v>5</v>
      </c>
      <c r="W35" s="1391">
        <f t="shared" si="11"/>
        <v>100</v>
      </c>
      <c r="X35" s="1392"/>
      <c r="Y35" s="3910"/>
      <c r="Z35" s="1393">
        <f t="shared" si="12"/>
        <v>111</v>
      </c>
      <c r="AA35" s="3696">
        <f t="shared" si="3"/>
        <v>1</v>
      </c>
      <c r="AB35" s="3696">
        <f t="shared" si="4"/>
        <v>1</v>
      </c>
      <c r="AC35" s="3696">
        <f t="shared" si="5"/>
        <v>1</v>
      </c>
    </row>
    <row r="36" spans="1:29" ht="15">
      <c r="A36" s="2387" t="s">
        <v>2037</v>
      </c>
      <c r="B36" s="565" t="s">
        <v>501</v>
      </c>
      <c r="C36" s="566">
        <f>'数据-汇总表'!D19</f>
        <v>13878.77</v>
      </c>
      <c r="D36" s="567">
        <v>100</v>
      </c>
      <c r="E36" s="566">
        <f>Sheet3!E3</f>
        <v>114154.36</v>
      </c>
      <c r="F36" s="567">
        <f>LOOKUP(E36,109:109,110:110)-LOOKUP(C36,109:109,110:110)+100</f>
        <v>100</v>
      </c>
      <c r="G36" s="566">
        <f>Sheet3!E4</f>
        <v>158604</v>
      </c>
      <c r="H36" s="567">
        <f>LOOKUP(G36,109:109,110:110)-LOOKUP(C36,109:109,110:110)+100</f>
        <v>100</v>
      </c>
      <c r="I36" s="568">
        <f>Sheet3!E6</f>
        <v>97812.236999999994</v>
      </c>
      <c r="J36" s="567">
        <f>LOOKUP(I36,109:109,110:110)-LOOKUP(C36,109:109,110:110)+100</f>
        <v>100</v>
      </c>
      <c r="K36" s="551"/>
      <c r="L36" s="1865"/>
      <c r="M36" s="1857"/>
      <c r="N36" s="1857"/>
      <c r="O36" s="1864"/>
      <c r="P36" s="3910"/>
      <c r="Q36" s="3694" t="str">
        <f>B36</f>
        <v>宗地面积</v>
      </c>
      <c r="R36" s="1386" t="s">
        <v>5</v>
      </c>
      <c r="S36" s="1387">
        <f t="shared" si="9"/>
        <v>100</v>
      </c>
      <c r="T36" s="1386" t="s">
        <v>5</v>
      </c>
      <c r="U36" s="1387">
        <f t="shared" si="10"/>
        <v>100</v>
      </c>
      <c r="V36" s="1386" t="s">
        <v>5</v>
      </c>
      <c r="W36" s="1387">
        <f t="shared" si="11"/>
        <v>100</v>
      </c>
      <c r="X36" s="3693"/>
      <c r="Y36" s="3910"/>
      <c r="Z36" s="3695" t="str">
        <f t="shared" si="12"/>
        <v>宗地面积</v>
      </c>
      <c r="AA36" s="3696">
        <f t="shared" si="3"/>
        <v>1</v>
      </c>
      <c r="AB36" s="3696">
        <f t="shared" si="4"/>
        <v>1</v>
      </c>
      <c r="AC36" s="3696">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10"/>
      <c r="Q37" s="3694" t="str">
        <f t="shared" ref="Q37:Q42" si="13">B37</f>
        <v>宗地形状</v>
      </c>
      <c r="R37" s="1386" t="s">
        <v>5</v>
      </c>
      <c r="S37" s="1387">
        <f t="shared" si="9"/>
        <v>100</v>
      </c>
      <c r="T37" s="1386" t="s">
        <v>5</v>
      </c>
      <c r="U37" s="1387">
        <f t="shared" si="10"/>
        <v>100</v>
      </c>
      <c r="V37" s="1386" t="s">
        <v>5</v>
      </c>
      <c r="W37" s="1387">
        <f t="shared" si="11"/>
        <v>100</v>
      </c>
      <c r="X37" s="3693"/>
      <c r="Y37" s="3910"/>
      <c r="Z37" s="3695" t="str">
        <f t="shared" si="12"/>
        <v>宗地形状</v>
      </c>
      <c r="AA37" s="3696">
        <f t="shared" si="3"/>
        <v>1</v>
      </c>
      <c r="AB37" s="3696">
        <f t="shared" si="4"/>
        <v>1</v>
      </c>
      <c r="AC37" s="3696">
        <f t="shared" si="5"/>
        <v>1</v>
      </c>
    </row>
    <row r="38" spans="1:29" s="1118" customFormat="1" ht="15">
      <c r="A38" s="570"/>
      <c r="B38" s="1651" t="s">
        <v>1776</v>
      </c>
      <c r="C38" s="571" t="s">
        <v>3350</v>
      </c>
      <c r="D38" s="246">
        <v>100</v>
      </c>
      <c r="E38" s="571" t="s">
        <v>3346</v>
      </c>
      <c r="F38" s="510">
        <f>SUMIF(113:113,E38,114:114)-SUMIF(113:113,C38,114:114)+100</f>
        <v>103</v>
      </c>
      <c r="G38" s="571" t="s">
        <v>3346</v>
      </c>
      <c r="H38" s="510">
        <f>SUMIF(113:113,G38,114:114)-SUMIF(113:113,C38,114:114)+100</f>
        <v>103</v>
      </c>
      <c r="I38" s="571" t="s">
        <v>3346</v>
      </c>
      <c r="J38" s="510">
        <f>SUMIF(113:113,I38,114:114)-SUMIF(113:113,C38,114:114)+100</f>
        <v>103</v>
      </c>
      <c r="K38" s="554">
        <v>1</v>
      </c>
      <c r="L38" s="1858"/>
      <c r="M38" s="1859"/>
      <c r="N38" s="1859"/>
      <c r="O38" s="1860"/>
      <c r="P38" s="3910"/>
      <c r="Q38" s="3694" t="str">
        <f t="shared" si="13"/>
        <v>宗地开发程度</v>
      </c>
      <c r="R38" s="1381" t="s">
        <v>5</v>
      </c>
      <c r="S38" s="1382">
        <f t="shared" si="9"/>
        <v>103</v>
      </c>
      <c r="T38" s="1381" t="s">
        <v>5</v>
      </c>
      <c r="U38" s="1382">
        <f t="shared" si="10"/>
        <v>103</v>
      </c>
      <c r="V38" s="1381" t="s">
        <v>5</v>
      </c>
      <c r="W38" s="1382">
        <f t="shared" si="11"/>
        <v>103</v>
      </c>
      <c r="X38" s="1383"/>
      <c r="Y38" s="3910"/>
      <c r="Z38" s="3691" t="str">
        <f t="shared" si="12"/>
        <v>宗地开发程度</v>
      </c>
      <c r="AA38" s="1384">
        <f t="shared" si="3"/>
        <v>0.970873786407767</v>
      </c>
      <c r="AB38" s="1384">
        <f t="shared" si="4"/>
        <v>0.970873786407767</v>
      </c>
      <c r="AC38" s="1384">
        <f t="shared" si="5"/>
        <v>0.970873786407767</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10" t="s">
        <v>499</v>
      </c>
      <c r="Q39" s="3694" t="str">
        <f t="shared" si="13"/>
        <v>工程地质条件</v>
      </c>
      <c r="R39" s="1386" t="s">
        <v>5</v>
      </c>
      <c r="S39" s="1387">
        <f t="shared" si="9"/>
        <v>100</v>
      </c>
      <c r="T39" s="1386" t="s">
        <v>5</v>
      </c>
      <c r="U39" s="1387">
        <f t="shared" si="10"/>
        <v>100</v>
      </c>
      <c r="V39" s="1386" t="s">
        <v>5</v>
      </c>
      <c r="W39" s="1387">
        <f t="shared" si="11"/>
        <v>100</v>
      </c>
      <c r="X39" s="3693"/>
      <c r="Y39" s="3910" t="s">
        <v>499</v>
      </c>
      <c r="Z39" s="3695" t="str">
        <f t="shared" si="12"/>
        <v>工程地质条件</v>
      </c>
      <c r="AA39" s="3696">
        <f t="shared" si="3"/>
        <v>1</v>
      </c>
      <c r="AB39" s="3696">
        <f t="shared" si="4"/>
        <v>1</v>
      </c>
      <c r="AC39" s="3696">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10"/>
      <c r="Q40" s="3694">
        <f t="shared" si="13"/>
        <v>111</v>
      </c>
      <c r="R40" s="1386" t="s">
        <v>5</v>
      </c>
      <c r="S40" s="1387">
        <f t="shared" si="9"/>
        <v>100</v>
      </c>
      <c r="T40" s="1386" t="s">
        <v>5</v>
      </c>
      <c r="U40" s="1387">
        <f t="shared" si="10"/>
        <v>100</v>
      </c>
      <c r="V40" s="1386" t="s">
        <v>5</v>
      </c>
      <c r="W40" s="1387">
        <f t="shared" si="11"/>
        <v>100</v>
      </c>
      <c r="X40" s="3693"/>
      <c r="Y40" s="3910"/>
      <c r="Z40" s="3695">
        <f t="shared" si="12"/>
        <v>111</v>
      </c>
      <c r="AA40" s="3696">
        <f t="shared" si="3"/>
        <v>1</v>
      </c>
      <c r="AB40" s="3696">
        <f t="shared" si="4"/>
        <v>1</v>
      </c>
      <c r="AC40" s="3696">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10"/>
      <c r="Q41" s="3694">
        <f t="shared" si="13"/>
        <v>111</v>
      </c>
      <c r="R41" s="1386" t="s">
        <v>5</v>
      </c>
      <c r="S41" s="1387">
        <f t="shared" si="9"/>
        <v>100</v>
      </c>
      <c r="T41" s="1386" t="s">
        <v>5</v>
      </c>
      <c r="U41" s="1387">
        <f t="shared" si="10"/>
        <v>100</v>
      </c>
      <c r="V41" s="1386" t="s">
        <v>5</v>
      </c>
      <c r="W41" s="1387">
        <f t="shared" si="11"/>
        <v>100</v>
      </c>
      <c r="X41" s="3693"/>
      <c r="Y41" s="3910"/>
      <c r="Z41" s="3695">
        <f t="shared" si="12"/>
        <v>111</v>
      </c>
      <c r="AA41" s="3696">
        <f t="shared" si="3"/>
        <v>1</v>
      </c>
      <c r="AB41" s="3696">
        <f t="shared" si="4"/>
        <v>1</v>
      </c>
      <c r="AC41" s="3696">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10"/>
      <c r="Q42" s="3694">
        <f t="shared" si="13"/>
        <v>111</v>
      </c>
      <c r="R42" s="1390" t="s">
        <v>5</v>
      </c>
      <c r="S42" s="1391">
        <f t="shared" si="9"/>
        <v>100</v>
      </c>
      <c r="T42" s="1390" t="s">
        <v>5</v>
      </c>
      <c r="U42" s="1391">
        <f t="shared" si="10"/>
        <v>100</v>
      </c>
      <c r="V42" s="1390" t="s">
        <v>5</v>
      </c>
      <c r="W42" s="1391">
        <f t="shared" si="11"/>
        <v>100</v>
      </c>
      <c r="X42" s="1392"/>
      <c r="Y42" s="3910"/>
      <c r="Z42" s="1393">
        <f t="shared" si="12"/>
        <v>111</v>
      </c>
      <c r="AA42" s="3696">
        <f t="shared" si="3"/>
        <v>1</v>
      </c>
      <c r="AB42" s="3696">
        <f t="shared" si="4"/>
        <v>1</v>
      </c>
      <c r="AC42" s="3696">
        <f t="shared" si="5"/>
        <v>1</v>
      </c>
    </row>
    <row r="43" spans="1:29" ht="14.4">
      <c r="A43" s="577" t="s">
        <v>505</v>
      </c>
      <c r="B43" s="578" t="s">
        <v>2197</v>
      </c>
      <c r="C43" s="579" t="s">
        <v>0</v>
      </c>
      <c r="D43" s="580"/>
      <c r="E43" s="581">
        <f>Sheet3!J3</f>
        <v>10277</v>
      </c>
      <c r="F43" s="582"/>
      <c r="G43" s="583">
        <f>Sheet3!J4</f>
        <v>8875</v>
      </c>
      <c r="H43" s="584"/>
      <c r="I43" s="581">
        <f>Sheet3!J6</f>
        <v>8121</v>
      </c>
      <c r="J43" s="584"/>
      <c r="K43" s="1201"/>
      <c r="L43" s="1867"/>
      <c r="M43" s="1857"/>
      <c r="N43" s="1857"/>
      <c r="O43" s="1868"/>
      <c r="P43" s="3905" t="str">
        <f>A43</f>
        <v>成交单价</v>
      </c>
      <c r="Q43" s="3905"/>
      <c r="R43" s="3921">
        <f>E43</f>
        <v>10277</v>
      </c>
      <c r="S43" s="3921"/>
      <c r="T43" s="3921">
        <f>G43</f>
        <v>8875</v>
      </c>
      <c r="U43" s="3921"/>
      <c r="V43" s="3921">
        <f>I43</f>
        <v>8121</v>
      </c>
      <c r="W43" s="3921"/>
      <c r="X43" s="1375"/>
      <c r="Y43" s="1394"/>
      <c r="Z43" s="1375"/>
      <c r="AA43" s="1375"/>
      <c r="AB43" s="1375"/>
      <c r="AC43" s="1375"/>
    </row>
    <row r="44" spans="1:29" ht="15" thickBot="1">
      <c r="A44" s="585" t="s">
        <v>1975</v>
      </c>
      <c r="B44" s="586"/>
      <c r="C44" s="587">
        <f>R45</f>
        <v>8329</v>
      </c>
      <c r="D44" s="2757" t="s">
        <v>2261</v>
      </c>
      <c r="E44" s="587">
        <f>R44</f>
        <v>9370</v>
      </c>
      <c r="F44" s="2758"/>
      <c r="G44" s="588">
        <f>T44</f>
        <v>8037</v>
      </c>
      <c r="H44" s="2758"/>
      <c r="I44" s="587">
        <f>V44</f>
        <v>7581</v>
      </c>
      <c r="J44" s="2758"/>
      <c r="K44" s="2759">
        <f>F44+H44+J44</f>
        <v>0</v>
      </c>
      <c r="L44" s="1867"/>
      <c r="M44" s="1857"/>
      <c r="N44" s="1857"/>
      <c r="O44" s="1868"/>
      <c r="P44" s="3905" t="str">
        <f>A44</f>
        <v>比较价格（元/平方米）</v>
      </c>
      <c r="Q44" s="3905"/>
      <c r="R44" s="3929">
        <f>ROUND(PRODUCT(R43,AA9:AA42),0)</f>
        <v>9370</v>
      </c>
      <c r="S44" s="3929"/>
      <c r="T44" s="3929">
        <f>ROUND(PRODUCT(T43,AB9:AB42),0)</f>
        <v>8037</v>
      </c>
      <c r="U44" s="3929"/>
      <c r="V44" s="3929">
        <f>ROUND(PRODUCT(V43,AC9:AC42),0)</f>
        <v>7581</v>
      </c>
      <c r="W44" s="3929"/>
      <c r="X44" s="1375"/>
      <c r="Y44" s="1375"/>
      <c r="Z44" s="1375"/>
      <c r="AA44" s="1375"/>
      <c r="AB44" s="1375"/>
      <c r="AC44" s="1375"/>
    </row>
    <row r="45" spans="1:29" ht="15" thickBot="1">
      <c r="A45" s="589" t="s">
        <v>2198</v>
      </c>
      <c r="B45" s="590"/>
      <c r="C45" s="591">
        <f>R45</f>
        <v>8329</v>
      </c>
      <c r="D45" s="591"/>
      <c r="E45" s="591"/>
      <c r="F45" s="591"/>
      <c r="G45" s="591"/>
      <c r="H45" s="591"/>
      <c r="I45" s="591"/>
      <c r="J45" s="591"/>
      <c r="K45" s="1202"/>
      <c r="L45" s="1867"/>
      <c r="M45" s="1857"/>
      <c r="N45" s="1857"/>
      <c r="O45" s="1868"/>
      <c r="P45" s="3911" t="str">
        <f>A45</f>
        <v>估价对象XX用房的比较价格（楼面单价，元/平方米）</v>
      </c>
      <c r="Q45" s="3912"/>
      <c r="R45" s="3934">
        <f>ROUND(IF(D44="简单平均",AVERAGE(R44:W44),R44*F44+T44*H44+V44*J44),0)</f>
        <v>8329</v>
      </c>
      <c r="S45" s="3934"/>
      <c r="T45" s="3934"/>
      <c r="U45" s="3934"/>
      <c r="V45" s="3934"/>
      <c r="W45" s="3934"/>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9.6798292422625387E-2</v>
      </c>
      <c r="F48" s="595" t="str">
        <f>IF(OR(E48&gt;=0.3,E48&lt;=-0.3),"超过30%","")</f>
        <v/>
      </c>
      <c r="G48" s="594">
        <f>IF(G43&lt;G44,G44/G43-1,G43/G44-1)</f>
        <v>0.10426776160258799</v>
      </c>
      <c r="H48" s="595" t="str">
        <f>IF(OR(G48&gt;=0.3,G48&lt;=-0.3),"超过30%","")</f>
        <v/>
      </c>
      <c r="I48" s="594">
        <f>IF(I43&lt;I44,I44/I43-1,I43/I44-1)</f>
        <v>7.1230708349821814E-2</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32" ht="13.5" customHeight="1">
      <c r="A49" s="2957"/>
      <c r="B49" s="2957"/>
      <c r="C49" s="592" t="s">
        <v>507</v>
      </c>
      <c r="D49" s="596"/>
      <c r="E49" s="594">
        <f>IF(E44&lt;G44,G44/E44-1,E44/G44-1)</f>
        <v>0.16585790717929583</v>
      </c>
      <c r="F49" s="595" t="str">
        <f>IF(OR(E49&gt;=0.2,E49&lt;=-0.2),"超过20%","")</f>
        <v/>
      </c>
      <c r="G49" s="594">
        <f>IF(G44&lt;I44,I44/G44-1,G44/I44-1)</f>
        <v>6.0150375939849621E-2</v>
      </c>
      <c r="H49" s="595" t="str">
        <f>IF(OR(G49&gt;=0.2,G49&lt;=-0.2),"超过20%","")</f>
        <v/>
      </c>
      <c r="I49" s="594">
        <f>IF(I44&lt;E44,E44/I44-1,I44/E44-1)</f>
        <v>0.23598469858857674</v>
      </c>
      <c r="J49" s="595" t="str">
        <f>IF(OR(I49&gt;=0.2,I49&lt;=-0.2),"超过20%","")</f>
        <v>超过20%</v>
      </c>
      <c r="K49" s="2960"/>
      <c r="L49" s="1872"/>
      <c r="M49" s="1868"/>
      <c r="N49" s="1868"/>
      <c r="O49" s="1868"/>
      <c r="P49" s="1868"/>
      <c r="Q49" s="1868"/>
      <c r="R49" s="1868"/>
      <c r="S49" s="1868"/>
      <c r="T49" s="1868"/>
      <c r="U49" s="1868"/>
      <c r="V49" s="1868"/>
      <c r="W49" s="1868"/>
      <c r="X49" s="1868"/>
      <c r="Y49" s="1868"/>
      <c r="Z49" s="1868"/>
      <c r="AA49" s="1868"/>
      <c r="AB49" s="1868"/>
      <c r="AC49" s="1868"/>
    </row>
    <row r="50" spans="1:32" s="1205" customFormat="1" ht="13.5" customHeight="1">
      <c r="A50" s="2958"/>
      <c r="B50" s="2958"/>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61"/>
      <c r="L50" s="1875"/>
      <c r="M50" s="1869"/>
      <c r="N50" s="1869"/>
      <c r="O50" s="1869"/>
      <c r="P50" s="1869"/>
      <c r="Q50" s="1869"/>
      <c r="R50" s="1869"/>
      <c r="S50" s="1869"/>
      <c r="T50" s="1869"/>
      <c r="U50" s="1869"/>
      <c r="V50" s="1869"/>
      <c r="W50" s="1869"/>
      <c r="X50" s="1869"/>
      <c r="Y50" s="1869"/>
      <c r="Z50" s="1869"/>
      <c r="AA50" s="1869"/>
      <c r="AB50" s="1869"/>
      <c r="AC50" s="1869"/>
    </row>
    <row r="51" spans="1:32"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32" ht="28.8">
      <c r="A52" s="597" t="s">
        <v>509</v>
      </c>
      <c r="B52" s="598" t="s">
        <v>510</v>
      </c>
      <c r="C52" s="1376" t="s">
        <v>1253</v>
      </c>
      <c r="D52" s="1946" t="s">
        <v>1650</v>
      </c>
      <c r="E52" s="599" t="s">
        <v>511</v>
      </c>
      <c r="F52" s="1707" t="s">
        <v>512</v>
      </c>
      <c r="G52" s="3930" t="s">
        <v>1642</v>
      </c>
      <c r="H52" s="3931"/>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32" s="1206" customFormat="1" ht="13.2">
      <c r="A53" s="601" t="s">
        <v>513</v>
      </c>
      <c r="B53" s="602">
        <f>C45</f>
        <v>8329</v>
      </c>
      <c r="C53" s="603">
        <v>1</v>
      </c>
      <c r="D53" s="1947">
        <v>1</v>
      </c>
      <c r="E53" s="603">
        <f>'数据-汇总表'!E8+'数据-汇总表'!E9</f>
        <v>1993.1</v>
      </c>
      <c r="F53" s="1706">
        <f t="shared" ref="F53:F61" si="14">ROUND(B53*E53/10000,0)</f>
        <v>1660</v>
      </c>
      <c r="G53" s="3932"/>
      <c r="H53" s="3933"/>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32"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32"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32" s="1206" customFormat="1" ht="13.2">
      <c r="A56" s="605" t="s">
        <v>516</v>
      </c>
      <c r="B56" s="606">
        <f t="shared" si="16"/>
        <v>0</v>
      </c>
      <c r="C56" s="365">
        <f t="shared" si="15"/>
        <v>0</v>
      </c>
      <c r="D56" s="1948">
        <v>0.25</v>
      </c>
      <c r="E56" s="607"/>
      <c r="F56" s="1706">
        <f t="shared" si="14"/>
        <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32"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32"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32"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SUMIF(修正!$A$59:$A$70,H59,修正!G59:G70)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32"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32"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32" s="1206" customFormat="1" thickBot="1">
      <c r="A62" s="610" t="s">
        <v>521</v>
      </c>
      <c r="B62" s="611" t="s">
        <v>11</v>
      </c>
      <c r="C62" s="611" t="s">
        <v>11</v>
      </c>
      <c r="D62" s="611" t="s">
        <v>1651</v>
      </c>
      <c r="E62" s="611">
        <f>IF(B43="楼面地价",SUM(E53:E61),'数据-汇总表'!D3)</f>
        <v>13878.77</v>
      </c>
      <c r="F62" s="612">
        <f>IF(B43="楼面地价",SUM(F53:F61),ROUND(C45*E62/10000,0))</f>
        <v>11560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32">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32">
      <c r="A64" s="1868"/>
      <c r="B64" s="1870"/>
      <c r="C64" s="2280" t="str">
        <f>YEAR(C9)&amp;"-"&amp;MONTH(C9)&amp;"-1"</f>
        <v>2025-7-1</v>
      </c>
      <c r="D64" s="2279">
        <f>EDATE(C64,-3)</f>
        <v>45748</v>
      </c>
      <c r="E64" s="2279">
        <f t="shared" ref="E64:AF64" si="17">EDATE(D64,-3)</f>
        <v>45658</v>
      </c>
      <c r="F64" s="2279">
        <f t="shared" si="17"/>
        <v>45566</v>
      </c>
      <c r="G64" s="2279">
        <f t="shared" si="17"/>
        <v>45474</v>
      </c>
      <c r="H64" s="2279">
        <f t="shared" si="17"/>
        <v>45383</v>
      </c>
      <c r="I64" s="2279">
        <f t="shared" si="17"/>
        <v>45292</v>
      </c>
      <c r="J64" s="2279">
        <f t="shared" si="17"/>
        <v>45200</v>
      </c>
      <c r="K64" s="2279">
        <f t="shared" si="17"/>
        <v>45108</v>
      </c>
      <c r="L64" s="2279">
        <f t="shared" si="17"/>
        <v>45017</v>
      </c>
      <c r="M64" s="2279">
        <f t="shared" si="17"/>
        <v>44927</v>
      </c>
      <c r="N64" s="2279">
        <f t="shared" si="17"/>
        <v>44835</v>
      </c>
      <c r="O64" s="1870">
        <f t="shared" si="17"/>
        <v>44743</v>
      </c>
      <c r="P64" s="1870">
        <f t="shared" si="17"/>
        <v>44652</v>
      </c>
      <c r="Q64" s="1870">
        <f t="shared" si="17"/>
        <v>44562</v>
      </c>
      <c r="R64" s="1870">
        <f t="shared" si="17"/>
        <v>44470</v>
      </c>
      <c r="S64" s="1870">
        <f t="shared" si="17"/>
        <v>44378</v>
      </c>
      <c r="T64" s="1870">
        <f t="shared" si="17"/>
        <v>44287</v>
      </c>
      <c r="U64" s="1870">
        <f t="shared" si="17"/>
        <v>44197</v>
      </c>
      <c r="V64" s="1870">
        <f t="shared" si="17"/>
        <v>44105</v>
      </c>
      <c r="W64" s="1870">
        <f t="shared" si="17"/>
        <v>44013</v>
      </c>
      <c r="X64" s="1870">
        <f t="shared" si="17"/>
        <v>43922</v>
      </c>
      <c r="Y64" s="1870">
        <f t="shared" si="17"/>
        <v>43831</v>
      </c>
      <c r="Z64" s="1870">
        <f t="shared" si="17"/>
        <v>43739</v>
      </c>
      <c r="AA64" s="1870">
        <f t="shared" si="17"/>
        <v>43647</v>
      </c>
      <c r="AB64" s="1870">
        <f t="shared" si="17"/>
        <v>43556</v>
      </c>
      <c r="AC64" s="1870">
        <f t="shared" si="17"/>
        <v>43466</v>
      </c>
      <c r="AD64" s="1870">
        <f t="shared" si="17"/>
        <v>43374</v>
      </c>
      <c r="AE64" s="1870">
        <f t="shared" si="17"/>
        <v>43282</v>
      </c>
      <c r="AF64" s="1870">
        <f t="shared" si="17"/>
        <v>43191</v>
      </c>
    </row>
    <row r="65" spans="1:32"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32" s="1207" customFormat="1" ht="41.4">
      <c r="A66" s="2185" t="s">
        <v>1816</v>
      </c>
      <c r="B66" s="614"/>
      <c r="C66" s="2281" t="str">
        <f>YEAR(C64)&amp;"-"&amp;ROUNDUP(MONTH(C64)/3,0)</f>
        <v>2025-3</v>
      </c>
      <c r="D66" s="2281" t="str">
        <f t="shared" ref="D66:AF66" si="18">YEAR(D64)&amp;"-"&amp;ROUNDUP(MONTH(D64)/3,0)</f>
        <v>2025-2</v>
      </c>
      <c r="E66" s="2281" t="str">
        <f t="shared" si="18"/>
        <v>2025-1</v>
      </c>
      <c r="F66" s="2281" t="str">
        <f t="shared" si="18"/>
        <v>2024-4</v>
      </c>
      <c r="G66" s="2281" t="str">
        <f t="shared" si="18"/>
        <v>2024-3</v>
      </c>
      <c r="H66" s="2281" t="str">
        <f t="shared" si="18"/>
        <v>2024-2</v>
      </c>
      <c r="I66" s="2281" t="str">
        <f t="shared" si="18"/>
        <v>2024-1</v>
      </c>
      <c r="J66" s="2281" t="str">
        <f t="shared" si="18"/>
        <v>2023-4</v>
      </c>
      <c r="K66" s="2281" t="str">
        <f t="shared" si="18"/>
        <v>2023-3</v>
      </c>
      <c r="L66" s="2281" t="str">
        <f t="shared" si="18"/>
        <v>2023-2</v>
      </c>
      <c r="M66" s="2281" t="str">
        <f t="shared" si="18"/>
        <v>2023-1</v>
      </c>
      <c r="N66" s="2281" t="str">
        <f t="shared" si="18"/>
        <v>2022-4</v>
      </c>
      <c r="O66" s="3697" t="str">
        <f t="shared" si="18"/>
        <v>2022-3</v>
      </c>
      <c r="P66" s="3697" t="str">
        <f t="shared" si="18"/>
        <v>2022-2</v>
      </c>
      <c r="Q66" s="3697" t="str">
        <f t="shared" si="18"/>
        <v>2022-1</v>
      </c>
      <c r="R66" s="3697" t="str">
        <f t="shared" si="18"/>
        <v>2021-4</v>
      </c>
      <c r="S66" s="3697" t="str">
        <f t="shared" si="18"/>
        <v>2021-3</v>
      </c>
      <c r="T66" s="3697" t="str">
        <f t="shared" si="18"/>
        <v>2021-2</v>
      </c>
      <c r="U66" s="3697" t="str">
        <f t="shared" si="18"/>
        <v>2021-1</v>
      </c>
      <c r="V66" s="3697" t="str">
        <f t="shared" si="18"/>
        <v>2020-4</v>
      </c>
      <c r="W66" s="3697" t="str">
        <f t="shared" si="18"/>
        <v>2020-3</v>
      </c>
      <c r="X66" s="3697" t="str">
        <f t="shared" si="18"/>
        <v>2020-2</v>
      </c>
      <c r="Y66" s="3697" t="str">
        <f t="shared" si="18"/>
        <v>2020-1</v>
      </c>
      <c r="Z66" s="3697" t="str">
        <f t="shared" si="18"/>
        <v>2019-4</v>
      </c>
      <c r="AA66" s="3697" t="str">
        <f t="shared" si="18"/>
        <v>2019-3</v>
      </c>
      <c r="AB66" s="3697" t="str">
        <f t="shared" si="18"/>
        <v>2019-2</v>
      </c>
      <c r="AC66" s="3697" t="str">
        <f t="shared" si="18"/>
        <v>2019-1</v>
      </c>
      <c r="AD66" s="3697" t="str">
        <f t="shared" si="18"/>
        <v>2018-4</v>
      </c>
      <c r="AE66" s="3697" t="str">
        <f t="shared" si="18"/>
        <v>2018-3</v>
      </c>
      <c r="AF66" s="3697" t="str">
        <f t="shared" si="18"/>
        <v>2018-2</v>
      </c>
    </row>
    <row r="67" spans="1:32" s="1118" customFormat="1" ht="27.75" customHeight="1">
      <c r="A67" s="2278" t="s">
        <v>1931</v>
      </c>
      <c r="B67" s="465" t="str">
        <f>"北京市平均增长率"&amp;TEXT(基准地价!P28,"0.00%")</f>
        <v>北京市平均增长率0.00%</v>
      </c>
      <c r="C67" s="857">
        <v>100</v>
      </c>
      <c r="D67" s="698">
        <f>ROUND(C67/(1+D68),2)</f>
        <v>101.06</v>
      </c>
      <c r="E67" s="698">
        <f t="shared" ref="E67:AF67" si="19">ROUND(D67/(1+E68),2)</f>
        <v>101.98</v>
      </c>
      <c r="F67" s="698">
        <f t="shared" si="19"/>
        <v>102.75</v>
      </c>
      <c r="G67" s="698">
        <f t="shared" si="19"/>
        <v>103.03</v>
      </c>
      <c r="H67" s="698">
        <f t="shared" si="19"/>
        <v>104.47</v>
      </c>
      <c r="I67" s="698">
        <f t="shared" si="19"/>
        <v>104.64</v>
      </c>
      <c r="J67" s="698">
        <f t="shared" si="19"/>
        <v>104.81</v>
      </c>
      <c r="K67" s="698">
        <f t="shared" si="19"/>
        <v>104.49</v>
      </c>
      <c r="L67" s="698">
        <f t="shared" si="19"/>
        <v>104</v>
      </c>
      <c r="M67" s="698">
        <f t="shared" si="19"/>
        <v>103.41</v>
      </c>
      <c r="N67" s="698">
        <f t="shared" si="19"/>
        <v>103.3</v>
      </c>
      <c r="O67" s="698">
        <f t="shared" si="19"/>
        <v>103.06</v>
      </c>
      <c r="P67" s="698">
        <f t="shared" si="19"/>
        <v>103.05</v>
      </c>
      <c r="Q67" s="698">
        <f t="shared" si="19"/>
        <v>102.67</v>
      </c>
      <c r="R67" s="698">
        <f t="shared" si="19"/>
        <v>102.6</v>
      </c>
      <c r="S67" s="698">
        <f t="shared" si="19"/>
        <v>102.35</v>
      </c>
      <c r="T67" s="698">
        <f t="shared" si="19"/>
        <v>101.93</v>
      </c>
      <c r="U67" s="698">
        <f t="shared" si="19"/>
        <v>102.19</v>
      </c>
      <c r="V67" s="698">
        <f t="shared" si="19"/>
        <v>99.51</v>
      </c>
      <c r="W67" s="698">
        <f t="shared" si="19"/>
        <v>99.44</v>
      </c>
      <c r="X67" s="698">
        <f t="shared" si="19"/>
        <v>98.97</v>
      </c>
      <c r="Y67" s="698">
        <f t="shared" si="19"/>
        <v>98.7</v>
      </c>
      <c r="Z67" s="698">
        <f t="shared" si="19"/>
        <v>98.23</v>
      </c>
      <c r="AA67" s="698">
        <f t="shared" si="19"/>
        <v>97.23</v>
      </c>
      <c r="AB67" s="698">
        <f t="shared" si="19"/>
        <v>96.03</v>
      </c>
      <c r="AC67" s="698">
        <f t="shared" si="19"/>
        <v>94.96</v>
      </c>
      <c r="AD67" s="698">
        <f t="shared" si="19"/>
        <v>93.75</v>
      </c>
      <c r="AE67" s="698">
        <f t="shared" si="19"/>
        <v>92.15</v>
      </c>
      <c r="AF67" s="698">
        <f t="shared" si="19"/>
        <v>89.96</v>
      </c>
    </row>
    <row r="68" spans="1:32" s="1118" customFormat="1" ht="15" thickBot="1">
      <c r="A68" s="621" t="s">
        <v>523</v>
      </c>
      <c r="B68" s="622"/>
      <c r="C68" s="2272">
        <v>1</v>
      </c>
      <c r="D68" s="3699">
        <v>-1.0500000000000001E-2</v>
      </c>
      <c r="E68" s="3699">
        <v>-8.9999999999999993E-3</v>
      </c>
      <c r="F68" s="3699">
        <v>-7.4999999999999997E-3</v>
      </c>
      <c r="G68" s="3699">
        <v>-2.7000000000000001E-3</v>
      </c>
      <c r="H68" s="3699">
        <v>-1.38E-2</v>
      </c>
      <c r="I68" s="3699">
        <v>-1.6000000000000001E-3</v>
      </c>
      <c r="J68" s="3699">
        <v>-1.6000000000000001E-3</v>
      </c>
      <c r="K68" s="3699">
        <v>3.0999999999999999E-3</v>
      </c>
      <c r="L68" s="3699">
        <v>4.7000000000000002E-3</v>
      </c>
      <c r="M68" s="3699">
        <v>5.7000000000000002E-3</v>
      </c>
      <c r="N68" s="3699">
        <v>1.1000000000000001E-3</v>
      </c>
      <c r="O68" s="3699">
        <v>2.3E-3</v>
      </c>
      <c r="P68" s="3699">
        <v>1E-4</v>
      </c>
      <c r="Q68" s="3699">
        <v>3.7000000000000002E-3</v>
      </c>
      <c r="R68" s="3699">
        <v>6.9999999999999999E-4</v>
      </c>
      <c r="S68" s="3699">
        <v>2.3999999999999998E-3</v>
      </c>
      <c r="T68" s="3699">
        <v>4.1000000000000003E-3</v>
      </c>
      <c r="U68" s="3699">
        <v>-2.5000000000000001E-3</v>
      </c>
      <c r="V68" s="3699">
        <v>2.69E-2</v>
      </c>
      <c r="W68" s="3699">
        <v>6.9999999999999999E-4</v>
      </c>
      <c r="X68" s="3699">
        <v>4.7000000000000002E-3</v>
      </c>
      <c r="Y68" s="3699">
        <v>2.7000000000000001E-3</v>
      </c>
      <c r="Z68" s="3699">
        <v>4.7999999999999996E-3</v>
      </c>
      <c r="AA68" s="3699">
        <v>1.03E-2</v>
      </c>
      <c r="AB68" s="3699">
        <v>1.2500000000000001E-2</v>
      </c>
      <c r="AC68" s="3699">
        <v>1.1299999999999999E-2</v>
      </c>
      <c r="AD68" s="3700">
        <v>1.29E-2</v>
      </c>
      <c r="AE68" s="3700">
        <v>1.7399999999999999E-2</v>
      </c>
      <c r="AF68" s="3700">
        <v>2.4400000000000002E-2</v>
      </c>
    </row>
    <row r="69" spans="1:32"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32"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32"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32"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32"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32"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32" ht="15" thickTop="1">
      <c r="A75" s="637"/>
      <c r="B75" s="649" t="s">
        <v>487</v>
      </c>
      <c r="C75" s="650" t="str">
        <f>C76&amp;"（含）"&amp;"-"&amp;D76</f>
        <v>0（含）-2</v>
      </c>
      <c r="D75" s="650" t="str">
        <f t="shared" ref="D75:L75" si="20">D76&amp;"（含）"&amp;"-"&amp;E76</f>
        <v>2（含）-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32">
      <c r="A76" s="637"/>
      <c r="B76" s="651"/>
      <c r="C76" s="511">
        <v>0</v>
      </c>
      <c r="D76" s="511">
        <v>2</v>
      </c>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32" ht="14.4" thickBot="1">
      <c r="A77" s="637"/>
      <c r="B77" s="638"/>
      <c r="C77" s="647">
        <v>100</v>
      </c>
      <c r="D77" s="647">
        <f t="shared" ref="D77:M77" si="21">IF($B$43="单位面积地价",C77+$K13,C77-$K13)</f>
        <v>99</v>
      </c>
      <c r="E77" s="647">
        <f t="shared" si="21"/>
        <v>98</v>
      </c>
      <c r="F77" s="647">
        <f t="shared" si="21"/>
        <v>97</v>
      </c>
      <c r="G77" s="647">
        <f t="shared" si="21"/>
        <v>96</v>
      </c>
      <c r="H77" s="647">
        <f t="shared" si="21"/>
        <v>95</v>
      </c>
      <c r="I77" s="647">
        <f t="shared" si="21"/>
        <v>94</v>
      </c>
      <c r="J77" s="647">
        <f t="shared" si="21"/>
        <v>93</v>
      </c>
      <c r="K77" s="647">
        <f t="shared" si="21"/>
        <v>92</v>
      </c>
      <c r="L77" s="647">
        <f t="shared" si="21"/>
        <v>91</v>
      </c>
      <c r="M77" s="647">
        <f t="shared" si="21"/>
        <v>90</v>
      </c>
      <c r="N77" s="2973"/>
      <c r="O77" s="1888"/>
      <c r="P77" s="1887"/>
      <c r="Q77" s="1880"/>
      <c r="R77" s="1868"/>
      <c r="S77" s="1868"/>
      <c r="T77" s="1868"/>
      <c r="U77" s="1868"/>
      <c r="V77" s="1868"/>
      <c r="W77" s="1868"/>
      <c r="X77" s="1868"/>
      <c r="Y77" s="1868"/>
      <c r="Z77" s="1868"/>
      <c r="AA77" s="1868"/>
      <c r="AB77" s="1868"/>
      <c r="AC77" s="1868"/>
    </row>
    <row r="78" spans="1:32"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32"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32"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98</v>
      </c>
      <c r="E85" s="647">
        <f>D85-$K17</f>
        <v>96</v>
      </c>
      <c r="F85" s="647">
        <f>E85-$K17</f>
        <v>94</v>
      </c>
      <c r="G85" s="647">
        <f>F85-$K17</f>
        <v>92</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98</v>
      </c>
      <c r="E87" s="647">
        <f>D87-$K19</f>
        <v>96</v>
      </c>
      <c r="F87" s="647">
        <f>E87-$K19</f>
        <v>94</v>
      </c>
      <c r="G87" s="647">
        <f>F87-$K19</f>
        <v>92</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98</v>
      </c>
      <c r="E89" s="647">
        <f>D89-$K21</f>
        <v>96</v>
      </c>
      <c r="F89" s="647">
        <f>E89-$K21</f>
        <v>94</v>
      </c>
      <c r="G89" s="647">
        <f>F89-$K21</f>
        <v>92</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98</v>
      </c>
      <c r="E91" s="647">
        <f>D91-$K23</f>
        <v>96</v>
      </c>
      <c r="F91" s="647">
        <f>E91-$K23</f>
        <v>94</v>
      </c>
      <c r="G91" s="647">
        <f>F91-$K23</f>
        <v>92</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1832</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99</v>
      </c>
      <c r="E95" s="647">
        <f>D95-$K27</f>
        <v>98</v>
      </c>
      <c r="F95" s="647">
        <f>E95-$K27</f>
        <v>97</v>
      </c>
      <c r="G95" s="647">
        <f>F95-$K27</f>
        <v>96</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5">C109&amp;"(含)"&amp;"-"&amp;D109</f>
        <v>0(含)-200000</v>
      </c>
      <c r="D108" s="672" t="str">
        <f t="shared" si="25"/>
        <v>200000(含)-</v>
      </c>
      <c r="E108" s="672" t="str">
        <f t="shared" si="25"/>
        <v>(含)-</v>
      </c>
      <c r="F108" s="672" t="str">
        <f t="shared" si="25"/>
        <v>(含)-</v>
      </c>
      <c r="G108" s="672" t="str">
        <f t="shared" si="25"/>
        <v>(含)-</v>
      </c>
      <c r="H108" s="672" t="str">
        <f t="shared" si="25"/>
        <v>(含)-</v>
      </c>
      <c r="I108" s="672" t="str">
        <f t="shared" si="25"/>
        <v>(含)-</v>
      </c>
      <c r="J108" s="672" t="str">
        <f t="shared" si="25"/>
        <v>(含)-</v>
      </c>
      <c r="K108" s="2537" t="str">
        <f t="shared" si="25"/>
        <v>(含)-</v>
      </c>
      <c r="L108" s="2538" t="str">
        <f t="shared" si="25"/>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200000</v>
      </c>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98</v>
      </c>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3347</v>
      </c>
      <c r="D113" s="1233" t="s">
        <v>3348</v>
      </c>
      <c r="E113" s="1233" t="s">
        <v>3349</v>
      </c>
      <c r="F113" s="1233" t="s">
        <v>3351</v>
      </c>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7">C114-$K38</f>
        <v>99</v>
      </c>
      <c r="E114" s="647">
        <f t="shared" si="27"/>
        <v>98</v>
      </c>
      <c r="F114" s="647">
        <f t="shared" si="27"/>
        <v>97</v>
      </c>
      <c r="G114" s="647">
        <f t="shared" si="27"/>
        <v>96</v>
      </c>
      <c r="H114" s="647">
        <f t="shared" si="27"/>
        <v>95</v>
      </c>
      <c r="I114" s="647">
        <f t="shared" si="27"/>
        <v>94</v>
      </c>
      <c r="J114" s="647">
        <f t="shared" si="27"/>
        <v>93</v>
      </c>
      <c r="K114" s="647">
        <f t="shared" si="27"/>
        <v>92</v>
      </c>
      <c r="L114" s="647">
        <f t="shared" si="27"/>
        <v>91</v>
      </c>
      <c r="M114" s="648">
        <f t="shared" si="27"/>
        <v>90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98" t="s">
        <v>3352</v>
      </c>
      <c r="D115" s="3698" t="s">
        <v>3353</v>
      </c>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algorithmName="SHA-512" hashValue="fkJK8EEd6kL+tEGJiQiyvpIrPMus9W5AsXR1uFQiy1B2vapYaNyQD/VIyzmd/RkR2fE6/u+99FmoOnAkSB9d1g==" saltValue="0D0Ym6S6Y0kelzPGmVPeLw==" spinCount="100000" sheet="1" objects="1" scenarios="1" formatCells="0" formatColumns="0" formatRows="0"/>
  <mergeCells count="41">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I9" sqref="I9"/>
    </sheetView>
  </sheetViews>
  <sheetFormatPr defaultRowHeight="14.4"/>
  <cols>
    <col min="2" max="2" width="46.109375" customWidth="1"/>
    <col min="9" max="9" width="17.44140625" customWidth="1"/>
  </cols>
  <sheetData>
    <row r="1" spans="1:10">
      <c r="A1" s="4033" t="s">
        <v>3354</v>
      </c>
      <c r="B1" s="4033" t="s">
        <v>2146</v>
      </c>
      <c r="C1" s="4033" t="s">
        <v>3355</v>
      </c>
      <c r="D1" s="4035" t="s">
        <v>3356</v>
      </c>
      <c r="E1" s="4036"/>
      <c r="F1" s="4037" t="s">
        <v>3357</v>
      </c>
      <c r="G1" s="4038"/>
      <c r="H1" s="4039" t="s">
        <v>3358</v>
      </c>
      <c r="I1" s="4033" t="s">
        <v>3359</v>
      </c>
    </row>
    <row r="2" spans="1:10" ht="86.4">
      <c r="A2" s="4034"/>
      <c r="B2" s="4034"/>
      <c r="C2" s="4034"/>
      <c r="D2" s="3701" t="s">
        <v>3360</v>
      </c>
      <c r="E2" s="3701" t="s">
        <v>3361</v>
      </c>
      <c r="F2" s="3702" t="s">
        <v>3362</v>
      </c>
      <c r="G2" s="3702" t="s">
        <v>3363</v>
      </c>
      <c r="H2" s="4040"/>
      <c r="I2" s="4034"/>
    </row>
    <row r="3" spans="1:10">
      <c r="A3" s="3703">
        <v>1</v>
      </c>
      <c r="B3" s="3704" t="s">
        <v>3364</v>
      </c>
      <c r="C3" s="3703" t="s">
        <v>3365</v>
      </c>
      <c r="D3" s="3703">
        <v>180055.75</v>
      </c>
      <c r="E3" s="3703">
        <v>114154.36</v>
      </c>
      <c r="F3" s="3703">
        <v>59468.76</v>
      </c>
      <c r="G3" s="3703">
        <v>125573.86</v>
      </c>
      <c r="H3" s="3703">
        <v>45702.91</v>
      </c>
      <c r="I3" s="3705">
        <v>44435</v>
      </c>
      <c r="J3" s="3703">
        <f>ROUND((F3+G3)/D3*10000,0)</f>
        <v>10277</v>
      </c>
    </row>
    <row r="4" spans="1:10">
      <c r="A4" s="3703">
        <v>2</v>
      </c>
      <c r="B4" s="3704" t="s">
        <v>3366</v>
      </c>
      <c r="C4" s="3703" t="s">
        <v>3365</v>
      </c>
      <c r="D4" s="3703">
        <v>187577</v>
      </c>
      <c r="E4" s="3703">
        <v>158604</v>
      </c>
      <c r="F4" s="3703">
        <v>42423.81</v>
      </c>
      <c r="G4" s="3703">
        <v>124048.85</v>
      </c>
      <c r="H4" s="3703">
        <v>39104.71</v>
      </c>
      <c r="I4" s="3705">
        <v>44704</v>
      </c>
      <c r="J4" s="3703">
        <f t="shared" ref="J4:J6" si="0">ROUND((F4+G4)/D4*10000,0)</f>
        <v>8875</v>
      </c>
    </row>
    <row r="5" spans="1:10">
      <c r="A5" s="3703">
        <v>3</v>
      </c>
      <c r="B5" s="3703" t="s">
        <v>3367</v>
      </c>
      <c r="C5" s="3703" t="s">
        <v>3368</v>
      </c>
      <c r="D5" s="3703">
        <v>485752.79</v>
      </c>
      <c r="E5" s="3704" t="s">
        <v>3369</v>
      </c>
      <c r="F5" s="3703">
        <v>76356.42</v>
      </c>
      <c r="G5" s="3703">
        <v>274068.84999999998</v>
      </c>
      <c r="H5" s="3703">
        <v>110586.31</v>
      </c>
      <c r="I5" s="3705">
        <v>43795</v>
      </c>
      <c r="J5" s="3703">
        <f t="shared" si="0"/>
        <v>7214</v>
      </c>
    </row>
    <row r="6" spans="1:10">
      <c r="A6" s="3703">
        <v>4</v>
      </c>
      <c r="B6" s="3704" t="s">
        <v>3370</v>
      </c>
      <c r="C6" s="3703" t="s">
        <v>3365</v>
      </c>
      <c r="D6" s="3703">
        <v>156502.60800000001</v>
      </c>
      <c r="E6" s="3703">
        <v>97812.236999999994</v>
      </c>
      <c r="F6" s="3703">
        <v>5325.24</v>
      </c>
      <c r="G6" s="3703">
        <v>121777.87</v>
      </c>
      <c r="H6" s="3703">
        <v>3604.32</v>
      </c>
      <c r="I6" s="3705">
        <v>45062</v>
      </c>
      <c r="J6" s="3703">
        <f t="shared" si="0"/>
        <v>8121</v>
      </c>
    </row>
  </sheetData>
  <mergeCells count="7">
    <mergeCell ref="I1:I2"/>
    <mergeCell ref="A1:A2"/>
    <mergeCell ref="B1:B2"/>
    <mergeCell ref="C1:C2"/>
    <mergeCell ref="D1:E1"/>
    <mergeCell ref="F1:G1"/>
    <mergeCell ref="H1:H2"/>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13" sqref="E13"/>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45839</v>
      </c>
      <c r="H1" s="2417">
        <f>IF(C1&gt;C13,0,MATCH(C1,C$13:C$115,-1))+IF(SUMIF(C13:C115,C1,D13:D115)=0,13,12)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1.5</v>
      </c>
      <c r="D2" s="2478" t="s">
        <v>2066</v>
      </c>
      <c r="E2" s="2481">
        <f ca="1">IF(OR(C1&lt;C27,C2&lt;=1),INDIRECT("I"&amp;$I$1)/100,ROUND((I5+(C2-H5)*(I7-I5)/(H7-H5))/100,4))</f>
        <v>3.0599999999999999E-2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IF(OR(C3&lt;C27,C2&lt;=1),INDIRECT("J"&amp;$J$1)/100,ROUND((I5+(C2-H5)*(I7-I5)/(H7-H5))/100,4))</f>
        <v>0.03</v>
      </c>
      <c r="G3" s="2421" t="s">
        <v>2069</v>
      </c>
      <c r="H3" s="2422">
        <v>0</v>
      </c>
      <c r="I3" s="2423">
        <f ca="1">INDIRECT("d"&amp;$H$1)</f>
        <v>3</v>
      </c>
      <c r="J3" s="2423">
        <f ca="1">INDIRECT("d"&amp;$H$1)</f>
        <v>3</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v>
      </c>
      <c r="J4" s="2429">
        <f ca="1">INDIRECT("e"&amp;$H$1)</f>
        <v>3</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v>
      </c>
      <c r="J5" s="2429">
        <f ca="1">INDIRECT("f"&amp;$H$1)</f>
        <v>3</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v>
      </c>
      <c r="J6" s="2429">
        <f ca="1">INDIRECT("g"&amp;$H$1)</f>
        <v>3</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3.5</v>
      </c>
      <c r="J7" s="2434">
        <f ca="1">INDIRECT("h"&amp;$H$1)</f>
        <v>3.5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45797</v>
      </c>
      <c r="D13" s="2465">
        <v>3</v>
      </c>
      <c r="E13" s="2465">
        <f t="shared" ref="E13:E18" si="0">D13</f>
        <v>3</v>
      </c>
      <c r="F13" s="2465">
        <f t="shared" ref="F13:F18" si="1">D13</f>
        <v>3</v>
      </c>
      <c r="G13" s="2465">
        <f t="shared" ref="G13:G18" si="2">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45586</v>
      </c>
      <c r="D14" s="2469">
        <v>3.1</v>
      </c>
      <c r="E14" s="2469">
        <f t="shared" si="0"/>
        <v>3.1</v>
      </c>
      <c r="F14" s="2469">
        <f t="shared" si="1"/>
        <v>3.1</v>
      </c>
      <c r="G14" s="2469">
        <f t="shared" si="2"/>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45495</v>
      </c>
      <c r="D15" s="2469">
        <v>3.35</v>
      </c>
      <c r="E15" s="2469">
        <f t="shared" si="0"/>
        <v>3.35</v>
      </c>
      <c r="F15" s="2469">
        <f t="shared" si="1"/>
        <v>3.35</v>
      </c>
      <c r="G15" s="2469">
        <f t="shared" si="2"/>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45342</v>
      </c>
      <c r="D16" s="2469">
        <v>3.45</v>
      </c>
      <c r="E16" s="2469">
        <f t="shared" si="0"/>
        <v>3.45</v>
      </c>
      <c r="F16" s="2469">
        <f t="shared" si="1"/>
        <v>3.45</v>
      </c>
      <c r="G16" s="2469">
        <f t="shared" si="2"/>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45159</v>
      </c>
      <c r="D17" s="2469">
        <v>3.45</v>
      </c>
      <c r="E17" s="2469">
        <f t="shared" si="0"/>
        <v>3.45</v>
      </c>
      <c r="F17" s="2469">
        <f t="shared" si="1"/>
        <v>3.45</v>
      </c>
      <c r="G17" s="2469">
        <f t="shared" si="2"/>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45097</v>
      </c>
      <c r="D18" s="2469">
        <v>3.55</v>
      </c>
      <c r="E18" s="2469">
        <f t="shared" si="0"/>
        <v>3.55</v>
      </c>
      <c r="F18" s="2469">
        <f t="shared" si="1"/>
        <v>3.55</v>
      </c>
      <c r="G18" s="2469">
        <f t="shared" si="2"/>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5.6">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13" t="s">
        <v>1556</v>
      </c>
      <c r="B1" s="3713"/>
      <c r="C1" s="3713"/>
      <c r="D1" s="3713"/>
      <c r="E1" s="3713"/>
      <c r="F1" s="3713"/>
      <c r="G1" s="3713"/>
      <c r="H1" s="3713"/>
      <c r="I1" s="3713"/>
      <c r="J1" s="3713"/>
      <c r="K1" s="3713"/>
      <c r="L1" s="3713"/>
      <c r="M1" s="3713"/>
      <c r="N1" s="3713"/>
      <c r="O1" s="3713"/>
      <c r="P1" s="3713"/>
      <c r="Q1" s="3713"/>
      <c r="R1" s="3713"/>
    </row>
    <row r="2" spans="1:18">
      <c r="A2" s="1595" t="s">
        <v>1558</v>
      </c>
      <c r="B2" s="1595"/>
      <c r="C2" s="1595"/>
      <c r="D2" s="1595"/>
      <c r="E2" s="1595"/>
      <c r="F2" s="1595"/>
      <c r="G2" s="1595"/>
      <c r="H2" s="1595"/>
      <c r="I2" s="1596"/>
      <c r="J2" s="1596"/>
      <c r="K2" s="1597" t="str">
        <f>"估价期日："&amp;TEXT(项目基本情况!D3,"yyyy年m月d日;;")</f>
        <v>估价期日：2025年7月1日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14" t="s">
        <v>1547</v>
      </c>
      <c r="B3" s="3714" t="s">
        <v>2013</v>
      </c>
      <c r="C3" s="3715" t="s">
        <v>1548</v>
      </c>
      <c r="D3" s="3714" t="s">
        <v>2017</v>
      </c>
      <c r="E3" s="3717" t="s">
        <v>1549</v>
      </c>
      <c r="F3" s="3717"/>
      <c r="G3" s="3717"/>
      <c r="H3" s="3717" t="s">
        <v>1550</v>
      </c>
      <c r="I3" s="3717"/>
      <c r="J3" s="3717"/>
      <c r="K3" s="3715" t="s">
        <v>1551</v>
      </c>
      <c r="L3" s="3715" t="s">
        <v>1552</v>
      </c>
      <c r="M3" s="3714" t="s">
        <v>2014</v>
      </c>
      <c r="N3" s="3716" t="str">
        <f>"（分摊）"&amp;项目基本情况!A17&amp;"国有建设用地使用权面积/㎡"</f>
        <v>（分摊）划拨国有建设用地使用权面积/㎡</v>
      </c>
      <c r="O3" s="3714" t="s">
        <v>1581</v>
      </c>
      <c r="P3" s="3715" t="s">
        <v>1561</v>
      </c>
      <c r="Q3" s="3715" t="s">
        <v>1582</v>
      </c>
      <c r="R3" s="3715" t="s">
        <v>1553</v>
      </c>
    </row>
    <row r="4" spans="1:18" ht="36.75" customHeight="1">
      <c r="A4" s="3714"/>
      <c r="B4" s="3714"/>
      <c r="C4" s="3715"/>
      <c r="D4" s="3714"/>
      <c r="E4" s="2254" t="s">
        <v>1560</v>
      </c>
      <c r="F4" s="2254" t="s">
        <v>2026</v>
      </c>
      <c r="G4" s="2254" t="s">
        <v>1554</v>
      </c>
      <c r="H4" s="2254" t="s">
        <v>1555</v>
      </c>
      <c r="I4" s="2254" t="s">
        <v>2027</v>
      </c>
      <c r="J4" s="2254" t="s">
        <v>1554</v>
      </c>
      <c r="K4" s="3715"/>
      <c r="L4" s="3715"/>
      <c r="M4" s="3714"/>
      <c r="N4" s="3716"/>
      <c r="O4" s="3714"/>
      <c r="P4" s="3715"/>
      <c r="Q4" s="3715"/>
      <c r="R4" s="3715"/>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13878.77</v>
      </c>
      <c r="O5" s="1598">
        <f>项目基本情况!C21</f>
        <v>1993.1</v>
      </c>
      <c r="P5" s="1598">
        <f ca="1">结果表!E42</f>
        <v>7670</v>
      </c>
      <c r="Q5" s="1598">
        <f ca="1">结果表!D42</f>
        <v>53409</v>
      </c>
      <c r="R5" s="1599">
        <f ca="1">结果表!C42</f>
        <v>10645</v>
      </c>
    </row>
    <row r="6" spans="1:18">
      <c r="A6" s="3718" t="str">
        <f>IF(项目基本情况!B9="市场价格","——","抵押价格")</f>
        <v>——</v>
      </c>
      <c r="B6" s="3719"/>
      <c r="C6" s="3719"/>
      <c r="D6" s="3719"/>
      <c r="E6" s="3719"/>
      <c r="F6" s="3719"/>
      <c r="G6" s="3719"/>
      <c r="H6" s="3719"/>
      <c r="I6" s="3719"/>
      <c r="J6" s="3719"/>
      <c r="K6" s="3719"/>
      <c r="L6" s="3719"/>
      <c r="M6" s="3719"/>
      <c r="N6" s="3719"/>
      <c r="O6" s="3719"/>
      <c r="P6" s="3719"/>
      <c r="Q6" s="3720"/>
      <c r="R6" s="1600" t="str">
        <f>结果表!O39</f>
        <v>——</v>
      </c>
    </row>
    <row r="7" spans="1:18">
      <c r="A7" s="3718" t="str">
        <f>IF(项目基本情况!B9="市场价格","——",IF(项目基本情况!E8="已注销及未注销","抵押担保权已注销时的抵押价格","——"))</f>
        <v>——</v>
      </c>
      <c r="B7" s="3719"/>
      <c r="C7" s="3719"/>
      <c r="D7" s="3719"/>
      <c r="E7" s="3719"/>
      <c r="F7" s="3719"/>
      <c r="G7" s="3719"/>
      <c r="H7" s="3719"/>
      <c r="I7" s="3719"/>
      <c r="J7" s="3719"/>
      <c r="K7" s="3719"/>
      <c r="L7" s="3719"/>
      <c r="M7" s="3719"/>
      <c r="N7" s="3719"/>
      <c r="O7" s="3719"/>
      <c r="P7" s="3719"/>
      <c r="Q7" s="3720"/>
      <c r="R7" s="1600" t="str">
        <f>结果表!O40</f>
        <v>——</v>
      </c>
    </row>
    <row r="8" spans="1:18">
      <c r="A8" s="3718" t="str">
        <f>IF(项目基本情况!B9="市场价格","——",项目基本情况!E9)</f>
        <v>——</v>
      </c>
      <c r="B8" s="3719"/>
      <c r="C8" s="3719"/>
      <c r="D8" s="3719"/>
      <c r="E8" s="3719"/>
      <c r="F8" s="3719"/>
      <c r="G8" s="3719"/>
      <c r="H8" s="3719"/>
      <c r="I8" s="3719"/>
      <c r="J8" s="3719"/>
      <c r="K8" s="3719"/>
      <c r="L8" s="3719"/>
      <c r="M8" s="3719"/>
      <c r="N8" s="3719"/>
      <c r="O8" s="3719"/>
      <c r="P8" s="3719"/>
      <c r="Q8" s="372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21" t="s">
        <v>1583</v>
      </c>
      <c r="B1" s="3721"/>
      <c r="C1" s="3721"/>
      <c r="D1" s="3721"/>
    </row>
    <row r="2" spans="1:4" ht="47.25" customHeight="1">
      <c r="A2" s="3725" t="str">
        <f>"1.权利限制："&amp;项目基本情况!L24&amp;"未设定租赁等其他他项权利。"</f>
        <v>1.权利限制：根据估价对象《不动产权证书》原件、《国有土地使用权》复印件，截至估价期日，估价对象抵押权未见登记。未设定租赁等其他他项权利。</v>
      </c>
      <c r="B2" s="3725"/>
      <c r="C2" s="3725"/>
      <c r="D2" s="3725"/>
    </row>
    <row r="3" spans="1:4" ht="48" customHeight="1">
      <c r="A3" s="37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1"/>
      <c r="C3" s="3721"/>
      <c r="D3" s="3721"/>
    </row>
    <row r="4" spans="1:4" ht="36.75" customHeight="1">
      <c r="A4" s="3721" t="str">
        <f>"3.估价规划限制条件：详见"&amp;项目基本情况!E21&amp;"。"</f>
        <v>3.估价规划限制条件：详见《建设工程规划许可证》[]、《出让合同》[]。</v>
      </c>
      <c r="B4" s="3721"/>
      <c r="C4" s="3721"/>
      <c r="D4" s="3721"/>
    </row>
    <row r="5" spans="1:4">
      <c r="A5" s="3724" t="s">
        <v>1584</v>
      </c>
      <c r="B5" s="3724"/>
      <c r="C5" s="3724"/>
      <c r="D5" s="3724"/>
    </row>
    <row r="6" spans="1:4">
      <c r="A6" s="3721" t="s">
        <v>1562</v>
      </c>
      <c r="B6" s="3721"/>
      <c r="C6" s="3721"/>
      <c r="D6" s="3721"/>
    </row>
    <row r="7" spans="1:4" ht="33" customHeight="1">
      <c r="A7" s="3721" t="s">
        <v>1857</v>
      </c>
      <c r="B7" s="3721"/>
      <c r="C7" s="3721"/>
      <c r="D7" s="3721"/>
    </row>
    <row r="8" spans="1:4" ht="32.25" customHeight="1">
      <c r="A8" s="37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1"/>
      <c r="C8" s="3721"/>
      <c r="D8" s="3721"/>
    </row>
    <row r="9" spans="1:4" ht="33.75" customHeight="1">
      <c r="A9" s="3721" t="str">
        <f>IF(项目基本情况!B8="抵押","3.抵押双方在办理抵押登记手续时，应使用本公司出具的正式《土地估价报告》，特提请报告使用者注意。","——")</f>
        <v>——</v>
      </c>
      <c r="B9" s="3721"/>
      <c r="C9" s="3721"/>
      <c r="D9" s="3721"/>
    </row>
    <row r="10" spans="1:4">
      <c r="A10" s="3721" t="str">
        <f>IF(项目基本情况!B8="抵押","4.估价师所知悉的法定优先受偿款情况为：","——")</f>
        <v>——</v>
      </c>
      <c r="B10" s="3721"/>
      <c r="C10" s="3721"/>
      <c r="D10" s="3721"/>
    </row>
    <row r="11" spans="1:4" ht="37.5" customHeight="1">
      <c r="A11" s="3723" t="str">
        <f>IF(项目基本情况!B8="抵押","（1）"&amp;CONCATENATE(项目基本情况!L24,项目基本情况!L25,项目基本情况!L26),"——")</f>
        <v>——</v>
      </c>
      <c r="B11" s="3723"/>
      <c r="C11" s="3723"/>
      <c r="D11" s="3723"/>
    </row>
    <row r="12" spans="1:4" ht="168" customHeight="1">
      <c r="A12" s="3724" t="s">
        <v>1586</v>
      </c>
      <c r="B12" s="3724"/>
      <c r="C12" s="3724"/>
      <c r="D12" s="3724"/>
    </row>
    <row r="13" spans="1:4">
      <c r="A13" s="3722" t="s">
        <v>2028</v>
      </c>
      <c r="B13" s="3722"/>
      <c r="C13" s="3722"/>
      <c r="D13" s="3722"/>
    </row>
    <row r="14" spans="1:4">
      <c r="A14" s="3723" t="str">
        <f>IF(项目基本情况!B8="抵押","综上，"&amp;结果表!K47,"——")</f>
        <v>——</v>
      </c>
      <c r="B14" s="3723"/>
      <c r="C14" s="3723"/>
      <c r="D14" s="3723"/>
    </row>
    <row r="15" spans="1:4" ht="58.5" customHeight="1">
      <c r="A15" s="37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1"/>
      <c r="C15" s="3721"/>
      <c r="D15" s="3721"/>
    </row>
    <row r="16" spans="1:4" ht="70.5" customHeight="1">
      <c r="A16" s="37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1"/>
      <c r="C16" s="3721"/>
      <c r="D16" s="3721"/>
    </row>
    <row r="17" spans="1:4">
      <c r="A17" s="3721" t="s">
        <v>1984</v>
      </c>
      <c r="B17" s="3721"/>
      <c r="C17" s="3721"/>
      <c r="D17" s="3721"/>
    </row>
    <row r="18" spans="1:4">
      <c r="A18" s="3721" t="s">
        <v>1976</v>
      </c>
      <c r="B18" s="3721"/>
      <c r="C18" s="3721"/>
      <c r="D18" s="3721"/>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21" t="s">
        <v>1981</v>
      </c>
      <c r="B23" s="3721"/>
      <c r="C23" s="3721"/>
      <c r="D23" s="372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33" t="s">
        <v>27</v>
      </c>
      <c r="B15" s="3734" t="s">
        <v>784</v>
      </c>
      <c r="C15" s="3730"/>
    </row>
    <row r="16" spans="1:7" ht="14.4">
      <c r="A16" s="3733"/>
      <c r="B16" s="3731" t="s">
        <v>28</v>
      </c>
      <c r="C16" s="1070" t="s">
        <v>27</v>
      </c>
    </row>
    <row r="17" spans="1:3" ht="14.4">
      <c r="A17" s="3733"/>
      <c r="B17" s="3731"/>
      <c r="C17" s="1070" t="s">
        <v>29</v>
      </c>
    </row>
    <row r="18" spans="1:3" ht="14.4">
      <c r="A18" s="3733"/>
      <c r="B18" s="3731"/>
      <c r="C18" s="1070" t="s">
        <v>30</v>
      </c>
    </row>
    <row r="19" spans="1:3" ht="14.4">
      <c r="A19" s="3733"/>
      <c r="B19" s="3729" t="s">
        <v>31</v>
      </c>
      <c r="C19" s="3730"/>
    </row>
    <row r="20" spans="1:3" ht="14.4">
      <c r="A20" s="1071" t="s">
        <v>32</v>
      </c>
      <c r="B20" s="1072"/>
      <c r="C20" s="1073"/>
    </row>
    <row r="21" spans="1:3" ht="14.4">
      <c r="A21" s="3732" t="s">
        <v>33</v>
      </c>
      <c r="B21" s="3729" t="s">
        <v>34</v>
      </c>
      <c r="C21" s="3730"/>
    </row>
    <row r="22" spans="1:3" ht="14.4">
      <c r="A22" s="3732"/>
      <c r="B22" s="3729" t="s">
        <v>35</v>
      </c>
      <c r="C22" s="3730"/>
    </row>
    <row r="23" spans="1:3" ht="14.4">
      <c r="A23" s="3732"/>
      <c r="B23" s="3729" t="s">
        <v>36</v>
      </c>
      <c r="C23" s="3730"/>
    </row>
    <row r="24" spans="1:3" ht="14.4">
      <c r="A24" s="3732"/>
      <c r="B24" s="3735" t="s">
        <v>37</v>
      </c>
      <c r="C24" s="1074" t="s">
        <v>775</v>
      </c>
    </row>
    <row r="25" spans="1:3" ht="14.4">
      <c r="A25" s="3732"/>
      <c r="B25" s="3736"/>
      <c r="C25" s="1074" t="s">
        <v>776</v>
      </c>
    </row>
    <row r="26" spans="1:3" ht="14.4">
      <c r="A26" s="3732"/>
      <c r="B26" s="3736"/>
      <c r="C26" s="1074" t="s">
        <v>777</v>
      </c>
    </row>
    <row r="27" spans="1:3" ht="14.4">
      <c r="A27" s="3732"/>
      <c r="B27" s="3736"/>
      <c r="C27" s="1074" t="s">
        <v>778</v>
      </c>
    </row>
    <row r="28" spans="1:3" ht="14.4">
      <c r="A28" s="3732"/>
      <c r="B28" s="3736"/>
      <c r="C28" s="1074" t="s">
        <v>779</v>
      </c>
    </row>
    <row r="29" spans="1:3" ht="14.4">
      <c r="A29" s="3732"/>
      <c r="B29" s="3736"/>
      <c r="C29" s="1074" t="s">
        <v>780</v>
      </c>
    </row>
    <row r="30" spans="1:3" ht="14.4">
      <c r="A30" s="3732"/>
      <c r="B30" s="3736"/>
      <c r="C30" s="1074" t="s">
        <v>781</v>
      </c>
    </row>
    <row r="31" spans="1:3" ht="14.4">
      <c r="A31" s="3732"/>
      <c r="B31" s="3736"/>
      <c r="C31" s="1074" t="s">
        <v>782</v>
      </c>
    </row>
    <row r="32" spans="1:3" ht="14.4">
      <c r="A32" s="3732"/>
      <c r="B32" s="3736"/>
      <c r="C32" s="1074" t="s">
        <v>1181</v>
      </c>
    </row>
    <row r="33" spans="1:3" ht="14.4">
      <c r="A33" s="3732"/>
      <c r="B33" s="3726" t="s">
        <v>1187</v>
      </c>
      <c r="C33" s="1074" t="s">
        <v>1182</v>
      </c>
    </row>
    <row r="34" spans="1:3" ht="14.4">
      <c r="A34" s="3732"/>
      <c r="B34" s="3727"/>
      <c r="C34" s="1079" t="s">
        <v>1183</v>
      </c>
    </row>
    <row r="35" spans="1:3" ht="14.4">
      <c r="A35" s="3732"/>
      <c r="B35" s="3727"/>
      <c r="C35" s="1080" t="s">
        <v>1184</v>
      </c>
    </row>
    <row r="36" spans="1:3" ht="14.4">
      <c r="A36" s="3732"/>
      <c r="B36" s="3727"/>
      <c r="C36" s="1080" t="s">
        <v>1185</v>
      </c>
    </row>
    <row r="37" spans="1:3" ht="14.4">
      <c r="A37" s="3732"/>
      <c r="B37" s="3728"/>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45944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t="str">
        <f ca="1">IF(C4&lt;B2,"已过期",1119970066)</f>
        <v>已过期</v>
      </c>
      <c r="C4" s="2776">
        <v>45937</v>
      </c>
      <c r="D4" s="2784" t="s">
        <v>1438</v>
      </c>
      <c r="E4" s="2773">
        <f ca="1">IF(F4&lt;B2,"已过期",96010014)</f>
        <v>96010014</v>
      </c>
      <c r="F4" s="2775">
        <v>47118</v>
      </c>
      <c r="G4" s="2768"/>
    </row>
    <row r="5" spans="1:7" ht="20.25" customHeight="1">
      <c r="A5" s="2773" t="s">
        <v>1439</v>
      </c>
      <c r="B5" s="2773" t="str">
        <f ca="1">IF(C5&lt;B2,"已过期",1119970111)</f>
        <v>已过期</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t="str">
        <f ca="1">IF(C7&lt;B2,"已过期",1120000080)</f>
        <v>已过期</v>
      </c>
      <c r="C7" s="2776">
        <v>45937</v>
      </c>
      <c r="D7" s="2784" t="s">
        <v>1441</v>
      </c>
      <c r="E7" s="2773">
        <f ca="1">IF(F7&lt;B2,"已过期",2000110082)</f>
        <v>2000110082</v>
      </c>
      <c r="F7" s="2775">
        <v>46387</v>
      </c>
      <c r="G7" s="2768"/>
    </row>
    <row r="8" spans="1:7" ht="20.25" customHeight="1">
      <c r="A8" s="2773" t="s">
        <v>1442</v>
      </c>
      <c r="B8" s="2773" t="str">
        <f ca="1">IF(C8&lt;B2,"已过期",1419970001)</f>
        <v>已过期</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t="str">
        <f ca="1">IF(C11&lt;B2,"已过期",1120070131)</f>
        <v>已过期</v>
      </c>
      <c r="C11" s="2776">
        <v>45937</v>
      </c>
      <c r="D11" s="2784" t="s">
        <v>1445</v>
      </c>
      <c r="E11" s="2773">
        <f ca="1">IF(F11&lt;B2,"已过期",2014110011)</f>
        <v>2014110011</v>
      </c>
      <c r="F11" s="2775">
        <v>49302</v>
      </c>
      <c r="G11" s="2768"/>
    </row>
    <row r="12" spans="1:7" ht="20.25" customHeight="1">
      <c r="A12" s="2773" t="s">
        <v>2239</v>
      </c>
      <c r="B12" s="2773" t="str">
        <f ca="1">IF(C12&lt;B2,"已过期",1120040230)</f>
        <v>已过期</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40" t="s">
        <v>1448</v>
      </c>
      <c r="B18" s="3741"/>
      <c r="C18" s="3741"/>
      <c r="D18" s="3741"/>
      <c r="E18" s="3741"/>
      <c r="F18" s="3741"/>
      <c r="G18" s="2777"/>
    </row>
    <row r="19" spans="1:7" ht="20.25" customHeight="1">
      <c r="A19" s="3737" t="s">
        <v>1449</v>
      </c>
      <c r="B19" s="3737"/>
      <c r="C19" s="3738"/>
      <c r="D19" s="3739" t="s">
        <v>1450</v>
      </c>
      <c r="E19" s="3737"/>
      <c r="F19" s="373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AF29" sqref="AF29"/>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61"/>
  </cols>
  <sheetData>
    <row r="1" spans="1:28" s="1082" customFormat="1" ht="43.2">
      <c r="A1" s="929" t="s">
        <v>794</v>
      </c>
      <c r="B1" s="3" t="s">
        <v>99</v>
      </c>
      <c r="C1" s="1367" t="s">
        <v>1237</v>
      </c>
      <c r="D1" s="2197" t="s">
        <v>2759</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c r="X1" s="3690" t="s">
        <v>3322</v>
      </c>
      <c r="Y1" s="3690" t="s">
        <v>3323</v>
      </c>
      <c r="Z1" s="3690" t="s">
        <v>3326</v>
      </c>
      <c r="AA1" s="3690" t="s">
        <v>3324</v>
      </c>
      <c r="AB1" s="3690" t="s">
        <v>3325</v>
      </c>
    </row>
    <row r="2" spans="1:28" ht="14.4">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1824</v>
      </c>
      <c r="S3" s="7" t="s">
        <v>57</v>
      </c>
      <c r="T3" s="7" t="s">
        <v>58</v>
      </c>
      <c r="U3" s="7" t="s">
        <v>57</v>
      </c>
      <c r="V3" s="7" t="s">
        <v>59</v>
      </c>
      <c r="W3" s="7" t="s">
        <v>813</v>
      </c>
      <c r="X3" s="9" t="s">
        <v>2462</v>
      </c>
      <c r="Z3" s="9" t="s">
        <v>2476</v>
      </c>
      <c r="AB3" s="9" t="s">
        <v>2506</v>
      </c>
    </row>
    <row r="4" spans="1:28" ht="14.4">
      <c r="A4" s="6" t="s">
        <v>60</v>
      </c>
      <c r="B4" s="6" t="s">
        <v>118</v>
      </c>
      <c r="C4" s="1368" t="s">
        <v>1240</v>
      </c>
      <c r="D4" s="7" t="s">
        <v>1512</v>
      </c>
      <c r="E4" s="7" t="s">
        <v>61</v>
      </c>
      <c r="F4" s="7" t="s">
        <v>62</v>
      </c>
      <c r="G4" s="7">
        <v>50</v>
      </c>
      <c r="H4" s="7" t="s">
        <v>63</v>
      </c>
      <c r="I4" s="7" t="s">
        <v>2747</v>
      </c>
      <c r="K4" s="7" t="s">
        <v>64</v>
      </c>
      <c r="L4" s="7" t="s">
        <v>64</v>
      </c>
      <c r="M4" s="7" t="s">
        <v>64</v>
      </c>
      <c r="N4" s="7" t="s">
        <v>64</v>
      </c>
      <c r="O4" s="7" t="s">
        <v>64</v>
      </c>
      <c r="P4" s="967" t="s">
        <v>700</v>
      </c>
      <c r="Q4" s="7" t="s">
        <v>64</v>
      </c>
      <c r="R4" s="967" t="s">
        <v>1825</v>
      </c>
      <c r="S4" s="7" t="s">
        <v>64</v>
      </c>
      <c r="T4" s="7" t="s">
        <v>65</v>
      </c>
      <c r="U4" s="7" t="s">
        <v>64</v>
      </c>
      <c r="W4" s="7" t="s">
        <v>814</v>
      </c>
      <c r="X4" s="9" t="s">
        <v>2464</v>
      </c>
      <c r="Z4" s="9" t="s">
        <v>2478</v>
      </c>
      <c r="AB4" s="9" t="s">
        <v>2508</v>
      </c>
    </row>
    <row r="5" spans="1:28" ht="14.4">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1826</v>
      </c>
      <c r="S5" s="7" t="s">
        <v>68</v>
      </c>
      <c r="T5" s="7" t="s">
        <v>69</v>
      </c>
      <c r="U5" s="7" t="s">
        <v>68</v>
      </c>
      <c r="W5" s="7" t="s">
        <v>815</v>
      </c>
      <c r="X5" s="9" t="s">
        <v>2466</v>
      </c>
      <c r="Z5" s="9" t="s">
        <v>2480</v>
      </c>
      <c r="AB5" s="9" t="s">
        <v>2763</v>
      </c>
    </row>
    <row r="6" spans="1:28" ht="14.4">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1827</v>
      </c>
      <c r="S6" s="7" t="s">
        <v>71</v>
      </c>
      <c r="T6" s="7"/>
      <c r="U6" s="7" t="s">
        <v>71</v>
      </c>
      <c r="W6" s="7" t="s">
        <v>816</v>
      </c>
      <c r="X6" s="9" t="s">
        <v>2468</v>
      </c>
      <c r="Z6" s="9" t="s">
        <v>2482</v>
      </c>
      <c r="AB6" s="9" t="s">
        <v>2512</v>
      </c>
    </row>
    <row r="7" spans="1:28" ht="14.4">
      <c r="A7" s="6" t="s">
        <v>72</v>
      </c>
      <c r="B7" s="6" t="s">
        <v>73</v>
      </c>
      <c r="C7" s="1368" t="s">
        <v>1243</v>
      </c>
      <c r="F7" s="7" t="s">
        <v>120</v>
      </c>
      <c r="H7" s="7" t="s">
        <v>74</v>
      </c>
      <c r="I7" s="7" t="s">
        <v>2750</v>
      </c>
      <c r="X7" s="9" t="s">
        <v>2470</v>
      </c>
      <c r="Z7" s="9" t="s">
        <v>2484</v>
      </c>
      <c r="AB7" s="9" t="s">
        <v>2514</v>
      </c>
    </row>
    <row r="8" spans="1:28" ht="14.4">
      <c r="A8" s="6" t="s">
        <v>75</v>
      </c>
      <c r="B8" s="6" t="s">
        <v>76</v>
      </c>
      <c r="C8" s="1368" t="s">
        <v>1244</v>
      </c>
      <c r="F8" s="7" t="s">
        <v>121</v>
      </c>
      <c r="H8" s="3336" t="s">
        <v>2744</v>
      </c>
      <c r="I8" s="7" t="s">
        <v>2751</v>
      </c>
      <c r="X8" s="9" t="s">
        <v>3316</v>
      </c>
      <c r="Z8" s="9" t="s">
        <v>2486</v>
      </c>
      <c r="AB8" s="9" t="s">
        <v>2516</v>
      </c>
    </row>
    <row r="9" spans="1:28" ht="14.4">
      <c r="A9" s="6" t="s">
        <v>77</v>
      </c>
      <c r="B9" s="6" t="s">
        <v>122</v>
      </c>
      <c r="C9" s="1368" t="s">
        <v>1245</v>
      </c>
      <c r="F9" s="7" t="s">
        <v>78</v>
      </c>
      <c r="H9" s="7"/>
      <c r="I9" s="7" t="s">
        <v>2752</v>
      </c>
      <c r="X9" s="9" t="s">
        <v>3318</v>
      </c>
      <c r="Z9" s="9" t="s">
        <v>2488</v>
      </c>
      <c r="AB9" s="9" t="s">
        <v>2518</v>
      </c>
    </row>
    <row r="10" spans="1:28" ht="14.4">
      <c r="A10" s="6" t="s">
        <v>79</v>
      </c>
      <c r="B10" s="6" t="s">
        <v>123</v>
      </c>
      <c r="C10" s="1368" t="s">
        <v>1246</v>
      </c>
      <c r="F10" s="3336" t="s">
        <v>2743</v>
      </c>
      <c r="I10" s="7" t="s">
        <v>2753</v>
      </c>
      <c r="Z10" s="9" t="s">
        <v>2490</v>
      </c>
      <c r="AB10" s="9" t="s">
        <v>2520</v>
      </c>
    </row>
    <row r="11" spans="1:28" ht="14.4">
      <c r="A11" s="6" t="s">
        <v>80</v>
      </c>
      <c r="B11" s="6" t="s">
        <v>124</v>
      </c>
      <c r="C11" s="1368" t="s">
        <v>1247</v>
      </c>
      <c r="I11" s="7" t="s">
        <v>2754</v>
      </c>
      <c r="Z11" s="9" t="s">
        <v>2492</v>
      </c>
      <c r="AB11" s="9" t="s">
        <v>2522</v>
      </c>
    </row>
    <row r="12" spans="1:28" ht="14.4">
      <c r="A12" s="6" t="s">
        <v>81</v>
      </c>
      <c r="B12" s="6" t="s">
        <v>125</v>
      </c>
      <c r="C12" s="1368" t="s">
        <v>1248</v>
      </c>
      <c r="I12" s="7" t="s">
        <v>2755</v>
      </c>
      <c r="Z12" s="9" t="s">
        <v>2495</v>
      </c>
      <c r="AB12" s="9" t="s">
        <v>2524</v>
      </c>
    </row>
    <row r="13" spans="1:28" ht="14.4">
      <c r="A13" s="6" t="s">
        <v>82</v>
      </c>
      <c r="B13" s="6" t="s">
        <v>126</v>
      </c>
      <c r="C13" s="1368" t="s">
        <v>1249</v>
      </c>
      <c r="I13" s="7" t="s">
        <v>2756</v>
      </c>
      <c r="Z13" s="9" t="s">
        <v>2497</v>
      </c>
    </row>
    <row r="14" spans="1:28" ht="14.4">
      <c r="A14" s="6" t="s">
        <v>83</v>
      </c>
      <c r="B14" s="6" t="s">
        <v>127</v>
      </c>
      <c r="C14" s="1371" t="s">
        <v>1421</v>
      </c>
      <c r="I14" s="7" t="s">
        <v>2757</v>
      </c>
      <c r="Z14" s="9" t="s">
        <v>2499</v>
      </c>
    </row>
    <row r="15" spans="1:28" ht="14.4">
      <c r="A15" s="6" t="s">
        <v>84</v>
      </c>
      <c r="B15" s="6" t="s">
        <v>1214</v>
      </c>
      <c r="C15" s="1371"/>
      <c r="I15" s="7" t="s">
        <v>2758</v>
      </c>
    </row>
    <row r="16" spans="1:28"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4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c r="D53" s="1558"/>
      <c r="E53" s="1558"/>
    </row>
    <row r="54" spans="1:5">
      <c r="A54" s="374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4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4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4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165</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Sheet4</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比较法-成本</vt:lpstr>
      <vt:lpstr>Sheet3</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2025-10-14T08:31:26Z</dcterms:modified>
</cp:coreProperties>
</file>